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ink/ink1.xml" ContentType="application/inkml+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comments2.xml" ContentType="application/vnd.openxmlformats-officedocument.spreadsheetml.comments+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comments3.xml" ContentType="application/vnd.openxmlformats-officedocument.spreadsheetml.comments+xml"/>
  <Override PartName="/xl/charts/chart7.xml" ContentType="application/vnd.openxmlformats-officedocument.drawingml.chart+xml"/>
  <Override PartName="/xl/drawings/drawing6.xml" ContentType="application/vnd.openxmlformats-officedocument.drawingml.chartshap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omments8.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theme/themeOverride1.xml" ContentType="application/vnd.openxmlformats-officedocument.themeOverride+xml"/>
  <Override PartName="/xl/drawings/drawing9.xml" ContentType="application/vnd.openxmlformats-officedocument.drawingml.chartshapes+xml"/>
  <Override PartName="/xl/charts/chart12.xml" ContentType="application/vnd.openxmlformats-officedocument.drawingml.chart+xml"/>
  <Override PartName="/xl/drawings/drawing10.xml" ContentType="application/vnd.openxmlformats-officedocument.drawing+xml"/>
  <Override PartName="/xl/embeddings/oleObject15.bin" ContentType="application/vnd.openxmlformats-officedocument.oleObject"/>
  <Override PartName="/xl/embeddings/oleObject16.bin" ContentType="application/vnd.openxmlformats-officedocument.oleObject"/>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11.xml" ContentType="application/vnd.openxmlformats-officedocument.drawing+xml"/>
  <Override PartName="/xl/embeddings/oleObject17.bin" ContentType="application/vnd.openxmlformats-officedocument.oleObject"/>
  <Override PartName="/xl/comments12.xml" ContentType="application/vnd.openxmlformats-officedocument.spreadsheetml.comments+xml"/>
  <Override PartName="/xl/drawings/drawing12.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3.xml" ContentType="application/vnd.openxmlformats-officedocument.drawing+xml"/>
  <Override PartName="/xl/charts/chart17.xml" ContentType="application/vnd.openxmlformats-officedocument.drawingml.chart+xml"/>
  <Override PartName="/xl/drawings/drawing14.xml" ContentType="application/vnd.openxmlformats-officedocument.drawingml.chartshapes+xml"/>
  <Override PartName="/xl/charts/chart18.xml" ContentType="application/vnd.openxmlformats-officedocument.drawingml.chart+xml"/>
  <Override PartName="/xl/drawings/drawing15.xml" ContentType="application/vnd.openxmlformats-officedocument.drawingml.chartshapes+xml"/>
  <Override PartName="/xl/charts/chart19.xml" ContentType="application/vnd.openxmlformats-officedocument.drawingml.chart+xml"/>
  <Override PartName="/xl/theme/themeOverride2.xml" ContentType="application/vnd.openxmlformats-officedocument.themeOverride+xml"/>
  <Override PartName="/xl/drawings/drawing16.xml" ContentType="application/vnd.openxmlformats-officedocument.drawingml.chartshapes+xml"/>
  <Override PartName="/xl/charts/chart20.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21.xml" ContentType="application/vnd.openxmlformats-officedocument.drawingml.chart+xml"/>
  <Override PartName="/xl/drawings/drawing19.xml" ContentType="application/vnd.openxmlformats-officedocument.drawingml.chartshapes+xml"/>
  <Override PartName="/xl/charts/chart22.xml" ContentType="application/vnd.openxmlformats-officedocument.drawingml.chart+xml"/>
  <Override PartName="/xl/drawings/drawing20.xml" ContentType="application/vnd.openxmlformats-officedocument.drawingml.chartshapes+xml"/>
  <Override PartName="/xl/charts/chart23.xml" ContentType="application/vnd.openxmlformats-officedocument.drawingml.chart+xml"/>
  <Override PartName="/xl/drawings/drawing21.xml" ContentType="application/vnd.openxmlformats-officedocument.drawingml.chartshapes+xml"/>
  <Override PartName="/xl/charts/chart24.xml" ContentType="application/vnd.openxmlformats-officedocument.drawingml.chart+xml"/>
  <Override PartName="/xl/theme/themeOverride3.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charts/chart27.xml" ContentType="application/vnd.openxmlformats-officedocument.drawingml.chart+xml"/>
  <Override PartName="/xl/drawings/drawing26.xml" ContentType="application/vnd.openxmlformats-officedocument.drawingml.chartshapes+xml"/>
  <Override PartName="/xl/charts/chart28.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theme/themeOverride4.xml" ContentType="application/vnd.openxmlformats-officedocument.themeOverride+xml"/>
  <Override PartName="/xl/drawings/drawing31.xml" ContentType="application/vnd.openxmlformats-officedocument.drawingml.chartshapes+xml"/>
  <Override PartName="/xl/charts/chart32.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ml.chartshapes+xml"/>
  <Override PartName="/xl/charts/chart34.xml" ContentType="application/vnd.openxmlformats-officedocument.drawingml.chart+xml"/>
  <Override PartName="/xl/drawings/drawing35.xml" ContentType="application/vnd.openxmlformats-officedocument.drawingml.chartshapes+xml"/>
  <Override PartName="/xl/charts/chart35.xml" ContentType="application/vnd.openxmlformats-officedocument.drawingml.chart+xml"/>
  <Override PartName="/xl/drawings/drawing36.xml" ContentType="application/vnd.openxmlformats-officedocument.drawingml.chartshapes+xml"/>
  <Override PartName="/xl/charts/chart36.xml" ContentType="application/vnd.openxmlformats-officedocument.drawingml.chart+xml"/>
  <Override PartName="/xl/theme/themeOverride5.xml" ContentType="application/vnd.openxmlformats-officedocument.themeOverride+xml"/>
  <Override PartName="/xl/drawings/drawing37.xml" ContentType="application/vnd.openxmlformats-officedocument.drawingml.chartshapes+xml"/>
  <Override PartName="/xl/drawings/drawing38.xml" ContentType="application/vnd.openxmlformats-officedocument.drawing+xml"/>
  <Override PartName="/xl/charts/chart37.xml" ContentType="application/vnd.openxmlformats-officedocument.drawingml.chart+xml"/>
  <Override PartName="/xl/drawings/drawing39.xml" ContentType="application/vnd.openxmlformats-officedocument.drawingml.chartshapes+xml"/>
  <Override PartName="/xl/charts/chart38.xml" ContentType="application/vnd.openxmlformats-officedocument.drawingml.chart+xml"/>
  <Override PartName="/xl/drawings/drawing40.xml" ContentType="application/vnd.openxmlformats-officedocument.drawingml.chartshapes+xml"/>
  <Override PartName="/xl/charts/chart39.xml" ContentType="application/vnd.openxmlformats-officedocument.drawingml.chart+xml"/>
  <Override PartName="/xl/drawings/drawing41.xml" ContentType="application/vnd.openxmlformats-officedocument.drawingml.chartshapes+xml"/>
  <Override PartName="/xl/charts/chart40.xml" ContentType="application/vnd.openxmlformats-officedocument.drawingml.chart+xml"/>
  <Override PartName="/xl/drawings/drawing4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E:\Martin Romero\Escritorio\Programación Financiera\"/>
    </mc:Choice>
  </mc:AlternateContent>
  <xr:revisionPtr revIDLastSave="0" documentId="13_ncr:1_{6612FD9D-1D87-4406-A504-9936A4CBF432}" xr6:coauthVersionLast="47" xr6:coauthVersionMax="47" xr10:uidLastSave="{00000000-0000-0000-0000-000000000000}"/>
  <bookViews>
    <workbookView minimized="1" xWindow="2760" yWindow="2760" windowWidth="7500" windowHeight="6000" tabRatio="925" firstSheet="26" activeTab="29" xr2:uid="{00000000-000D-0000-FFFF-FFFF00000000}"/>
  </bookViews>
  <sheets>
    <sheet name="IMF Tools TOC" sheetId="204" state="hidden" r:id="rId1"/>
    <sheet name="Soluciones" sheetId="198" r:id="rId2"/>
    <sheet name="Cuadro SEFI" sheetId="80" r:id="rId3"/>
    <sheet name="Cuadro PIB" sheetId="81" r:id="rId4"/>
    <sheet name="PIB_Nominal" sheetId="1" r:id="rId5"/>
    <sheet name="LRY" sheetId="87" r:id="rId6"/>
    <sheet name="PIB_real" sheetId="2" r:id="rId7"/>
    <sheet name="Deflactor_PIB" sheetId="3" r:id="rId8"/>
    <sheet name="BP" sheetId="42" r:id="rId9"/>
    <sheet name="PII" sheetId="7" r:id="rId10"/>
    <sheet name="Deuda_EX" sheetId="8" r:id="rId11"/>
    <sheet name="EX_Stock_Ind" sheetId="9" r:id="rId12"/>
    <sheet name="PIB real y brecha del producto" sheetId="29" r:id="rId13"/>
    <sheet name="Inflación" sheetId="134" r:id="rId14"/>
    <sheet name="TC nominal" sheetId="34" r:id="rId15"/>
    <sheet name="Consumo real privado" sheetId="30" r:id="rId16"/>
    <sheet name="Inversión privada real" sheetId="31" r:id="rId17"/>
    <sheet name="Importaciones reales de bienes" sheetId="35" r:id="rId18"/>
    <sheet name="Exportaciones reales de bienes" sheetId="36" r:id="rId19"/>
    <sheet name="Import. y export. nominales" sheetId="37" r:id="rId20"/>
    <sheet name="Servicios" sheetId="38" r:id="rId21"/>
    <sheet name="Ingreso primario" sheetId="39" r:id="rId22"/>
    <sheet name="Ingreso secundario" sheetId="40" r:id="rId23"/>
    <sheet name="Gob_EOG" sheetId="11" r:id="rId24"/>
    <sheet name="Gob_EOG_Ind" sheetId="25" r:id="rId25"/>
    <sheet name="Gob_Balance" sheetId="14" r:id="rId26"/>
    <sheet name="Gob_Stock_Ind" sheetId="15" r:id="rId27"/>
    <sheet name="Gob_GTR_Proy" sheetId="51" r:id="rId28"/>
    <sheet name="Hoja-Gob_Exp_Proy." sheetId="54" r:id="rId29"/>
    <sheet name="MON_PSD" sheetId="16" r:id="rId30"/>
    <sheet name="Velocidad y demanda de dinero " sheetId="43" r:id="rId31"/>
    <sheet name="DD" sheetId="59" r:id="rId32"/>
    <sheet name="Regla de Taylor " sheetId="144" r:id="rId33"/>
    <sheet name="AEN y OPN totales" sheetId="47" r:id="rId34"/>
    <sheet name="Multiplicador del dinero" sheetId="49" r:id="rId35"/>
    <sheet name="AEN y OPN para BC" sheetId="50" r:id="rId36"/>
    <sheet name="MON_IND" sheetId="17" r:id="rId37"/>
    <sheet name="Flujo_fondos_2011" sheetId="22" r:id="rId38"/>
    <sheet name="Flujo_fondos_2012" sheetId="19" r:id="rId39"/>
    <sheet name="Flujo_fondos_2013" sheetId="157" r:id="rId40"/>
    <sheet name="Flujo_fondos_2014" sheetId="82" r:id="rId41"/>
    <sheet name=" Apx - FPP.2x proyección" sheetId="78" r:id="rId42"/>
    <sheet name="Real (hasta 2013)" sheetId="192" r:id="rId43"/>
    <sheet name="Externo (hasta 2013)" sheetId="193" r:id="rId44"/>
    <sheet name="Fiscal y monetario (hasta 2013)" sheetId="194" r:id="rId45"/>
    <sheet name="Real (hasta 2014)" sheetId="195" r:id="rId46"/>
    <sheet name="Externo (hasta 2014) " sheetId="196" r:id="rId47"/>
    <sheet name="Fiscal y monetario (hasta 2014)" sheetId="197" r:id="rId48"/>
  </sheets>
  <externalReferences>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s>
  <definedNames>
    <definedName name="\A" localSheetId="41">#REF!</definedName>
    <definedName name="\A" localSheetId="33">'[1]1.1 INDIC ACC'!#REF!</definedName>
    <definedName name="\A" localSheetId="43">#REF!</definedName>
    <definedName name="\A" localSheetId="44">#REF!</definedName>
    <definedName name="\A" localSheetId="39">#REF!</definedName>
    <definedName name="\A" localSheetId="40">#REF!</definedName>
    <definedName name="\A" localSheetId="13">#REF!</definedName>
    <definedName name="\A" localSheetId="5">#REF!</definedName>
    <definedName name="\A" localSheetId="34">'[1]1.1 INDIC ACC'!#REF!</definedName>
    <definedName name="\A" localSheetId="45">#REF!</definedName>
    <definedName name="\A" localSheetId="32">#REF!</definedName>
    <definedName name="\A" localSheetId="30">'[1]1.1 INDIC ACC'!#REF!</definedName>
    <definedName name="\A">#REF!</definedName>
    <definedName name="\B" localSheetId="43">#REF!</definedName>
    <definedName name="\B" localSheetId="44">#REF!</definedName>
    <definedName name="\B" localSheetId="39">#REF!</definedName>
    <definedName name="\B" localSheetId="45">#REF!</definedName>
    <definedName name="\B">#REF!</definedName>
    <definedName name="\C" localSheetId="43">#REF!</definedName>
    <definedName name="\C" localSheetId="44">#REF!</definedName>
    <definedName name="\C" localSheetId="39">#REF!</definedName>
    <definedName name="\C" localSheetId="45">#REF!</definedName>
    <definedName name="\C">#REF!</definedName>
    <definedName name="\D" localSheetId="43">#REF!</definedName>
    <definedName name="\D" localSheetId="44">#REF!</definedName>
    <definedName name="\D" localSheetId="39">#REF!</definedName>
    <definedName name="\D" localSheetId="45">#REF!</definedName>
    <definedName name="\D">#REF!</definedName>
    <definedName name="\E" localSheetId="43">#REF!</definedName>
    <definedName name="\E" localSheetId="44">#REF!</definedName>
    <definedName name="\E" localSheetId="39">#REF!</definedName>
    <definedName name="\E" localSheetId="45">#REF!</definedName>
    <definedName name="\E">#REF!</definedName>
    <definedName name="\F" localSheetId="43">#REF!</definedName>
    <definedName name="\F" localSheetId="44">#REF!</definedName>
    <definedName name="\F" localSheetId="39">#REF!</definedName>
    <definedName name="\F" localSheetId="45">#REF!</definedName>
    <definedName name="\F">#REF!</definedName>
    <definedName name="\G" localSheetId="43">#REF!</definedName>
    <definedName name="\G" localSheetId="44">#REF!</definedName>
    <definedName name="\G" localSheetId="39">#REF!</definedName>
    <definedName name="\G" localSheetId="45">#REF!</definedName>
    <definedName name="\G">#REF!</definedName>
    <definedName name="\H" localSheetId="43">#REF!</definedName>
    <definedName name="\H" localSheetId="44">#REF!</definedName>
    <definedName name="\H" localSheetId="39">#REF!</definedName>
    <definedName name="\H" localSheetId="45">#REF!</definedName>
    <definedName name="\H">#REF!</definedName>
    <definedName name="\I" localSheetId="43">#REF!</definedName>
    <definedName name="\I" localSheetId="44">#REF!</definedName>
    <definedName name="\I" localSheetId="39">#REF!</definedName>
    <definedName name="\I" localSheetId="45">#REF!</definedName>
    <definedName name="\I">#REF!</definedName>
    <definedName name="\J" localSheetId="43">#REF!</definedName>
    <definedName name="\J" localSheetId="44">#REF!</definedName>
    <definedName name="\J" localSheetId="39">#REF!</definedName>
    <definedName name="\J" localSheetId="45">#REF!</definedName>
    <definedName name="\J">#REF!</definedName>
    <definedName name="\K" localSheetId="43">#REF!</definedName>
    <definedName name="\K" localSheetId="44">#REF!</definedName>
    <definedName name="\K" localSheetId="39">#REF!</definedName>
    <definedName name="\K" localSheetId="45">#REF!</definedName>
    <definedName name="\K">#REF!</definedName>
    <definedName name="\L" localSheetId="43">#REF!</definedName>
    <definedName name="\L" localSheetId="44">#REF!</definedName>
    <definedName name="\L" localSheetId="39">#REF!</definedName>
    <definedName name="\L" localSheetId="45">#REF!</definedName>
    <definedName name="\L">#REF!</definedName>
    <definedName name="\M" localSheetId="43">#REF!</definedName>
    <definedName name="\M" localSheetId="44">#REF!</definedName>
    <definedName name="\M" localSheetId="39">#REF!</definedName>
    <definedName name="\M" localSheetId="45">#REF!</definedName>
    <definedName name="\M">#REF!</definedName>
    <definedName name="\N" localSheetId="43">#REF!</definedName>
    <definedName name="\N" localSheetId="44">#REF!</definedName>
    <definedName name="\N" localSheetId="39">#REF!</definedName>
    <definedName name="\N" localSheetId="45">#REF!</definedName>
    <definedName name="\N">#REF!</definedName>
    <definedName name="\O" localSheetId="43">#REF!</definedName>
    <definedName name="\O" localSheetId="44">#REF!</definedName>
    <definedName name="\O" localSheetId="39">#REF!</definedName>
    <definedName name="\O" localSheetId="45">#REF!</definedName>
    <definedName name="\O">#REF!</definedName>
    <definedName name="\P" localSheetId="43">#REF!</definedName>
    <definedName name="\P" localSheetId="44">#REF!</definedName>
    <definedName name="\P" localSheetId="39">#REF!</definedName>
    <definedName name="\P" localSheetId="45">#REF!</definedName>
    <definedName name="\P">#REF!</definedName>
    <definedName name="\Q" localSheetId="43">#REF!</definedName>
    <definedName name="\Q" localSheetId="44">#REF!</definedName>
    <definedName name="\Q" localSheetId="39">#REF!</definedName>
    <definedName name="\Q" localSheetId="45">#REF!</definedName>
    <definedName name="\Q">#REF!</definedName>
    <definedName name="\R" localSheetId="43">#REF!</definedName>
    <definedName name="\R" localSheetId="44">#REF!</definedName>
    <definedName name="\R" localSheetId="39">#REF!</definedName>
    <definedName name="\R" localSheetId="45">#REF!</definedName>
    <definedName name="\R">#REF!</definedName>
    <definedName name="\S" localSheetId="43">#REF!</definedName>
    <definedName name="\S" localSheetId="44">#REF!</definedName>
    <definedName name="\S" localSheetId="39">#REF!</definedName>
    <definedName name="\S" localSheetId="45">#REF!</definedName>
    <definedName name="\S">#REF!</definedName>
    <definedName name="\T" localSheetId="43">#REF!</definedName>
    <definedName name="\T" localSheetId="44">#REF!</definedName>
    <definedName name="\T" localSheetId="39">#REF!</definedName>
    <definedName name="\T" localSheetId="45">#REF!</definedName>
    <definedName name="\T">#REF!</definedName>
    <definedName name="\U" localSheetId="43">#REF!</definedName>
    <definedName name="\U" localSheetId="44">#REF!</definedName>
    <definedName name="\U" localSheetId="39">#REF!</definedName>
    <definedName name="\U" localSheetId="45">#REF!</definedName>
    <definedName name="\U">#REF!</definedName>
    <definedName name="\V" localSheetId="43">#REF!</definedName>
    <definedName name="\V" localSheetId="44">#REF!</definedName>
    <definedName name="\V" localSheetId="39">#REF!</definedName>
    <definedName name="\V" localSheetId="45">#REF!</definedName>
    <definedName name="\V">#REF!</definedName>
    <definedName name="\W" localSheetId="43">#REF!</definedName>
    <definedName name="\W" localSheetId="44">#REF!</definedName>
    <definedName name="\W" localSheetId="39">#REF!</definedName>
    <definedName name="\W" localSheetId="45">#REF!</definedName>
    <definedName name="\W">#REF!</definedName>
    <definedName name="\X" localSheetId="43">#REF!</definedName>
    <definedName name="\X" localSheetId="44">#REF!</definedName>
    <definedName name="\X" localSheetId="39">#REF!</definedName>
    <definedName name="\X" localSheetId="45">#REF!</definedName>
    <definedName name="\X">#REF!</definedName>
    <definedName name="\Y" localSheetId="43">#REF!</definedName>
    <definedName name="\Y" localSheetId="44">#REF!</definedName>
    <definedName name="\Y" localSheetId="39">#REF!</definedName>
    <definedName name="\Y" localSheetId="45">#REF!</definedName>
    <definedName name="\Y">#REF!</definedName>
    <definedName name="\Z" localSheetId="43">#REF!</definedName>
    <definedName name="\Z" localSheetId="44">#REF!</definedName>
    <definedName name="\Z" localSheetId="39">#REF!</definedName>
    <definedName name="\Z" localSheetId="45">#REF!</definedName>
    <definedName name="\Z">#REF!</definedName>
    <definedName name="________col137" localSheetId="43">#REF!</definedName>
    <definedName name="________col137" localSheetId="44">#REF!</definedName>
    <definedName name="________col137" localSheetId="39">#REF!</definedName>
    <definedName name="________col137" localSheetId="45">#REF!</definedName>
    <definedName name="________col137">#REF!</definedName>
    <definedName name="________CTA10000" localSheetId="43">#REF!</definedName>
    <definedName name="________CTA10000" localSheetId="44">#REF!</definedName>
    <definedName name="________CTA10000" localSheetId="39">#REF!</definedName>
    <definedName name="________CTA10000" localSheetId="45">#REF!</definedName>
    <definedName name="________CTA10000">#REF!</definedName>
    <definedName name="________CTA11000" localSheetId="43">#REF!</definedName>
    <definedName name="________CTA11000" localSheetId="44">#REF!</definedName>
    <definedName name="________CTA11000" localSheetId="39">#REF!</definedName>
    <definedName name="________CTA11000" localSheetId="45">#REF!</definedName>
    <definedName name="________CTA11000">#REF!</definedName>
    <definedName name="________CTA11100" localSheetId="43">#REF!</definedName>
    <definedName name="________CTA11100" localSheetId="44">#REF!</definedName>
    <definedName name="________CTA11100" localSheetId="39">#REF!</definedName>
    <definedName name="________CTA11100" localSheetId="45">#REF!</definedName>
    <definedName name="________CTA11100">#REF!</definedName>
    <definedName name="________CTA11200" localSheetId="43">#REF!</definedName>
    <definedName name="________CTA11200" localSheetId="44">#REF!</definedName>
    <definedName name="________CTA11200" localSheetId="39">#REF!</definedName>
    <definedName name="________CTA11200" localSheetId="45">#REF!</definedName>
    <definedName name="________CTA11200">#REF!</definedName>
    <definedName name="________CTA11301" localSheetId="43">#REF!</definedName>
    <definedName name="________CTA11301" localSheetId="44">#REF!</definedName>
    <definedName name="________CTA11301" localSheetId="39">#REF!</definedName>
    <definedName name="________CTA11301" localSheetId="45">#REF!</definedName>
    <definedName name="________CTA11301">#REF!</definedName>
    <definedName name="________CTA12000" localSheetId="43">#REF!</definedName>
    <definedName name="________CTA12000" localSheetId="44">#REF!</definedName>
    <definedName name="________CTA12000" localSheetId="39">#REF!</definedName>
    <definedName name="________CTA12000" localSheetId="45">#REF!</definedName>
    <definedName name="________CTA12000">#REF!</definedName>
    <definedName name="________CTA12100" localSheetId="43">#REF!</definedName>
    <definedName name="________CTA12100" localSheetId="44">#REF!</definedName>
    <definedName name="________CTA12100" localSheetId="39">#REF!</definedName>
    <definedName name="________CTA12100" localSheetId="45">#REF!</definedName>
    <definedName name="________CTA12100">#REF!</definedName>
    <definedName name="________CTA12201" localSheetId="43">#REF!</definedName>
    <definedName name="________CTA12201" localSheetId="44">#REF!</definedName>
    <definedName name="________CTA12201" localSheetId="39">#REF!</definedName>
    <definedName name="________CTA12201" localSheetId="45">#REF!</definedName>
    <definedName name="________CTA12201">#REF!</definedName>
    <definedName name="________cta12900" localSheetId="43">#REF!</definedName>
    <definedName name="________cta12900" localSheetId="44">#REF!</definedName>
    <definedName name="________cta12900" localSheetId="39">#REF!</definedName>
    <definedName name="________cta12900" localSheetId="45">#REF!</definedName>
    <definedName name="________cta12900">#REF!</definedName>
    <definedName name="________cta13000" localSheetId="43">#REF!</definedName>
    <definedName name="________cta13000" localSheetId="44">#REF!</definedName>
    <definedName name="________cta13000" localSheetId="39">#REF!</definedName>
    <definedName name="________cta13000" localSheetId="45">#REF!</definedName>
    <definedName name="________cta13000">#REF!</definedName>
    <definedName name="________cta13100" localSheetId="43">#REF!</definedName>
    <definedName name="________cta13100" localSheetId="44">#REF!</definedName>
    <definedName name="________cta13100" localSheetId="39">#REF!</definedName>
    <definedName name="________cta13100" localSheetId="45">#REF!</definedName>
    <definedName name="________cta13100">#REF!</definedName>
    <definedName name="________cta13200" localSheetId="43">#REF!</definedName>
    <definedName name="________cta13200" localSheetId="44">#REF!</definedName>
    <definedName name="________cta13200" localSheetId="39">#REF!</definedName>
    <definedName name="________cta13200" localSheetId="45">#REF!</definedName>
    <definedName name="________cta13200">#REF!</definedName>
    <definedName name="________cta13300" localSheetId="43">#REF!</definedName>
    <definedName name="________cta13300" localSheetId="44">#REF!</definedName>
    <definedName name="________cta13300" localSheetId="39">#REF!</definedName>
    <definedName name="________cta13300" localSheetId="45">#REF!</definedName>
    <definedName name="________cta13300">#REF!</definedName>
    <definedName name="________cta13900" localSheetId="43">#REF!</definedName>
    <definedName name="________cta13900" localSheetId="44">#REF!</definedName>
    <definedName name="________cta13900" localSheetId="39">#REF!</definedName>
    <definedName name="________cta13900" localSheetId="45">#REF!</definedName>
    <definedName name="________cta13900">#REF!</definedName>
    <definedName name="________cta14000" localSheetId="43">#REF!</definedName>
    <definedName name="________cta14000" localSheetId="44">#REF!</definedName>
    <definedName name="________cta14000" localSheetId="39">#REF!</definedName>
    <definedName name="________cta14000" localSheetId="45">#REF!</definedName>
    <definedName name="________cta14000">#REF!</definedName>
    <definedName name="________cta14900" localSheetId="43">#REF!</definedName>
    <definedName name="________cta14900" localSheetId="44">#REF!</definedName>
    <definedName name="________cta14900" localSheetId="39">#REF!</definedName>
    <definedName name="________cta14900" localSheetId="45">#REF!</definedName>
    <definedName name="________cta14900">#REF!</definedName>
    <definedName name="________cta15000" localSheetId="43">#REF!</definedName>
    <definedName name="________cta15000" localSheetId="44">#REF!</definedName>
    <definedName name="________cta15000" localSheetId="39">#REF!</definedName>
    <definedName name="________cta15000" localSheetId="45">#REF!</definedName>
    <definedName name="________cta15000">#REF!</definedName>
    <definedName name="________cta15900" localSheetId="43">#REF!</definedName>
    <definedName name="________cta15900" localSheetId="44">#REF!</definedName>
    <definedName name="________cta15900" localSheetId="39">#REF!</definedName>
    <definedName name="________cta15900" localSheetId="45">#REF!</definedName>
    <definedName name="________cta15900">#REF!</definedName>
    <definedName name="________cta16000" localSheetId="43">#REF!</definedName>
    <definedName name="________cta16000" localSheetId="44">#REF!</definedName>
    <definedName name="________cta16000" localSheetId="39">#REF!</definedName>
    <definedName name="________cta16000" localSheetId="45">#REF!</definedName>
    <definedName name="________cta16000">#REF!</definedName>
    <definedName name="________cta16100" localSheetId="43">#REF!</definedName>
    <definedName name="________cta16100" localSheetId="44">#REF!</definedName>
    <definedName name="________cta16100" localSheetId="39">#REF!</definedName>
    <definedName name="________cta16100" localSheetId="45">#REF!</definedName>
    <definedName name="________cta16100">#REF!</definedName>
    <definedName name="________cta16900" localSheetId="43">#REF!</definedName>
    <definedName name="________cta16900" localSheetId="44">#REF!</definedName>
    <definedName name="________cta16900" localSheetId="39">#REF!</definedName>
    <definedName name="________cta16900" localSheetId="45">#REF!</definedName>
    <definedName name="________cta16900">#REF!</definedName>
    <definedName name="________cta17000" localSheetId="43">#REF!</definedName>
    <definedName name="________cta17000" localSheetId="44">#REF!</definedName>
    <definedName name="________cta17000" localSheetId="39">#REF!</definedName>
    <definedName name="________cta17000" localSheetId="45">#REF!</definedName>
    <definedName name="________cta17000">#REF!</definedName>
    <definedName name="________cta18000" localSheetId="43">#REF!</definedName>
    <definedName name="________cta18000" localSheetId="44">#REF!</definedName>
    <definedName name="________cta18000" localSheetId="39">#REF!</definedName>
    <definedName name="________cta18000" localSheetId="45">#REF!</definedName>
    <definedName name="________cta18000">#REF!</definedName>
    <definedName name="________cta25200" localSheetId="43">#REF!</definedName>
    <definedName name="________cta25200" localSheetId="44">#REF!</definedName>
    <definedName name="________cta25200" localSheetId="39">#REF!</definedName>
    <definedName name="________cta25200" localSheetId="45">#REF!</definedName>
    <definedName name="________cta25200">#REF!</definedName>
    <definedName name="________cta31100" localSheetId="43">#REF!</definedName>
    <definedName name="________cta31100" localSheetId="44">#REF!</definedName>
    <definedName name="________cta31100" localSheetId="39">#REF!</definedName>
    <definedName name="________cta31100" localSheetId="45">#REF!</definedName>
    <definedName name="________cta31100">#REF!</definedName>
    <definedName name="________cta33000" localSheetId="43">#REF!</definedName>
    <definedName name="________cta33000" localSheetId="44">#REF!</definedName>
    <definedName name="________cta33000" localSheetId="39">#REF!</definedName>
    <definedName name="________cta33000" localSheetId="45">#REF!</definedName>
    <definedName name="________cta33000">#REF!</definedName>
    <definedName name="________cta34100" localSheetId="43">#REF!</definedName>
    <definedName name="________cta34100" localSheetId="44">#REF!</definedName>
    <definedName name="________cta34100" localSheetId="39">#REF!</definedName>
    <definedName name="________cta34100" localSheetId="45">#REF!</definedName>
    <definedName name="________cta34100">#REF!</definedName>
    <definedName name="________cta35102" localSheetId="43">#REF!</definedName>
    <definedName name="________cta35102" localSheetId="44">#REF!</definedName>
    <definedName name="________cta35102" localSheetId="39">#REF!</definedName>
    <definedName name="________cta35102" localSheetId="45">#REF!</definedName>
    <definedName name="________cta35102">#REF!</definedName>
    <definedName name="________CTA620" localSheetId="43">#REF!</definedName>
    <definedName name="________CTA620" localSheetId="44">#REF!</definedName>
    <definedName name="________CTA620" localSheetId="39">#REF!</definedName>
    <definedName name="________CTA620" localSheetId="45">#REF!</definedName>
    <definedName name="________CTA620">#REF!</definedName>
    <definedName name="________cta62000" localSheetId="43">#REF!</definedName>
    <definedName name="________cta62000" localSheetId="44">#REF!</definedName>
    <definedName name="________cta62000" localSheetId="39">#REF!</definedName>
    <definedName name="________cta62000" localSheetId="45">#REF!</definedName>
    <definedName name="________cta62000">#REF!</definedName>
    <definedName name="_______col137" localSheetId="43">#REF!</definedName>
    <definedName name="_______col137" localSheetId="44">#REF!</definedName>
    <definedName name="_______col137" localSheetId="39">#REF!</definedName>
    <definedName name="_______col137" localSheetId="45">#REF!</definedName>
    <definedName name="_______col137">#REF!</definedName>
    <definedName name="_______CTA10000" localSheetId="43">#REF!</definedName>
    <definedName name="_______CTA10000" localSheetId="44">#REF!</definedName>
    <definedName name="_______CTA10000" localSheetId="39">#REF!</definedName>
    <definedName name="_______CTA10000" localSheetId="45">#REF!</definedName>
    <definedName name="_______CTA10000">#REF!</definedName>
    <definedName name="_______CTA11000" localSheetId="43">#REF!</definedName>
    <definedName name="_______CTA11000" localSheetId="44">#REF!</definedName>
    <definedName name="_______CTA11000" localSheetId="39">#REF!</definedName>
    <definedName name="_______CTA11000" localSheetId="45">#REF!</definedName>
    <definedName name="_______CTA11000">#REF!</definedName>
    <definedName name="_______CTA11100" localSheetId="43">#REF!</definedName>
    <definedName name="_______CTA11100" localSheetId="44">#REF!</definedName>
    <definedName name="_______CTA11100" localSheetId="39">#REF!</definedName>
    <definedName name="_______CTA11100" localSheetId="45">#REF!</definedName>
    <definedName name="_______CTA11100">#REF!</definedName>
    <definedName name="_______CTA11200" localSheetId="43">#REF!</definedName>
    <definedName name="_______CTA11200" localSheetId="44">#REF!</definedName>
    <definedName name="_______CTA11200" localSheetId="39">#REF!</definedName>
    <definedName name="_______CTA11200" localSheetId="45">#REF!</definedName>
    <definedName name="_______CTA11200">#REF!</definedName>
    <definedName name="_______CTA11301" localSheetId="43">#REF!</definedName>
    <definedName name="_______CTA11301" localSheetId="44">#REF!</definedName>
    <definedName name="_______CTA11301" localSheetId="39">#REF!</definedName>
    <definedName name="_______CTA11301" localSheetId="45">#REF!</definedName>
    <definedName name="_______CTA11301">#REF!</definedName>
    <definedName name="_______CTA12000" localSheetId="43">#REF!</definedName>
    <definedName name="_______CTA12000" localSheetId="44">#REF!</definedName>
    <definedName name="_______CTA12000" localSheetId="39">#REF!</definedName>
    <definedName name="_______CTA12000" localSheetId="45">#REF!</definedName>
    <definedName name="_______CTA12000">#REF!</definedName>
    <definedName name="_______CTA12100" localSheetId="43">#REF!</definedName>
    <definedName name="_______CTA12100" localSheetId="44">#REF!</definedName>
    <definedName name="_______CTA12100" localSheetId="39">#REF!</definedName>
    <definedName name="_______CTA12100" localSheetId="45">#REF!</definedName>
    <definedName name="_______CTA12100">#REF!</definedName>
    <definedName name="_______CTA12201" localSheetId="43">#REF!</definedName>
    <definedName name="_______CTA12201" localSheetId="44">#REF!</definedName>
    <definedName name="_______CTA12201" localSheetId="39">#REF!</definedName>
    <definedName name="_______CTA12201" localSheetId="45">#REF!</definedName>
    <definedName name="_______CTA12201">#REF!</definedName>
    <definedName name="_______cta12900" localSheetId="43">#REF!</definedName>
    <definedName name="_______cta12900" localSheetId="44">#REF!</definedName>
    <definedName name="_______cta12900" localSheetId="39">#REF!</definedName>
    <definedName name="_______cta12900" localSheetId="45">#REF!</definedName>
    <definedName name="_______cta12900">#REF!</definedName>
    <definedName name="_______cta13000" localSheetId="43">#REF!</definedName>
    <definedName name="_______cta13000" localSheetId="44">#REF!</definedName>
    <definedName name="_______cta13000" localSheetId="39">#REF!</definedName>
    <definedName name="_______cta13000" localSheetId="45">#REF!</definedName>
    <definedName name="_______cta13000">#REF!</definedName>
    <definedName name="_______cta13100" localSheetId="43">#REF!</definedName>
    <definedName name="_______cta13100" localSheetId="44">#REF!</definedName>
    <definedName name="_______cta13100" localSheetId="39">#REF!</definedName>
    <definedName name="_______cta13100" localSheetId="45">#REF!</definedName>
    <definedName name="_______cta13100">#REF!</definedName>
    <definedName name="_______cta13200" localSheetId="43">#REF!</definedName>
    <definedName name="_______cta13200" localSheetId="44">#REF!</definedName>
    <definedName name="_______cta13200" localSheetId="39">#REF!</definedName>
    <definedName name="_______cta13200" localSheetId="45">#REF!</definedName>
    <definedName name="_______cta13200">#REF!</definedName>
    <definedName name="_______cta13300" localSheetId="43">#REF!</definedName>
    <definedName name="_______cta13300" localSheetId="44">#REF!</definedName>
    <definedName name="_______cta13300" localSheetId="39">#REF!</definedName>
    <definedName name="_______cta13300" localSheetId="45">#REF!</definedName>
    <definedName name="_______cta13300">#REF!</definedName>
    <definedName name="_______cta13900" localSheetId="43">#REF!</definedName>
    <definedName name="_______cta13900" localSheetId="44">#REF!</definedName>
    <definedName name="_______cta13900" localSheetId="39">#REF!</definedName>
    <definedName name="_______cta13900" localSheetId="45">#REF!</definedName>
    <definedName name="_______cta13900">#REF!</definedName>
    <definedName name="_______cta14000" localSheetId="43">#REF!</definedName>
    <definedName name="_______cta14000" localSheetId="44">#REF!</definedName>
    <definedName name="_______cta14000" localSheetId="39">#REF!</definedName>
    <definedName name="_______cta14000" localSheetId="45">#REF!</definedName>
    <definedName name="_______cta14000">#REF!</definedName>
    <definedName name="_______cta14900" localSheetId="43">#REF!</definedName>
    <definedName name="_______cta14900" localSheetId="44">#REF!</definedName>
    <definedName name="_______cta14900" localSheetId="39">#REF!</definedName>
    <definedName name="_______cta14900" localSheetId="45">#REF!</definedName>
    <definedName name="_______cta14900">#REF!</definedName>
    <definedName name="_______cta15000" localSheetId="43">#REF!</definedName>
    <definedName name="_______cta15000" localSheetId="44">#REF!</definedName>
    <definedName name="_______cta15000" localSheetId="39">#REF!</definedName>
    <definedName name="_______cta15000" localSheetId="45">#REF!</definedName>
    <definedName name="_______cta15000">#REF!</definedName>
    <definedName name="_______cta15900" localSheetId="43">#REF!</definedName>
    <definedName name="_______cta15900" localSheetId="44">#REF!</definedName>
    <definedName name="_______cta15900" localSheetId="39">#REF!</definedName>
    <definedName name="_______cta15900" localSheetId="45">#REF!</definedName>
    <definedName name="_______cta15900">#REF!</definedName>
    <definedName name="_______cta16000" localSheetId="43">#REF!</definedName>
    <definedName name="_______cta16000" localSheetId="44">#REF!</definedName>
    <definedName name="_______cta16000" localSheetId="39">#REF!</definedName>
    <definedName name="_______cta16000" localSheetId="45">#REF!</definedName>
    <definedName name="_______cta16000">#REF!</definedName>
    <definedName name="_______cta16100" localSheetId="43">#REF!</definedName>
    <definedName name="_______cta16100" localSheetId="44">#REF!</definedName>
    <definedName name="_______cta16100" localSheetId="39">#REF!</definedName>
    <definedName name="_______cta16100" localSheetId="45">#REF!</definedName>
    <definedName name="_______cta16100">#REF!</definedName>
    <definedName name="_______cta16900" localSheetId="43">#REF!</definedName>
    <definedName name="_______cta16900" localSheetId="44">#REF!</definedName>
    <definedName name="_______cta16900" localSheetId="39">#REF!</definedName>
    <definedName name="_______cta16900" localSheetId="45">#REF!</definedName>
    <definedName name="_______cta16900">#REF!</definedName>
    <definedName name="_______cta17000" localSheetId="43">#REF!</definedName>
    <definedName name="_______cta17000" localSheetId="44">#REF!</definedName>
    <definedName name="_______cta17000" localSheetId="39">#REF!</definedName>
    <definedName name="_______cta17000" localSheetId="45">#REF!</definedName>
    <definedName name="_______cta17000">#REF!</definedName>
    <definedName name="_______cta18000" localSheetId="43">#REF!</definedName>
    <definedName name="_______cta18000" localSheetId="44">#REF!</definedName>
    <definedName name="_______cta18000" localSheetId="39">#REF!</definedName>
    <definedName name="_______cta18000" localSheetId="45">#REF!</definedName>
    <definedName name="_______cta18000">#REF!</definedName>
    <definedName name="_______cta25200" localSheetId="43">#REF!</definedName>
    <definedName name="_______cta25200" localSheetId="44">#REF!</definedName>
    <definedName name="_______cta25200" localSheetId="39">#REF!</definedName>
    <definedName name="_______cta25200" localSheetId="45">#REF!</definedName>
    <definedName name="_______cta25200">#REF!</definedName>
    <definedName name="_______cta31100" localSheetId="43">#REF!</definedName>
    <definedName name="_______cta31100" localSheetId="44">#REF!</definedName>
    <definedName name="_______cta31100" localSheetId="39">#REF!</definedName>
    <definedName name="_______cta31100" localSheetId="45">#REF!</definedName>
    <definedName name="_______cta31100">#REF!</definedName>
    <definedName name="_______cta33000" localSheetId="43">#REF!</definedName>
    <definedName name="_______cta33000" localSheetId="44">#REF!</definedName>
    <definedName name="_______cta33000" localSheetId="39">#REF!</definedName>
    <definedName name="_______cta33000" localSheetId="45">#REF!</definedName>
    <definedName name="_______cta33000">#REF!</definedName>
    <definedName name="_______cta34100" localSheetId="43">#REF!</definedName>
    <definedName name="_______cta34100" localSheetId="44">#REF!</definedName>
    <definedName name="_______cta34100" localSheetId="39">#REF!</definedName>
    <definedName name="_______cta34100" localSheetId="45">#REF!</definedName>
    <definedName name="_______cta34100">#REF!</definedName>
    <definedName name="_______cta35102" localSheetId="43">#REF!</definedName>
    <definedName name="_______cta35102" localSheetId="44">#REF!</definedName>
    <definedName name="_______cta35102" localSheetId="39">#REF!</definedName>
    <definedName name="_______cta35102" localSheetId="45">#REF!</definedName>
    <definedName name="_______cta35102">#REF!</definedName>
    <definedName name="_______CTA620" localSheetId="43">#REF!</definedName>
    <definedName name="_______CTA620" localSheetId="44">#REF!</definedName>
    <definedName name="_______CTA620" localSheetId="39">#REF!</definedName>
    <definedName name="_______CTA620" localSheetId="45">#REF!</definedName>
    <definedName name="_______CTA620">#REF!</definedName>
    <definedName name="_______cta62000" localSheetId="43">#REF!</definedName>
    <definedName name="_______cta62000" localSheetId="44">#REF!</definedName>
    <definedName name="_______cta62000" localSheetId="39">#REF!</definedName>
    <definedName name="_______cta62000" localSheetId="45">#REF!</definedName>
    <definedName name="_______cta62000">#REF!</definedName>
    <definedName name="_____CTA10000" localSheetId="43">#REF!</definedName>
    <definedName name="_____CTA10000" localSheetId="44">#REF!</definedName>
    <definedName name="_____CTA10000" localSheetId="39">#REF!</definedName>
    <definedName name="_____CTA10000" localSheetId="45">#REF!</definedName>
    <definedName name="_____CTA10000">#REF!</definedName>
    <definedName name="_____CTA11000" localSheetId="43">#REF!</definedName>
    <definedName name="_____CTA11000" localSheetId="44">#REF!</definedName>
    <definedName name="_____CTA11000" localSheetId="39">#REF!</definedName>
    <definedName name="_____CTA11000" localSheetId="45">#REF!</definedName>
    <definedName name="_____CTA11000">#REF!</definedName>
    <definedName name="_____CTA11100" localSheetId="43">#REF!</definedName>
    <definedName name="_____CTA11100" localSheetId="44">#REF!</definedName>
    <definedName name="_____CTA11100" localSheetId="39">#REF!</definedName>
    <definedName name="_____CTA11100" localSheetId="45">#REF!</definedName>
    <definedName name="_____CTA11100">#REF!</definedName>
    <definedName name="_____CTA11200" localSheetId="43">#REF!</definedName>
    <definedName name="_____CTA11200" localSheetId="44">#REF!</definedName>
    <definedName name="_____CTA11200" localSheetId="39">#REF!</definedName>
    <definedName name="_____CTA11200" localSheetId="45">#REF!</definedName>
    <definedName name="_____CTA11200">#REF!</definedName>
    <definedName name="_____CTA11301" localSheetId="43">#REF!</definedName>
    <definedName name="_____CTA11301" localSheetId="44">#REF!</definedName>
    <definedName name="_____CTA11301" localSheetId="39">#REF!</definedName>
    <definedName name="_____CTA11301" localSheetId="45">#REF!</definedName>
    <definedName name="_____CTA11301">#REF!</definedName>
    <definedName name="_____CTA12000" localSheetId="43">#REF!</definedName>
    <definedName name="_____CTA12000" localSheetId="44">#REF!</definedName>
    <definedName name="_____CTA12000" localSheetId="39">#REF!</definedName>
    <definedName name="_____CTA12000" localSheetId="45">#REF!</definedName>
    <definedName name="_____CTA12000">#REF!</definedName>
    <definedName name="_____CTA12100" localSheetId="43">#REF!</definedName>
    <definedName name="_____CTA12100" localSheetId="44">#REF!</definedName>
    <definedName name="_____CTA12100" localSheetId="39">#REF!</definedName>
    <definedName name="_____CTA12100" localSheetId="45">#REF!</definedName>
    <definedName name="_____CTA12100">#REF!</definedName>
    <definedName name="_____CTA12201" localSheetId="43">#REF!</definedName>
    <definedName name="_____CTA12201" localSheetId="44">#REF!</definedName>
    <definedName name="_____CTA12201" localSheetId="39">#REF!</definedName>
    <definedName name="_____CTA12201" localSheetId="45">#REF!</definedName>
    <definedName name="_____CTA12201">#REF!</definedName>
    <definedName name="_____cta12900" localSheetId="43">#REF!</definedName>
    <definedName name="_____cta12900" localSheetId="44">#REF!</definedName>
    <definedName name="_____cta12900" localSheetId="39">#REF!</definedName>
    <definedName name="_____cta12900" localSheetId="45">#REF!</definedName>
    <definedName name="_____cta12900">#REF!</definedName>
    <definedName name="_____cta13000" localSheetId="43">#REF!</definedName>
    <definedName name="_____cta13000" localSheetId="44">#REF!</definedName>
    <definedName name="_____cta13000" localSheetId="39">#REF!</definedName>
    <definedName name="_____cta13000" localSheetId="45">#REF!</definedName>
    <definedName name="_____cta13000">#REF!</definedName>
    <definedName name="_____cta13100" localSheetId="43">#REF!</definedName>
    <definedName name="_____cta13100" localSheetId="44">#REF!</definedName>
    <definedName name="_____cta13100" localSheetId="39">#REF!</definedName>
    <definedName name="_____cta13100" localSheetId="45">#REF!</definedName>
    <definedName name="_____cta13100">#REF!</definedName>
    <definedName name="_____cta13200" localSheetId="43">#REF!</definedName>
    <definedName name="_____cta13200" localSheetId="44">#REF!</definedName>
    <definedName name="_____cta13200" localSheetId="39">#REF!</definedName>
    <definedName name="_____cta13200" localSheetId="45">#REF!</definedName>
    <definedName name="_____cta13200">#REF!</definedName>
    <definedName name="_____cta13300" localSheetId="43">#REF!</definedName>
    <definedName name="_____cta13300" localSheetId="44">#REF!</definedName>
    <definedName name="_____cta13300" localSheetId="39">#REF!</definedName>
    <definedName name="_____cta13300" localSheetId="45">#REF!</definedName>
    <definedName name="_____cta13300">#REF!</definedName>
    <definedName name="_____cta13900" localSheetId="43">#REF!</definedName>
    <definedName name="_____cta13900" localSheetId="44">#REF!</definedName>
    <definedName name="_____cta13900" localSheetId="39">#REF!</definedName>
    <definedName name="_____cta13900" localSheetId="45">#REF!</definedName>
    <definedName name="_____cta13900">#REF!</definedName>
    <definedName name="_____cta14000" localSheetId="43">#REF!</definedName>
    <definedName name="_____cta14000" localSheetId="44">#REF!</definedName>
    <definedName name="_____cta14000" localSheetId="39">#REF!</definedName>
    <definedName name="_____cta14000" localSheetId="45">#REF!</definedName>
    <definedName name="_____cta14000">#REF!</definedName>
    <definedName name="_____cta14900" localSheetId="43">#REF!</definedName>
    <definedName name="_____cta14900" localSheetId="44">#REF!</definedName>
    <definedName name="_____cta14900" localSheetId="39">#REF!</definedName>
    <definedName name="_____cta14900" localSheetId="45">#REF!</definedName>
    <definedName name="_____cta14900">#REF!</definedName>
    <definedName name="_____cta15000" localSheetId="43">#REF!</definedName>
    <definedName name="_____cta15000" localSheetId="44">#REF!</definedName>
    <definedName name="_____cta15000" localSheetId="39">#REF!</definedName>
    <definedName name="_____cta15000" localSheetId="45">#REF!</definedName>
    <definedName name="_____cta15000">#REF!</definedName>
    <definedName name="_____cta15900" localSheetId="43">#REF!</definedName>
    <definedName name="_____cta15900" localSheetId="44">#REF!</definedName>
    <definedName name="_____cta15900" localSheetId="39">#REF!</definedName>
    <definedName name="_____cta15900" localSheetId="45">#REF!</definedName>
    <definedName name="_____cta15900">#REF!</definedName>
    <definedName name="_____cta16000" localSheetId="43">#REF!</definedName>
    <definedName name="_____cta16000" localSheetId="44">#REF!</definedName>
    <definedName name="_____cta16000" localSheetId="39">#REF!</definedName>
    <definedName name="_____cta16000" localSheetId="45">#REF!</definedName>
    <definedName name="_____cta16000">#REF!</definedName>
    <definedName name="_____cta16100" localSheetId="43">#REF!</definedName>
    <definedName name="_____cta16100" localSheetId="44">#REF!</definedName>
    <definedName name="_____cta16100" localSheetId="39">#REF!</definedName>
    <definedName name="_____cta16100" localSheetId="45">#REF!</definedName>
    <definedName name="_____cta16100">#REF!</definedName>
    <definedName name="_____cta16900" localSheetId="43">#REF!</definedName>
    <definedName name="_____cta16900" localSheetId="44">#REF!</definedName>
    <definedName name="_____cta16900" localSheetId="39">#REF!</definedName>
    <definedName name="_____cta16900" localSheetId="45">#REF!</definedName>
    <definedName name="_____cta16900">#REF!</definedName>
    <definedName name="_____cta17000" localSheetId="43">#REF!</definedName>
    <definedName name="_____cta17000" localSheetId="44">#REF!</definedName>
    <definedName name="_____cta17000" localSheetId="39">#REF!</definedName>
    <definedName name="_____cta17000" localSheetId="45">#REF!</definedName>
    <definedName name="_____cta17000">#REF!</definedName>
    <definedName name="_____cta18000" localSheetId="43">#REF!</definedName>
    <definedName name="_____cta18000" localSheetId="44">#REF!</definedName>
    <definedName name="_____cta18000" localSheetId="39">#REF!</definedName>
    <definedName name="_____cta18000" localSheetId="45">#REF!</definedName>
    <definedName name="_____cta18000">#REF!</definedName>
    <definedName name="_____cta25200" localSheetId="43">#REF!</definedName>
    <definedName name="_____cta25200" localSheetId="44">#REF!</definedName>
    <definedName name="_____cta25200" localSheetId="39">#REF!</definedName>
    <definedName name="_____cta25200" localSheetId="45">#REF!</definedName>
    <definedName name="_____cta25200">#REF!</definedName>
    <definedName name="_____cta31100" localSheetId="43">#REF!</definedName>
    <definedName name="_____cta31100" localSheetId="44">#REF!</definedName>
    <definedName name="_____cta31100" localSheetId="39">#REF!</definedName>
    <definedName name="_____cta31100" localSheetId="45">#REF!</definedName>
    <definedName name="_____cta31100">#REF!</definedName>
    <definedName name="_____cta33000" localSheetId="43">#REF!</definedName>
    <definedName name="_____cta33000" localSheetId="44">#REF!</definedName>
    <definedName name="_____cta33000" localSheetId="39">#REF!</definedName>
    <definedName name="_____cta33000" localSheetId="45">#REF!</definedName>
    <definedName name="_____cta33000">#REF!</definedName>
    <definedName name="_____cta34100" localSheetId="43">#REF!</definedName>
    <definedName name="_____cta34100" localSheetId="44">#REF!</definedName>
    <definedName name="_____cta34100" localSheetId="39">#REF!</definedName>
    <definedName name="_____cta34100" localSheetId="45">#REF!</definedName>
    <definedName name="_____cta34100">#REF!</definedName>
    <definedName name="_____cta35102" localSheetId="43">#REF!</definedName>
    <definedName name="_____cta35102" localSheetId="44">#REF!</definedName>
    <definedName name="_____cta35102" localSheetId="39">#REF!</definedName>
    <definedName name="_____cta35102" localSheetId="45">#REF!</definedName>
    <definedName name="_____cta35102">#REF!</definedName>
    <definedName name="_____CTA620" localSheetId="43">#REF!</definedName>
    <definedName name="_____CTA620" localSheetId="44">#REF!</definedName>
    <definedName name="_____CTA620" localSheetId="39">#REF!</definedName>
    <definedName name="_____CTA620" localSheetId="45">#REF!</definedName>
    <definedName name="_____CTA620">#REF!</definedName>
    <definedName name="_____cta62000" localSheetId="43">#REF!</definedName>
    <definedName name="_____cta62000" localSheetId="44">#REF!</definedName>
    <definedName name="_____cta62000" localSheetId="39">#REF!</definedName>
    <definedName name="_____cta62000" localSheetId="45">#REF!</definedName>
    <definedName name="_____cta62000">#REF!</definedName>
    <definedName name="____col137" localSheetId="43">#REF!</definedName>
    <definedName name="____col137" localSheetId="44">#REF!</definedName>
    <definedName name="____col137" localSheetId="39">#REF!</definedName>
    <definedName name="____col137" localSheetId="45">#REF!</definedName>
    <definedName name="____col137">#REF!</definedName>
    <definedName name="____CTA10000" localSheetId="43">#REF!</definedName>
    <definedName name="____CTA10000" localSheetId="44">#REF!</definedName>
    <definedName name="____CTA10000" localSheetId="39">#REF!</definedName>
    <definedName name="____CTA10000" localSheetId="45">#REF!</definedName>
    <definedName name="____CTA10000">#REF!</definedName>
    <definedName name="____CTA11000" localSheetId="43">#REF!</definedName>
    <definedName name="____CTA11000" localSheetId="44">#REF!</definedName>
    <definedName name="____CTA11000" localSheetId="39">#REF!</definedName>
    <definedName name="____CTA11000" localSheetId="45">#REF!</definedName>
    <definedName name="____CTA11000">#REF!</definedName>
    <definedName name="____CTA11100" localSheetId="43">#REF!</definedName>
    <definedName name="____CTA11100" localSheetId="44">#REF!</definedName>
    <definedName name="____CTA11100" localSheetId="39">#REF!</definedName>
    <definedName name="____CTA11100" localSheetId="45">#REF!</definedName>
    <definedName name="____CTA11100">#REF!</definedName>
    <definedName name="____CTA11200" localSheetId="43">#REF!</definedName>
    <definedName name="____CTA11200" localSheetId="44">#REF!</definedName>
    <definedName name="____CTA11200" localSheetId="39">#REF!</definedName>
    <definedName name="____CTA11200" localSheetId="45">#REF!</definedName>
    <definedName name="____CTA11200">#REF!</definedName>
    <definedName name="____CTA11301" localSheetId="43">#REF!</definedName>
    <definedName name="____CTA11301" localSheetId="44">#REF!</definedName>
    <definedName name="____CTA11301" localSheetId="39">#REF!</definedName>
    <definedName name="____CTA11301" localSheetId="45">#REF!</definedName>
    <definedName name="____CTA11301">#REF!</definedName>
    <definedName name="____CTA12000" localSheetId="43">#REF!</definedName>
    <definedName name="____CTA12000" localSheetId="44">#REF!</definedName>
    <definedName name="____CTA12000" localSheetId="39">#REF!</definedName>
    <definedName name="____CTA12000" localSheetId="45">#REF!</definedName>
    <definedName name="____CTA12000">#REF!</definedName>
    <definedName name="____CTA12100" localSheetId="43">#REF!</definedName>
    <definedName name="____CTA12100" localSheetId="44">#REF!</definedName>
    <definedName name="____CTA12100" localSheetId="39">#REF!</definedName>
    <definedName name="____CTA12100" localSheetId="45">#REF!</definedName>
    <definedName name="____CTA12100">#REF!</definedName>
    <definedName name="____CTA12201" localSheetId="43">#REF!</definedName>
    <definedName name="____CTA12201" localSheetId="44">#REF!</definedName>
    <definedName name="____CTA12201" localSheetId="39">#REF!</definedName>
    <definedName name="____CTA12201" localSheetId="45">#REF!</definedName>
    <definedName name="____CTA12201">#REF!</definedName>
    <definedName name="____cta12900" localSheetId="43">#REF!</definedName>
    <definedName name="____cta12900" localSheetId="44">#REF!</definedName>
    <definedName name="____cta12900" localSheetId="39">#REF!</definedName>
    <definedName name="____cta12900" localSheetId="45">#REF!</definedName>
    <definedName name="____cta12900">#REF!</definedName>
    <definedName name="____cta13000" localSheetId="43">#REF!</definedName>
    <definedName name="____cta13000" localSheetId="44">#REF!</definedName>
    <definedName name="____cta13000" localSheetId="39">#REF!</definedName>
    <definedName name="____cta13000" localSheetId="45">#REF!</definedName>
    <definedName name="____cta13000">#REF!</definedName>
    <definedName name="____cta13100" localSheetId="43">#REF!</definedName>
    <definedName name="____cta13100" localSheetId="44">#REF!</definedName>
    <definedName name="____cta13100" localSheetId="39">#REF!</definedName>
    <definedName name="____cta13100" localSheetId="45">#REF!</definedName>
    <definedName name="____cta13100">#REF!</definedName>
    <definedName name="____cta13200" localSheetId="43">#REF!</definedName>
    <definedName name="____cta13200" localSheetId="44">#REF!</definedName>
    <definedName name="____cta13200" localSheetId="39">#REF!</definedName>
    <definedName name="____cta13200" localSheetId="45">#REF!</definedName>
    <definedName name="____cta13200">#REF!</definedName>
    <definedName name="____cta13300" localSheetId="43">#REF!</definedName>
    <definedName name="____cta13300" localSheetId="44">#REF!</definedName>
    <definedName name="____cta13300" localSheetId="39">#REF!</definedName>
    <definedName name="____cta13300" localSheetId="45">#REF!</definedName>
    <definedName name="____cta13300">#REF!</definedName>
    <definedName name="____cta13900" localSheetId="43">#REF!</definedName>
    <definedName name="____cta13900" localSheetId="44">#REF!</definedName>
    <definedName name="____cta13900" localSheetId="39">#REF!</definedName>
    <definedName name="____cta13900" localSheetId="45">#REF!</definedName>
    <definedName name="____cta13900">#REF!</definedName>
    <definedName name="____cta14000" localSheetId="43">#REF!</definedName>
    <definedName name="____cta14000" localSheetId="44">#REF!</definedName>
    <definedName name="____cta14000" localSheetId="39">#REF!</definedName>
    <definedName name="____cta14000" localSheetId="45">#REF!</definedName>
    <definedName name="____cta14000">#REF!</definedName>
    <definedName name="____cta14900" localSheetId="43">#REF!</definedName>
    <definedName name="____cta14900" localSheetId="44">#REF!</definedName>
    <definedName name="____cta14900" localSheetId="39">#REF!</definedName>
    <definedName name="____cta14900" localSheetId="45">#REF!</definedName>
    <definedName name="____cta14900">#REF!</definedName>
    <definedName name="____cta15000" localSheetId="43">#REF!</definedName>
    <definedName name="____cta15000" localSheetId="44">#REF!</definedName>
    <definedName name="____cta15000" localSheetId="39">#REF!</definedName>
    <definedName name="____cta15000" localSheetId="45">#REF!</definedName>
    <definedName name="____cta15000">#REF!</definedName>
    <definedName name="____cta15900" localSheetId="43">#REF!</definedName>
    <definedName name="____cta15900" localSheetId="44">#REF!</definedName>
    <definedName name="____cta15900" localSheetId="39">#REF!</definedName>
    <definedName name="____cta15900" localSheetId="45">#REF!</definedName>
    <definedName name="____cta15900">#REF!</definedName>
    <definedName name="____cta16000" localSheetId="43">#REF!</definedName>
    <definedName name="____cta16000" localSheetId="44">#REF!</definedName>
    <definedName name="____cta16000" localSheetId="39">#REF!</definedName>
    <definedName name="____cta16000" localSheetId="45">#REF!</definedName>
    <definedName name="____cta16000">#REF!</definedName>
    <definedName name="____cta16100" localSheetId="43">#REF!</definedName>
    <definedName name="____cta16100" localSheetId="44">#REF!</definedName>
    <definedName name="____cta16100" localSheetId="39">#REF!</definedName>
    <definedName name="____cta16100" localSheetId="45">#REF!</definedName>
    <definedName name="____cta16100">#REF!</definedName>
    <definedName name="____cta16900" localSheetId="43">#REF!</definedName>
    <definedName name="____cta16900" localSheetId="44">#REF!</definedName>
    <definedName name="____cta16900" localSheetId="39">#REF!</definedName>
    <definedName name="____cta16900" localSheetId="45">#REF!</definedName>
    <definedName name="____cta16900">#REF!</definedName>
    <definedName name="____cta17000" localSheetId="43">#REF!</definedName>
    <definedName name="____cta17000" localSheetId="44">#REF!</definedName>
    <definedName name="____cta17000" localSheetId="39">#REF!</definedName>
    <definedName name="____cta17000" localSheetId="45">#REF!</definedName>
    <definedName name="____cta17000">#REF!</definedName>
    <definedName name="____cta18000" localSheetId="43">#REF!</definedName>
    <definedName name="____cta18000" localSheetId="44">#REF!</definedName>
    <definedName name="____cta18000" localSheetId="39">#REF!</definedName>
    <definedName name="____cta18000" localSheetId="45">#REF!</definedName>
    <definedName name="____cta18000">#REF!</definedName>
    <definedName name="____cta25200" localSheetId="43">#REF!</definedName>
    <definedName name="____cta25200" localSheetId="44">#REF!</definedName>
    <definedName name="____cta25200" localSheetId="39">#REF!</definedName>
    <definedName name="____cta25200" localSheetId="45">#REF!</definedName>
    <definedName name="____cta25200">#REF!</definedName>
    <definedName name="____cta31100" localSheetId="43">#REF!</definedName>
    <definedName name="____cta31100" localSheetId="44">#REF!</definedName>
    <definedName name="____cta31100" localSheetId="39">#REF!</definedName>
    <definedName name="____cta31100" localSheetId="45">#REF!</definedName>
    <definedName name="____cta31100">#REF!</definedName>
    <definedName name="____cta33000" localSheetId="43">#REF!</definedName>
    <definedName name="____cta33000" localSheetId="44">#REF!</definedName>
    <definedName name="____cta33000" localSheetId="39">#REF!</definedName>
    <definedName name="____cta33000" localSheetId="45">#REF!</definedName>
    <definedName name="____cta33000">#REF!</definedName>
    <definedName name="____cta34100" localSheetId="43">#REF!</definedName>
    <definedName name="____cta34100" localSheetId="44">#REF!</definedName>
    <definedName name="____cta34100" localSheetId="39">#REF!</definedName>
    <definedName name="____cta34100" localSheetId="45">#REF!</definedName>
    <definedName name="____cta34100">#REF!</definedName>
    <definedName name="____cta35102" localSheetId="43">#REF!</definedName>
    <definedName name="____cta35102" localSheetId="44">#REF!</definedName>
    <definedName name="____cta35102" localSheetId="39">#REF!</definedName>
    <definedName name="____cta35102" localSheetId="45">#REF!</definedName>
    <definedName name="____cta35102">#REF!</definedName>
    <definedName name="____CTA620" localSheetId="43">#REF!</definedName>
    <definedName name="____CTA620" localSheetId="44">#REF!</definedName>
    <definedName name="____CTA620" localSheetId="39">#REF!</definedName>
    <definedName name="____CTA620" localSheetId="45">#REF!</definedName>
    <definedName name="____CTA620">#REF!</definedName>
    <definedName name="____cta62000" localSheetId="43">#REF!</definedName>
    <definedName name="____cta62000" localSheetId="44">#REF!</definedName>
    <definedName name="____cta62000" localSheetId="39">#REF!</definedName>
    <definedName name="____cta62000" localSheetId="45">#REF!</definedName>
    <definedName name="____cta62000">#REF!</definedName>
    <definedName name="___col137" localSheetId="43">#REF!</definedName>
    <definedName name="___col137" localSheetId="44">#REF!</definedName>
    <definedName name="___col137" localSheetId="39">#REF!</definedName>
    <definedName name="___col137" localSheetId="45">#REF!</definedName>
    <definedName name="___col137">#REF!</definedName>
    <definedName name="___CTA10000" localSheetId="43">#REF!</definedName>
    <definedName name="___CTA10000" localSheetId="44">#REF!</definedName>
    <definedName name="___CTA10000" localSheetId="39">#REF!</definedName>
    <definedName name="___CTA10000" localSheetId="45">#REF!</definedName>
    <definedName name="___CTA10000">#REF!</definedName>
    <definedName name="___CTA11000" localSheetId="43">#REF!</definedName>
    <definedName name="___CTA11000" localSheetId="44">#REF!</definedName>
    <definedName name="___CTA11000" localSheetId="39">#REF!</definedName>
    <definedName name="___CTA11000" localSheetId="45">#REF!</definedName>
    <definedName name="___CTA11000">#REF!</definedName>
    <definedName name="___CTA11100" localSheetId="43">#REF!</definedName>
    <definedName name="___CTA11100" localSheetId="44">#REF!</definedName>
    <definedName name="___CTA11100" localSheetId="39">#REF!</definedName>
    <definedName name="___CTA11100" localSheetId="45">#REF!</definedName>
    <definedName name="___CTA11100">#REF!</definedName>
    <definedName name="___CTA11200" localSheetId="43">#REF!</definedName>
    <definedName name="___CTA11200" localSheetId="44">#REF!</definedName>
    <definedName name="___CTA11200" localSheetId="39">#REF!</definedName>
    <definedName name="___CTA11200" localSheetId="45">#REF!</definedName>
    <definedName name="___CTA11200">#REF!</definedName>
    <definedName name="___CTA11301" localSheetId="43">#REF!</definedName>
    <definedName name="___CTA11301" localSheetId="44">#REF!</definedName>
    <definedName name="___CTA11301" localSheetId="39">#REF!</definedName>
    <definedName name="___CTA11301" localSheetId="45">#REF!</definedName>
    <definedName name="___CTA11301">#REF!</definedName>
    <definedName name="___CTA12000" localSheetId="43">#REF!</definedName>
    <definedName name="___CTA12000" localSheetId="44">#REF!</definedName>
    <definedName name="___CTA12000" localSheetId="39">#REF!</definedName>
    <definedName name="___CTA12000" localSheetId="45">#REF!</definedName>
    <definedName name="___CTA12000">#REF!</definedName>
    <definedName name="___CTA12100" localSheetId="43">#REF!</definedName>
    <definedName name="___CTA12100" localSheetId="44">#REF!</definedName>
    <definedName name="___CTA12100" localSheetId="39">#REF!</definedName>
    <definedName name="___CTA12100" localSheetId="45">#REF!</definedName>
    <definedName name="___CTA12100">#REF!</definedName>
    <definedName name="___CTA12201" localSheetId="43">#REF!</definedName>
    <definedName name="___CTA12201" localSheetId="44">#REF!</definedName>
    <definedName name="___CTA12201" localSheetId="39">#REF!</definedName>
    <definedName name="___CTA12201" localSheetId="45">#REF!</definedName>
    <definedName name="___CTA12201">#REF!</definedName>
    <definedName name="___cta12900" localSheetId="43">#REF!</definedName>
    <definedName name="___cta12900" localSheetId="44">#REF!</definedName>
    <definedName name="___cta12900" localSheetId="39">#REF!</definedName>
    <definedName name="___cta12900" localSheetId="45">#REF!</definedName>
    <definedName name="___cta12900">#REF!</definedName>
    <definedName name="___cta13000" localSheetId="43">#REF!</definedName>
    <definedName name="___cta13000" localSheetId="44">#REF!</definedName>
    <definedName name="___cta13000" localSheetId="39">#REF!</definedName>
    <definedName name="___cta13000" localSheetId="45">#REF!</definedName>
    <definedName name="___cta13000">#REF!</definedName>
    <definedName name="___cta13100" localSheetId="43">#REF!</definedName>
    <definedName name="___cta13100" localSheetId="44">#REF!</definedName>
    <definedName name="___cta13100" localSheetId="39">#REF!</definedName>
    <definedName name="___cta13100" localSheetId="45">#REF!</definedName>
    <definedName name="___cta13100">#REF!</definedName>
    <definedName name="___cta13200" localSheetId="43">#REF!</definedName>
    <definedName name="___cta13200" localSheetId="44">#REF!</definedName>
    <definedName name="___cta13200" localSheetId="39">#REF!</definedName>
    <definedName name="___cta13200" localSheetId="45">#REF!</definedName>
    <definedName name="___cta13200">#REF!</definedName>
    <definedName name="___cta13300" localSheetId="43">#REF!</definedName>
    <definedName name="___cta13300" localSheetId="44">#REF!</definedName>
    <definedName name="___cta13300" localSheetId="39">#REF!</definedName>
    <definedName name="___cta13300" localSheetId="45">#REF!</definedName>
    <definedName name="___cta13300">#REF!</definedName>
    <definedName name="___cta13900" localSheetId="43">#REF!</definedName>
    <definedName name="___cta13900" localSheetId="44">#REF!</definedName>
    <definedName name="___cta13900" localSheetId="39">#REF!</definedName>
    <definedName name="___cta13900" localSheetId="45">#REF!</definedName>
    <definedName name="___cta13900">#REF!</definedName>
    <definedName name="___cta14000" localSheetId="43">#REF!</definedName>
    <definedName name="___cta14000" localSheetId="44">#REF!</definedName>
    <definedName name="___cta14000" localSheetId="39">#REF!</definedName>
    <definedName name="___cta14000" localSheetId="45">#REF!</definedName>
    <definedName name="___cta14000">#REF!</definedName>
    <definedName name="___cta14900" localSheetId="43">#REF!</definedName>
    <definedName name="___cta14900" localSheetId="44">#REF!</definedName>
    <definedName name="___cta14900" localSheetId="39">#REF!</definedName>
    <definedName name="___cta14900" localSheetId="45">#REF!</definedName>
    <definedName name="___cta14900">#REF!</definedName>
    <definedName name="___cta15000" localSheetId="43">#REF!</definedName>
    <definedName name="___cta15000" localSheetId="44">#REF!</definedName>
    <definedName name="___cta15000" localSheetId="39">#REF!</definedName>
    <definedName name="___cta15000" localSheetId="45">#REF!</definedName>
    <definedName name="___cta15000">#REF!</definedName>
    <definedName name="___cta15900" localSheetId="43">#REF!</definedName>
    <definedName name="___cta15900" localSheetId="44">#REF!</definedName>
    <definedName name="___cta15900" localSheetId="39">#REF!</definedName>
    <definedName name="___cta15900" localSheetId="45">#REF!</definedName>
    <definedName name="___cta15900">#REF!</definedName>
    <definedName name="___cta16000" localSheetId="43">#REF!</definedName>
    <definedName name="___cta16000" localSheetId="44">#REF!</definedName>
    <definedName name="___cta16000" localSheetId="39">#REF!</definedName>
    <definedName name="___cta16000" localSheetId="45">#REF!</definedName>
    <definedName name="___cta16000">#REF!</definedName>
    <definedName name="___cta16100" localSheetId="43">#REF!</definedName>
    <definedName name="___cta16100" localSheetId="44">#REF!</definedName>
    <definedName name="___cta16100" localSheetId="39">#REF!</definedName>
    <definedName name="___cta16100" localSheetId="45">#REF!</definedName>
    <definedName name="___cta16100">#REF!</definedName>
    <definedName name="___cta16900" localSheetId="43">#REF!</definedName>
    <definedName name="___cta16900" localSheetId="44">#REF!</definedName>
    <definedName name="___cta16900" localSheetId="39">#REF!</definedName>
    <definedName name="___cta16900" localSheetId="45">#REF!</definedName>
    <definedName name="___cta16900">#REF!</definedName>
    <definedName name="___cta17000" localSheetId="43">#REF!</definedName>
    <definedName name="___cta17000" localSheetId="44">#REF!</definedName>
    <definedName name="___cta17000" localSheetId="39">#REF!</definedName>
    <definedName name="___cta17000" localSheetId="45">#REF!</definedName>
    <definedName name="___cta17000">#REF!</definedName>
    <definedName name="___cta18000" localSheetId="43">#REF!</definedName>
    <definedName name="___cta18000" localSheetId="44">#REF!</definedName>
    <definedName name="___cta18000" localSheetId="39">#REF!</definedName>
    <definedName name="___cta18000" localSheetId="45">#REF!</definedName>
    <definedName name="___cta18000">#REF!</definedName>
    <definedName name="___cta25200" localSheetId="43">#REF!</definedName>
    <definedName name="___cta25200" localSheetId="44">#REF!</definedName>
    <definedName name="___cta25200" localSheetId="39">#REF!</definedName>
    <definedName name="___cta25200" localSheetId="45">#REF!</definedName>
    <definedName name="___cta25200">#REF!</definedName>
    <definedName name="___cta31100" localSheetId="43">#REF!</definedName>
    <definedName name="___cta31100" localSheetId="44">#REF!</definedName>
    <definedName name="___cta31100" localSheetId="39">#REF!</definedName>
    <definedName name="___cta31100" localSheetId="45">#REF!</definedName>
    <definedName name="___cta31100">#REF!</definedName>
    <definedName name="___cta33000" localSheetId="43">#REF!</definedName>
    <definedName name="___cta33000" localSheetId="44">#REF!</definedName>
    <definedName name="___cta33000" localSheetId="39">#REF!</definedName>
    <definedName name="___cta33000" localSheetId="45">#REF!</definedName>
    <definedName name="___cta33000">#REF!</definedName>
    <definedName name="___cta34100" localSheetId="43">#REF!</definedName>
    <definedName name="___cta34100" localSheetId="44">#REF!</definedName>
    <definedName name="___cta34100" localSheetId="39">#REF!</definedName>
    <definedName name="___cta34100" localSheetId="45">#REF!</definedName>
    <definedName name="___cta34100">#REF!</definedName>
    <definedName name="___cta35102" localSheetId="43">#REF!</definedName>
    <definedName name="___cta35102" localSheetId="44">#REF!</definedName>
    <definedName name="___cta35102" localSheetId="39">#REF!</definedName>
    <definedName name="___cta35102" localSheetId="45">#REF!</definedName>
    <definedName name="___cta35102">#REF!</definedName>
    <definedName name="___CTA620" localSheetId="43">#REF!</definedName>
    <definedName name="___CTA620" localSheetId="44">#REF!</definedName>
    <definedName name="___CTA620" localSheetId="39">#REF!</definedName>
    <definedName name="___CTA620" localSheetId="45">#REF!</definedName>
    <definedName name="___CTA620">#REF!</definedName>
    <definedName name="___cta62000" localSheetId="43">#REF!</definedName>
    <definedName name="___cta62000" localSheetId="44">#REF!</definedName>
    <definedName name="___cta62000" localSheetId="39">#REF!</definedName>
    <definedName name="___cta62000" localSheetId="45">#REF!</definedName>
    <definedName name="___cta62000">#REF!</definedName>
    <definedName name="__123Graph_A" localSheetId="43" hidden="1">#REF!</definedName>
    <definedName name="__123Graph_A" localSheetId="44" hidden="1">#REF!</definedName>
    <definedName name="__123Graph_A" localSheetId="39" hidden="1">#REF!</definedName>
    <definedName name="__123Graph_A" localSheetId="45" hidden="1">#REF!</definedName>
    <definedName name="__123Graph_A" hidden="1">#REF!</definedName>
    <definedName name="__123Graph_AIBRD_LEND" hidden="1">[2]WB!$Q$13:$AK$13</definedName>
    <definedName name="__123Graph_AIMPORTS" localSheetId="43" hidden="1">'[3]CA input'!#REF!</definedName>
    <definedName name="__123Graph_AIMPORTS" localSheetId="44" hidden="1">'[3]CA input'!#REF!</definedName>
    <definedName name="__123Graph_AIMPORTS" localSheetId="39" hidden="1">'[3]CA input'!#REF!</definedName>
    <definedName name="__123Graph_AIMPORTS" localSheetId="45" hidden="1">'[3]CA input'!#REF!</definedName>
    <definedName name="__123Graph_AIMPORTS" hidden="1">'[3]CA input'!#REF!</definedName>
    <definedName name="__123Graph_APIPELINE" hidden="1">[2]BoP!$U$359:$AQ$359</definedName>
    <definedName name="__123Graph_AREER" localSheetId="43" hidden="1">[2]ER!#REF!</definedName>
    <definedName name="__123Graph_AREER" localSheetId="44" hidden="1">[2]ER!#REF!</definedName>
    <definedName name="__123Graph_AREER" localSheetId="39" hidden="1">[2]ER!#REF!</definedName>
    <definedName name="__123Graph_AREER" localSheetId="45" hidden="1">[2]ER!#REF!</definedName>
    <definedName name="__123Graph_AREER" hidden="1">[2]ER!#REF!</definedName>
    <definedName name="__123Graph_B" localSheetId="43" hidden="1">'[4]Central Govt'!#REF!</definedName>
    <definedName name="__123Graph_B" localSheetId="44" hidden="1">'[4]Central Govt'!#REF!</definedName>
    <definedName name="__123Graph_B" localSheetId="39" hidden="1">'[4]Central Govt'!#REF!</definedName>
    <definedName name="__123Graph_B" localSheetId="45" hidden="1">'[4]Central Govt'!#REF!</definedName>
    <definedName name="__123Graph_B" hidden="1">'[4]Central Govt'!#REF!</definedName>
    <definedName name="__123Graph_BCurrent" localSheetId="43" hidden="1">[5]G!#REF!</definedName>
    <definedName name="__123Graph_BCurrent" localSheetId="44" hidden="1">[5]G!#REF!</definedName>
    <definedName name="__123Graph_BCurrent" localSheetId="39" hidden="1">[5]G!#REF!</definedName>
    <definedName name="__123Graph_BCurrent" localSheetId="45" hidden="1">[5]G!#REF!</definedName>
    <definedName name="__123Graph_BCurrent" hidden="1">[5]G!#REF!</definedName>
    <definedName name="__123Graph_BIBRD_LEND" hidden="1">[2]WB!$Q$61:$AK$61</definedName>
    <definedName name="__123Graph_BIMPORTS" localSheetId="43" hidden="1">'[3]CA input'!#REF!</definedName>
    <definedName name="__123Graph_BIMPORTS" localSheetId="44" hidden="1">'[3]CA input'!#REF!</definedName>
    <definedName name="__123Graph_BIMPORTS" localSheetId="39" hidden="1">'[3]CA input'!#REF!</definedName>
    <definedName name="__123Graph_BIMPORTS" localSheetId="45" hidden="1">'[3]CA input'!#REF!</definedName>
    <definedName name="__123Graph_BIMPORTS" hidden="1">'[3]CA input'!#REF!</definedName>
    <definedName name="__123Graph_BPIPELINE" hidden="1">[2]BoP!$U$358:$AQ$358</definedName>
    <definedName name="__123Graph_BREER" localSheetId="43" hidden="1">[2]ER!#REF!</definedName>
    <definedName name="__123Graph_BREER" localSheetId="44" hidden="1">[2]ER!#REF!</definedName>
    <definedName name="__123Graph_BREER" localSheetId="39" hidden="1">[2]ER!#REF!</definedName>
    <definedName name="__123Graph_BREER" localSheetId="45" hidden="1">[2]ER!#REF!</definedName>
    <definedName name="__123Graph_BREER" hidden="1">[2]ER!#REF!</definedName>
    <definedName name="__123Graph_C" localSheetId="43" hidden="1">'[4]Central Govt'!#REF!</definedName>
    <definedName name="__123Graph_C" localSheetId="44" hidden="1">'[4]Central Govt'!#REF!</definedName>
    <definedName name="__123Graph_C" localSheetId="39" hidden="1">'[4]Central Govt'!#REF!</definedName>
    <definedName name="__123Graph_C" localSheetId="45" hidden="1">'[4]Central Govt'!#REF!</definedName>
    <definedName name="__123Graph_C" hidden="1">'[4]Central Govt'!#REF!</definedName>
    <definedName name="__123Graph_CIMPORTS" localSheetId="43" hidden="1">#REF!</definedName>
    <definedName name="__123Graph_CIMPORTS" localSheetId="44" hidden="1">#REF!</definedName>
    <definedName name="__123Graph_CIMPORTS" localSheetId="39" hidden="1">#REF!</definedName>
    <definedName name="__123Graph_CIMPORTS" localSheetId="45" hidden="1">#REF!</definedName>
    <definedName name="__123Graph_CIMPORTS" hidden="1">#REF!</definedName>
    <definedName name="__123Graph_CREER" localSheetId="43" hidden="1">[2]ER!#REF!</definedName>
    <definedName name="__123Graph_CREER" localSheetId="44" hidden="1">[2]ER!#REF!</definedName>
    <definedName name="__123Graph_CREER" localSheetId="39" hidden="1">[2]ER!#REF!</definedName>
    <definedName name="__123Graph_CREER" localSheetId="45" hidden="1">[2]ER!#REF!</definedName>
    <definedName name="__123Graph_CREER" hidden="1">[2]ER!#REF!</definedName>
    <definedName name="__123Graph_D" hidden="1">[6]FLUJO!$B$7937:$C$7937</definedName>
    <definedName name="__123Graph_E" localSheetId="43" hidden="1">'[4]Central Govt'!#REF!</definedName>
    <definedName name="__123Graph_E" localSheetId="44" hidden="1">'[4]Central Govt'!#REF!</definedName>
    <definedName name="__123Graph_E" localSheetId="39" hidden="1">'[4]Central Govt'!#REF!</definedName>
    <definedName name="__123Graph_E" localSheetId="45" hidden="1">'[4]Central Govt'!#REF!</definedName>
    <definedName name="__123Graph_E" hidden="1">'[4]Central Govt'!#REF!</definedName>
    <definedName name="__123Graph_F" localSheetId="43" hidden="1">'[4]Central Govt'!#REF!</definedName>
    <definedName name="__123Graph_F" localSheetId="44" hidden="1">'[4]Central Govt'!#REF!</definedName>
    <definedName name="__123Graph_F" localSheetId="39" hidden="1">'[4]Central Govt'!#REF!</definedName>
    <definedName name="__123Graph_F" localSheetId="45" hidden="1">'[4]Central Govt'!#REF!</definedName>
    <definedName name="__123Graph_F" hidden="1">'[4]Central Govt'!#REF!</definedName>
    <definedName name="__123Graph_X" hidden="1">[6]FLUJO!$B$7901:$C$7901</definedName>
    <definedName name="__123Graph_XIBRD_LEND" hidden="1">[2]WB!$Q$9:$AK$9</definedName>
    <definedName name="__123Graph_XIMPORTS" localSheetId="43" hidden="1">'[3]CA input'!#REF!</definedName>
    <definedName name="__123Graph_XIMPORTS" localSheetId="44" hidden="1">'[3]CA input'!#REF!</definedName>
    <definedName name="__123Graph_XIMPORTS" localSheetId="39" hidden="1">'[3]CA input'!#REF!</definedName>
    <definedName name="__123Graph_XIMPORTS" localSheetId="45" hidden="1">'[3]CA input'!#REF!</definedName>
    <definedName name="__123Graph_XIMPORTS" hidden="1">'[3]CA input'!#REF!</definedName>
    <definedName name="__col137" localSheetId="43">#REF!</definedName>
    <definedName name="__col137" localSheetId="44">#REF!</definedName>
    <definedName name="__col137" localSheetId="39">#REF!</definedName>
    <definedName name="__col137" localSheetId="45">#REF!</definedName>
    <definedName name="__col137">#REF!</definedName>
    <definedName name="__CTA10000" localSheetId="43">#REF!</definedName>
    <definedName name="__CTA10000" localSheetId="44">#REF!</definedName>
    <definedName name="__CTA10000" localSheetId="39">#REF!</definedName>
    <definedName name="__CTA10000" localSheetId="45">#REF!</definedName>
    <definedName name="__CTA10000">#REF!</definedName>
    <definedName name="__CTA11000" localSheetId="43">#REF!</definedName>
    <definedName name="__CTA11000" localSheetId="44">#REF!</definedName>
    <definedName name="__CTA11000" localSheetId="39">#REF!</definedName>
    <definedName name="__CTA11000" localSheetId="45">#REF!</definedName>
    <definedName name="__CTA11000">#REF!</definedName>
    <definedName name="__CTA11100" localSheetId="43">#REF!</definedName>
    <definedName name="__CTA11100" localSheetId="44">#REF!</definedName>
    <definedName name="__CTA11100" localSheetId="39">#REF!</definedName>
    <definedName name="__CTA11100" localSheetId="45">#REF!</definedName>
    <definedName name="__CTA11100">#REF!</definedName>
    <definedName name="__CTA11200" localSheetId="43">#REF!</definedName>
    <definedName name="__CTA11200" localSheetId="44">#REF!</definedName>
    <definedName name="__CTA11200" localSheetId="39">#REF!</definedName>
    <definedName name="__CTA11200" localSheetId="45">#REF!</definedName>
    <definedName name="__CTA11200">#REF!</definedName>
    <definedName name="__CTA11301" localSheetId="43">#REF!</definedName>
    <definedName name="__CTA11301" localSheetId="44">#REF!</definedName>
    <definedName name="__CTA11301" localSheetId="39">#REF!</definedName>
    <definedName name="__CTA11301" localSheetId="45">#REF!</definedName>
    <definedName name="__CTA11301">#REF!</definedName>
    <definedName name="__CTA12000" localSheetId="43">#REF!</definedName>
    <definedName name="__CTA12000" localSheetId="44">#REF!</definedName>
    <definedName name="__CTA12000" localSheetId="39">#REF!</definedName>
    <definedName name="__CTA12000" localSheetId="45">#REF!</definedName>
    <definedName name="__CTA12000">#REF!</definedName>
    <definedName name="__CTA12100" localSheetId="43">#REF!</definedName>
    <definedName name="__CTA12100" localSheetId="44">#REF!</definedName>
    <definedName name="__CTA12100" localSheetId="39">#REF!</definedName>
    <definedName name="__CTA12100" localSheetId="45">#REF!</definedName>
    <definedName name="__CTA12100">#REF!</definedName>
    <definedName name="__CTA12201" localSheetId="43">#REF!</definedName>
    <definedName name="__CTA12201" localSheetId="44">#REF!</definedName>
    <definedName name="__CTA12201" localSheetId="39">#REF!</definedName>
    <definedName name="__CTA12201" localSheetId="45">#REF!</definedName>
    <definedName name="__CTA12201">#REF!</definedName>
    <definedName name="__cta12900" localSheetId="43">#REF!</definedName>
    <definedName name="__cta12900" localSheetId="44">#REF!</definedName>
    <definedName name="__cta12900" localSheetId="39">#REF!</definedName>
    <definedName name="__cta12900" localSheetId="45">#REF!</definedName>
    <definedName name="__cta12900">#REF!</definedName>
    <definedName name="__cta13000" localSheetId="43">#REF!</definedName>
    <definedName name="__cta13000" localSheetId="44">#REF!</definedName>
    <definedName name="__cta13000" localSheetId="39">#REF!</definedName>
    <definedName name="__cta13000" localSheetId="45">#REF!</definedName>
    <definedName name="__cta13000">#REF!</definedName>
    <definedName name="__cta13100" localSheetId="43">#REF!</definedName>
    <definedName name="__cta13100" localSheetId="44">#REF!</definedName>
    <definedName name="__cta13100" localSheetId="39">#REF!</definedName>
    <definedName name="__cta13100" localSheetId="45">#REF!</definedName>
    <definedName name="__cta13100">#REF!</definedName>
    <definedName name="__cta13200" localSheetId="43">#REF!</definedName>
    <definedName name="__cta13200" localSheetId="44">#REF!</definedName>
    <definedName name="__cta13200" localSheetId="39">#REF!</definedName>
    <definedName name="__cta13200" localSheetId="45">#REF!</definedName>
    <definedName name="__cta13200">#REF!</definedName>
    <definedName name="__cta13300" localSheetId="43">#REF!</definedName>
    <definedName name="__cta13300" localSheetId="44">#REF!</definedName>
    <definedName name="__cta13300" localSheetId="39">#REF!</definedName>
    <definedName name="__cta13300" localSheetId="45">#REF!</definedName>
    <definedName name="__cta13300">#REF!</definedName>
    <definedName name="__cta13900" localSheetId="43">#REF!</definedName>
    <definedName name="__cta13900" localSheetId="44">#REF!</definedName>
    <definedName name="__cta13900" localSheetId="39">#REF!</definedName>
    <definedName name="__cta13900" localSheetId="45">#REF!</definedName>
    <definedName name="__cta13900">#REF!</definedName>
    <definedName name="__cta14000" localSheetId="43">#REF!</definedName>
    <definedName name="__cta14000" localSheetId="44">#REF!</definedName>
    <definedName name="__cta14000" localSheetId="39">#REF!</definedName>
    <definedName name="__cta14000" localSheetId="45">#REF!</definedName>
    <definedName name="__cta14000">#REF!</definedName>
    <definedName name="__cta14900" localSheetId="43">#REF!</definedName>
    <definedName name="__cta14900" localSheetId="44">#REF!</definedName>
    <definedName name="__cta14900" localSheetId="39">#REF!</definedName>
    <definedName name="__cta14900" localSheetId="45">#REF!</definedName>
    <definedName name="__cta14900">#REF!</definedName>
    <definedName name="__cta15000" localSheetId="43">#REF!</definedName>
    <definedName name="__cta15000" localSheetId="44">#REF!</definedName>
    <definedName name="__cta15000" localSheetId="39">#REF!</definedName>
    <definedName name="__cta15000" localSheetId="45">#REF!</definedName>
    <definedName name="__cta15000">#REF!</definedName>
    <definedName name="__cta15900" localSheetId="43">#REF!</definedName>
    <definedName name="__cta15900" localSheetId="44">#REF!</definedName>
    <definedName name="__cta15900" localSheetId="39">#REF!</definedName>
    <definedName name="__cta15900" localSheetId="45">#REF!</definedName>
    <definedName name="__cta15900">#REF!</definedName>
    <definedName name="__cta16000" localSheetId="43">#REF!</definedName>
    <definedName name="__cta16000" localSheetId="44">#REF!</definedName>
    <definedName name="__cta16000" localSheetId="39">#REF!</definedName>
    <definedName name="__cta16000" localSheetId="45">#REF!</definedName>
    <definedName name="__cta16000">#REF!</definedName>
    <definedName name="__cta16100" localSheetId="43">#REF!</definedName>
    <definedName name="__cta16100" localSheetId="44">#REF!</definedName>
    <definedName name="__cta16100" localSheetId="39">#REF!</definedName>
    <definedName name="__cta16100" localSheetId="45">#REF!</definedName>
    <definedName name="__cta16100">#REF!</definedName>
    <definedName name="__cta16900" localSheetId="43">#REF!</definedName>
    <definedName name="__cta16900" localSheetId="44">#REF!</definedName>
    <definedName name="__cta16900" localSheetId="39">#REF!</definedName>
    <definedName name="__cta16900" localSheetId="45">#REF!</definedName>
    <definedName name="__cta16900">#REF!</definedName>
    <definedName name="__cta17000" localSheetId="43">#REF!</definedName>
    <definedName name="__cta17000" localSheetId="44">#REF!</definedName>
    <definedName name="__cta17000" localSheetId="39">#REF!</definedName>
    <definedName name="__cta17000" localSheetId="45">#REF!</definedName>
    <definedName name="__cta17000">#REF!</definedName>
    <definedName name="__cta18000" localSheetId="43">#REF!</definedName>
    <definedName name="__cta18000" localSheetId="44">#REF!</definedName>
    <definedName name="__cta18000" localSheetId="39">#REF!</definedName>
    <definedName name="__cta18000" localSheetId="45">#REF!</definedName>
    <definedName name="__cta18000">#REF!</definedName>
    <definedName name="__cta25200" localSheetId="43">#REF!</definedName>
    <definedName name="__cta25200" localSheetId="44">#REF!</definedName>
    <definedName name="__cta25200" localSheetId="39">#REF!</definedName>
    <definedName name="__cta25200" localSheetId="45">#REF!</definedName>
    <definedName name="__cta25200">#REF!</definedName>
    <definedName name="__cta31100" localSheetId="43">#REF!</definedName>
    <definedName name="__cta31100" localSheetId="44">#REF!</definedName>
    <definedName name="__cta31100" localSheetId="39">#REF!</definedName>
    <definedName name="__cta31100" localSheetId="45">#REF!</definedName>
    <definedName name="__cta31100">#REF!</definedName>
    <definedName name="__cta33000" localSheetId="43">#REF!</definedName>
    <definedName name="__cta33000" localSheetId="44">#REF!</definedName>
    <definedName name="__cta33000" localSheetId="39">#REF!</definedName>
    <definedName name="__cta33000" localSheetId="45">#REF!</definedName>
    <definedName name="__cta33000">#REF!</definedName>
    <definedName name="__cta34100" localSheetId="43">#REF!</definedName>
    <definedName name="__cta34100" localSheetId="44">#REF!</definedName>
    <definedName name="__cta34100" localSheetId="39">#REF!</definedName>
    <definedName name="__cta34100" localSheetId="45">#REF!</definedName>
    <definedName name="__cta34100">#REF!</definedName>
    <definedName name="__cta35102" localSheetId="43">#REF!</definedName>
    <definedName name="__cta35102" localSheetId="44">#REF!</definedName>
    <definedName name="__cta35102" localSheetId="39">#REF!</definedName>
    <definedName name="__cta35102" localSheetId="45">#REF!</definedName>
    <definedName name="__cta35102">#REF!</definedName>
    <definedName name="__CTA620" localSheetId="43">#REF!</definedName>
    <definedName name="__CTA620" localSheetId="44">#REF!</definedName>
    <definedName name="__CTA620" localSheetId="39">#REF!</definedName>
    <definedName name="__CTA620" localSheetId="45">#REF!</definedName>
    <definedName name="__CTA620">#REF!</definedName>
    <definedName name="__cta62000" localSheetId="43">#REF!</definedName>
    <definedName name="__cta62000" localSheetId="44">#REF!</definedName>
    <definedName name="__cta62000" localSheetId="39">#REF!</definedName>
    <definedName name="__cta62000" localSheetId="45">#REF!</definedName>
    <definedName name="__cta62000">#REF!</definedName>
    <definedName name="_1_0ju" localSheetId="43" hidden="1">#REF!</definedName>
    <definedName name="_1_0ju" localSheetId="44" hidden="1">#REF!</definedName>
    <definedName name="_1_0ju" localSheetId="39" hidden="1">#REF!</definedName>
    <definedName name="_1_0ju" localSheetId="45" hidden="1">#REF!</definedName>
    <definedName name="_1_0ju" hidden="1">#REF!</definedName>
    <definedName name="_10__123Graph_ACPI_ER_LOG" localSheetId="43" hidden="1">[7]ER!#REF!</definedName>
    <definedName name="_10__123Graph_ACPI_ER_LOG" localSheetId="44" hidden="1">[7]ER!#REF!</definedName>
    <definedName name="_10__123Graph_ACPI_ER_LOG" localSheetId="39" hidden="1">[7]ER!#REF!</definedName>
    <definedName name="_10__123Graph_ACPI_ER_LOG" localSheetId="45" hidden="1">[7]ER!#REF!</definedName>
    <definedName name="_10__123Graph_ACPI_ER_LOG" hidden="1">[7]ER!#REF!</definedName>
    <definedName name="_11__123Graph_AGROWTH_CPI" localSheetId="43" hidden="1">[8]Data!#REF!</definedName>
    <definedName name="_11__123Graph_AGROWTH_CPI" localSheetId="44" hidden="1">[8]Data!#REF!</definedName>
    <definedName name="_11__123Graph_AGROWTH_CPI" localSheetId="39" hidden="1">[8]Data!#REF!</definedName>
    <definedName name="_11__123Graph_AGROWTH_CPI" localSheetId="45" hidden="1">[8]Data!#REF!</definedName>
    <definedName name="_11__123Graph_AGROWTH_CPI" hidden="1">[8]Data!#REF!</definedName>
    <definedName name="_12__123Graph_AIBA_IBRD" hidden="1">[2]WB!$Q$62:$AK$62</definedName>
    <definedName name="_13__123Graph_AINVENT_SALES" localSheetId="43" hidden="1">#REF!</definedName>
    <definedName name="_13__123Graph_AINVENT_SALES" localSheetId="44" hidden="1">#REF!</definedName>
    <definedName name="_13__123Graph_AINVENT_SALES" localSheetId="39" hidden="1">#REF!</definedName>
    <definedName name="_13__123Graph_AINVENT_SALES" localSheetId="45" hidden="1">#REF!</definedName>
    <definedName name="_13__123Graph_AINVENT_SALES" hidden="1">#REF!</definedName>
    <definedName name="_14__123Graph_AMIMPMA_1" localSheetId="43" hidden="1">#REF!</definedName>
    <definedName name="_14__123Graph_AMIMPMA_1" localSheetId="44" hidden="1">#REF!</definedName>
    <definedName name="_14__123Graph_AMIMPMA_1" localSheetId="39" hidden="1">#REF!</definedName>
    <definedName name="_14__123Graph_AMIMPMA_1" localSheetId="45" hidden="1">#REF!</definedName>
    <definedName name="_14__123Graph_AMIMPMA_1" hidden="1">#REF!</definedName>
    <definedName name="_15__123Graph_ANDA_OIN" localSheetId="43" hidden="1">#REF!</definedName>
    <definedName name="_15__123Graph_ANDA_OIN" localSheetId="44" hidden="1">#REF!</definedName>
    <definedName name="_15__123Graph_ANDA_OIN" localSheetId="39" hidden="1">#REF!</definedName>
    <definedName name="_15__123Graph_ANDA_OIN" localSheetId="45" hidden="1">#REF!</definedName>
    <definedName name="_15__123Graph_ANDA_OIN" hidden="1">#REF!</definedName>
    <definedName name="_16__123Graph_AR_BMONEY" localSheetId="43" hidden="1">#REF!</definedName>
    <definedName name="_16__123Graph_AR_BMONEY" localSheetId="44" hidden="1">#REF!</definedName>
    <definedName name="_16__123Graph_AR_BMONEY" localSheetId="39" hidden="1">#REF!</definedName>
    <definedName name="_16__123Graph_AR_BMONEY" localSheetId="45" hidden="1">#REF!</definedName>
    <definedName name="_16__123Graph_AR_BMONEY" hidden="1">#REF!</definedName>
    <definedName name="_17__123Graph_ASEIGNOR" localSheetId="43" hidden="1">[9]seignior!#REF!</definedName>
    <definedName name="_17__123Graph_ASEIGNOR" localSheetId="44" hidden="1">[9]seignior!#REF!</definedName>
    <definedName name="_17__123Graph_ASEIGNOR" localSheetId="39" hidden="1">[9]seignior!#REF!</definedName>
    <definedName name="_17__123Graph_ASEIGNOR" localSheetId="45" hidden="1">[9]seignior!#REF!</definedName>
    <definedName name="_17__123Graph_ASEIGNOR" hidden="1">[9]seignior!#REF!</definedName>
    <definedName name="_18__123Graph_AWB_ADJ_PRJ" hidden="1">[2]WB!$Q$255:$AK$255</definedName>
    <definedName name="_19__123Graph_BCHART_1" hidden="1">[10]IPC1988!$E$176:$E$182</definedName>
    <definedName name="_20__123Graph_BCHART_2" hidden="1">[10]IPC1988!$D$176:$D$182</definedName>
    <definedName name="_24__123Graph_BCPI_ER_LOG" localSheetId="43" hidden="1">[7]ER!#REF!</definedName>
    <definedName name="_24__123Graph_BCPI_ER_LOG" localSheetId="44" hidden="1">[7]ER!#REF!</definedName>
    <definedName name="_24__123Graph_BCPI_ER_LOG" localSheetId="39" hidden="1">[7]ER!#REF!</definedName>
    <definedName name="_24__123Graph_BCPI_ER_LOG" localSheetId="45" hidden="1">[7]ER!#REF!</definedName>
    <definedName name="_24__123Graph_BCPI_ER_LOG" hidden="1">[7]ER!#REF!</definedName>
    <definedName name="_28__123Graph_BIBA_IBRD" localSheetId="43" hidden="1">[7]WB!#REF!</definedName>
    <definedName name="_28__123Graph_BIBA_IBRD" localSheetId="44" hidden="1">[7]WB!#REF!</definedName>
    <definedName name="_28__123Graph_BIBA_IBRD" localSheetId="39" hidden="1">[7]WB!#REF!</definedName>
    <definedName name="_28__123Graph_BIBA_IBRD" localSheetId="45" hidden="1">[7]WB!#REF!</definedName>
    <definedName name="_28__123Graph_BIBA_IBRD" hidden="1">[7]WB!#REF!</definedName>
    <definedName name="_29__123Graph_BNDA_OIN" localSheetId="43" hidden="1">#REF!</definedName>
    <definedName name="_29__123Graph_BNDA_OIN" localSheetId="44" hidden="1">#REF!</definedName>
    <definedName name="_29__123Graph_BNDA_OIN" localSheetId="39" hidden="1">#REF!</definedName>
    <definedName name="_29__123Graph_BNDA_OIN" localSheetId="45" hidden="1">#REF!</definedName>
    <definedName name="_29__123Graph_BNDA_OIN" hidden="1">#REF!</definedName>
    <definedName name="_2r" localSheetId="43">#REF!</definedName>
    <definedName name="_2r" localSheetId="44">#REF!</definedName>
    <definedName name="_2r" localSheetId="39">#REF!</definedName>
    <definedName name="_2r" localSheetId="45">#REF!</definedName>
    <definedName name="_2r">#REF!</definedName>
    <definedName name="_30__123Graph_BR_BMONEY" localSheetId="43" hidden="1">#REF!</definedName>
    <definedName name="_30__123Graph_BR_BMONEY" localSheetId="44" hidden="1">#REF!</definedName>
    <definedName name="_30__123Graph_BR_BMONEY" localSheetId="39" hidden="1">#REF!</definedName>
    <definedName name="_30__123Graph_BR_BMONEY" localSheetId="45" hidden="1">#REF!</definedName>
    <definedName name="_30__123Graph_BR_BMONEY" hidden="1">#REF!</definedName>
    <definedName name="_31__123Graph_BSEIGNOR" localSheetId="43" hidden="1">[9]seignior!#REF!</definedName>
    <definedName name="_31__123Graph_BSEIGNOR" localSheetId="44" hidden="1">[9]seignior!#REF!</definedName>
    <definedName name="_31__123Graph_BSEIGNOR" localSheetId="39" hidden="1">[9]seignior!#REF!</definedName>
    <definedName name="_31__123Graph_BSEIGNOR" localSheetId="45" hidden="1">[9]seignior!#REF!</definedName>
    <definedName name="_31__123Graph_BSEIGNOR" hidden="1">[9]seignior!#REF!</definedName>
    <definedName name="_32__123Graph_BWB_ADJ_PRJ" hidden="1">[2]WB!$Q$257:$AK$257</definedName>
    <definedName name="_33__123Graph_CMIMPMA_0" localSheetId="43" hidden="1">#REF!</definedName>
    <definedName name="_33__123Graph_CMIMPMA_0" localSheetId="44" hidden="1">#REF!</definedName>
    <definedName name="_33__123Graph_CMIMPMA_0" localSheetId="39" hidden="1">#REF!</definedName>
    <definedName name="_33__123Graph_CMIMPMA_0" localSheetId="45" hidden="1">#REF!</definedName>
    <definedName name="_33__123Graph_CMIMPMA_0" hidden="1">#REF!</definedName>
    <definedName name="_34__123Graph_DGROWTH_CPI" localSheetId="43" hidden="1">[8]Data!#REF!</definedName>
    <definedName name="_34__123Graph_DGROWTH_CPI" localSheetId="44" hidden="1">[8]Data!#REF!</definedName>
    <definedName name="_34__123Graph_DGROWTH_CPI" localSheetId="39" hidden="1">[8]Data!#REF!</definedName>
    <definedName name="_34__123Graph_DGROWTH_CPI" localSheetId="45" hidden="1">[8]Data!#REF!</definedName>
    <definedName name="_34__123Graph_DGROWTH_CPI" hidden="1">[8]Data!#REF!</definedName>
    <definedName name="_35__123Graph_DMIMPMA_1" localSheetId="43" hidden="1">#REF!</definedName>
    <definedName name="_35__123Graph_DMIMPMA_1" localSheetId="44" hidden="1">#REF!</definedName>
    <definedName name="_35__123Graph_DMIMPMA_1" localSheetId="39" hidden="1">#REF!</definedName>
    <definedName name="_35__123Graph_DMIMPMA_1" localSheetId="45" hidden="1">#REF!</definedName>
    <definedName name="_35__123Graph_DMIMPMA_1" hidden="1">#REF!</definedName>
    <definedName name="_36__123Graph_EMIMPMA_0" localSheetId="43" hidden="1">#REF!</definedName>
    <definedName name="_36__123Graph_EMIMPMA_0" localSheetId="44" hidden="1">#REF!</definedName>
    <definedName name="_36__123Graph_EMIMPMA_0" localSheetId="39" hidden="1">#REF!</definedName>
    <definedName name="_36__123Graph_EMIMPMA_0" localSheetId="45" hidden="1">#REF!</definedName>
    <definedName name="_36__123Graph_EMIMPMA_0" hidden="1">#REF!</definedName>
    <definedName name="_37__123Graph_EMIMPMA_1" localSheetId="43" hidden="1">#REF!</definedName>
    <definedName name="_37__123Graph_EMIMPMA_1" localSheetId="44" hidden="1">#REF!</definedName>
    <definedName name="_37__123Graph_EMIMPMA_1" localSheetId="39" hidden="1">#REF!</definedName>
    <definedName name="_37__123Graph_EMIMPMA_1" localSheetId="45" hidden="1">#REF!</definedName>
    <definedName name="_37__123Graph_EMIMPMA_1" hidden="1">#REF!</definedName>
    <definedName name="_38__123Graph_FMIMPMA_0" localSheetId="43" hidden="1">#REF!</definedName>
    <definedName name="_38__123Graph_FMIMPMA_0" localSheetId="44" hidden="1">#REF!</definedName>
    <definedName name="_38__123Graph_FMIMPMA_0" localSheetId="39" hidden="1">#REF!</definedName>
    <definedName name="_38__123Graph_FMIMPMA_0" localSheetId="45" hidden="1">#REF!</definedName>
    <definedName name="_38__123Graph_FMIMPMA_0" hidden="1">#REF!</definedName>
    <definedName name="_39__123Graph_XCHART_2" hidden="1">[10]IPC1988!$A$176:$A$182</definedName>
    <definedName name="_40__123Graph_XMIMPMA_0" localSheetId="43" hidden="1">#REF!</definedName>
    <definedName name="_40__123Graph_XMIMPMA_0" localSheetId="44" hidden="1">#REF!</definedName>
    <definedName name="_40__123Graph_XMIMPMA_0" localSheetId="39" hidden="1">#REF!</definedName>
    <definedName name="_40__123Graph_XMIMPMA_0" localSheetId="45" hidden="1">#REF!</definedName>
    <definedName name="_40__123Graph_XMIMPMA_0" hidden="1">#REF!</definedName>
    <definedName name="_41__123Graph_XR_BMONEY" localSheetId="43" hidden="1">#REF!</definedName>
    <definedName name="_41__123Graph_XR_BMONEY" localSheetId="44" hidden="1">#REF!</definedName>
    <definedName name="_41__123Graph_XR_BMONEY" localSheetId="39" hidden="1">#REF!</definedName>
    <definedName name="_41__123Graph_XR_BMONEY" localSheetId="45" hidden="1">#REF!</definedName>
    <definedName name="_41__123Graph_XR_BMONEY" hidden="1">#REF!</definedName>
    <definedName name="_42__123Graph_XREALEX_WAGE" localSheetId="43" hidden="1">[11]PRIVATE!#REF!</definedName>
    <definedName name="_42__123Graph_XREALEX_WAGE" localSheetId="44" hidden="1">[11]PRIVATE!#REF!</definedName>
    <definedName name="_42__123Graph_XREALEX_WAGE" localSheetId="39" hidden="1">[11]PRIVATE!#REF!</definedName>
    <definedName name="_42__123Graph_XREALEX_WAGE" localSheetId="45" hidden="1">[11]PRIVATE!#REF!</definedName>
    <definedName name="_42__123Graph_XREALEX_WAGE" hidden="1">[11]PRIVATE!#REF!</definedName>
    <definedName name="_43_0ju" localSheetId="43" hidden="1">#REF!</definedName>
    <definedName name="_43_0ju" localSheetId="44" hidden="1">#REF!</definedName>
    <definedName name="_43_0ju" localSheetId="39" hidden="1">#REF!</definedName>
    <definedName name="_43_0ju" localSheetId="45" hidden="1">#REF!</definedName>
    <definedName name="_43_0ju" hidden="1">#REF!</definedName>
    <definedName name="_44B.2_B.3" localSheetId="43">#REF!</definedName>
    <definedName name="_44B.2_B.3" localSheetId="44">#REF!</definedName>
    <definedName name="_44B.2_B.3" localSheetId="39">#REF!</definedName>
    <definedName name="_44B.2_B.3" localSheetId="45">#REF!</definedName>
    <definedName name="_44B.2_B.3">#REF!</definedName>
    <definedName name="_45B.4___5" localSheetId="43">#REF!</definedName>
    <definedName name="_45B.4___5" localSheetId="44">#REF!</definedName>
    <definedName name="_45B.4___5" localSheetId="39">#REF!</definedName>
    <definedName name="_45B.4___5" localSheetId="45">#REF!</definedName>
    <definedName name="_45B.4___5">#REF!</definedName>
    <definedName name="_46CONSOL_B2" localSheetId="43">#REF!</definedName>
    <definedName name="_46CONSOL_B2" localSheetId="44">#REF!</definedName>
    <definedName name="_46CONSOL_B2" localSheetId="39">#REF!</definedName>
    <definedName name="_46CONSOL_B2" localSheetId="45">#REF!</definedName>
    <definedName name="_46CONSOL_B2">#REF!</definedName>
    <definedName name="_4Macros_Import_.qbop" localSheetId="43">[12]!'[Macros Import].qbop'</definedName>
    <definedName name="_4Macros_Import_.qbop" localSheetId="44">[12]!'[Macros Import].qbop'</definedName>
    <definedName name="_4Macros_Import_.qbop" localSheetId="39">[12]!'[Macros Import].qbop'</definedName>
    <definedName name="_4Macros_Import_.qbop" localSheetId="45">[12]!'[Macros Import].qbop'</definedName>
    <definedName name="_4Macros_Import_.qbop">[12]!'[Macros Import].qbop'</definedName>
    <definedName name="_5__123Graph_ACHART_1" hidden="1">[10]IPC1988!$C$176:$C$182</definedName>
    <definedName name="_50FA_L" localSheetId="43">#REF!</definedName>
    <definedName name="_50FA_L" localSheetId="44">#REF!</definedName>
    <definedName name="_50FA_L" localSheetId="39">#REF!</definedName>
    <definedName name="_50FA_L" localSheetId="45">#REF!</definedName>
    <definedName name="_50FA_L">#REF!</definedName>
    <definedName name="_51GAZ_LIABS" localSheetId="43">#REF!</definedName>
    <definedName name="_51GAZ_LIABS" localSheetId="44">#REF!</definedName>
    <definedName name="_51GAZ_LIABS" localSheetId="39">#REF!</definedName>
    <definedName name="_51GAZ_LIABS" localSheetId="45">#REF!</definedName>
    <definedName name="_51GAZ_LIABS">#REF!</definedName>
    <definedName name="_52INT_RESERVES" localSheetId="43">#REF!</definedName>
    <definedName name="_52INT_RESERVES" localSheetId="44">#REF!</definedName>
    <definedName name="_52INT_RESERVES" localSheetId="39">#REF!</definedName>
    <definedName name="_52INT_RESERVES" localSheetId="45">#REF!</definedName>
    <definedName name="_52INT_RESERVES">#REF!</definedName>
    <definedName name="_6__123Graph_ACHART_2" hidden="1">[10]IPC1988!$B$176:$B$182</definedName>
    <definedName name="_abs1" localSheetId="43">#REF!</definedName>
    <definedName name="_abs1" localSheetId="44">#REF!</definedName>
    <definedName name="_abs1" localSheetId="39">#REF!</definedName>
    <definedName name="_abs1" localSheetId="45">#REF!</definedName>
    <definedName name="_abs1">#REF!</definedName>
    <definedName name="_abs2" localSheetId="43">#REF!</definedName>
    <definedName name="_abs2" localSheetId="44">#REF!</definedName>
    <definedName name="_abs2" localSheetId="39">#REF!</definedName>
    <definedName name="_abs2" localSheetId="45">#REF!</definedName>
    <definedName name="_abs2">#REF!</definedName>
    <definedName name="_abs3" localSheetId="43">#REF!</definedName>
    <definedName name="_abs3" localSheetId="44">#REF!</definedName>
    <definedName name="_abs3" localSheetId="39">#REF!</definedName>
    <definedName name="_abs3" localSheetId="45">#REF!</definedName>
    <definedName name="_abs3">#REF!</definedName>
    <definedName name="_aen1">[13]Programa!$A$117</definedName>
    <definedName name="_aen2" localSheetId="43">#REF!</definedName>
    <definedName name="_aen2" localSheetId="44">#REF!</definedName>
    <definedName name="_aen2" localSheetId="39">#REF!</definedName>
    <definedName name="_aen2" localSheetId="45">#REF!</definedName>
    <definedName name="_aen2">#REF!</definedName>
    <definedName name="_bem98" localSheetId="43">[14]Programa!#REF!</definedName>
    <definedName name="_bem98" localSheetId="44">[14]Programa!#REF!</definedName>
    <definedName name="_bem98" localSheetId="39">[14]Programa!#REF!</definedName>
    <definedName name="_bem98" localSheetId="45">[14]Programa!#REF!</definedName>
    <definedName name="_bem98">[14]Programa!#REF!</definedName>
    <definedName name="_BOP1" localSheetId="43">#REF!</definedName>
    <definedName name="_BOP1" localSheetId="44">#REF!</definedName>
    <definedName name="_BOP1" localSheetId="39">#REF!</definedName>
    <definedName name="_BOP1" localSheetId="45">#REF!</definedName>
    <definedName name="_BOP1">#REF!</definedName>
    <definedName name="_BOP2" localSheetId="43">[15]BoP!#REF!</definedName>
    <definedName name="_BOP2" localSheetId="44">[15]BoP!#REF!</definedName>
    <definedName name="_BOP2" localSheetId="39">[15]BoP!#REF!</definedName>
    <definedName name="_BOP2" localSheetId="45">[15]BoP!#REF!</definedName>
    <definedName name="_BOP2">[15]BoP!#REF!</definedName>
    <definedName name="_col137" localSheetId="43">#REF!</definedName>
    <definedName name="_col137" localSheetId="44">#REF!</definedName>
    <definedName name="_col137" localSheetId="39">#REF!</definedName>
    <definedName name="_col137" localSheetId="45">#REF!</definedName>
    <definedName name="_col137">#REF!</definedName>
    <definedName name="_CTA10000" localSheetId="43">#REF!</definedName>
    <definedName name="_CTA10000" localSheetId="44">#REF!</definedName>
    <definedName name="_CTA10000" localSheetId="39">#REF!</definedName>
    <definedName name="_CTA10000" localSheetId="45">#REF!</definedName>
    <definedName name="_CTA10000">#REF!</definedName>
    <definedName name="_CTA11000" localSheetId="43">#REF!</definedName>
    <definedName name="_CTA11000" localSheetId="44">#REF!</definedName>
    <definedName name="_CTA11000" localSheetId="39">#REF!</definedName>
    <definedName name="_CTA11000" localSheetId="45">#REF!</definedName>
    <definedName name="_CTA11000">#REF!</definedName>
    <definedName name="_CTA11100" localSheetId="43">#REF!</definedName>
    <definedName name="_CTA11100" localSheetId="44">#REF!</definedName>
    <definedName name="_CTA11100" localSheetId="39">#REF!</definedName>
    <definedName name="_CTA11100" localSheetId="45">#REF!</definedName>
    <definedName name="_CTA11100">#REF!</definedName>
    <definedName name="_CTA11200" localSheetId="43">#REF!</definedName>
    <definedName name="_CTA11200" localSheetId="44">#REF!</definedName>
    <definedName name="_CTA11200" localSheetId="39">#REF!</definedName>
    <definedName name="_CTA11200" localSheetId="45">#REF!</definedName>
    <definedName name="_CTA11200">#REF!</definedName>
    <definedName name="_CTA11301" localSheetId="43">#REF!</definedName>
    <definedName name="_CTA11301" localSheetId="44">#REF!</definedName>
    <definedName name="_CTA11301" localSheetId="39">#REF!</definedName>
    <definedName name="_CTA11301" localSheetId="45">#REF!</definedName>
    <definedName name="_CTA11301">#REF!</definedName>
    <definedName name="_CTA12000" localSheetId="43">#REF!</definedName>
    <definedName name="_CTA12000" localSheetId="44">#REF!</definedName>
    <definedName name="_CTA12000" localSheetId="39">#REF!</definedName>
    <definedName name="_CTA12000" localSheetId="45">#REF!</definedName>
    <definedName name="_CTA12000">#REF!</definedName>
    <definedName name="_CTA12100" localSheetId="43">#REF!</definedName>
    <definedName name="_CTA12100" localSheetId="44">#REF!</definedName>
    <definedName name="_CTA12100" localSheetId="39">#REF!</definedName>
    <definedName name="_CTA12100" localSheetId="45">#REF!</definedName>
    <definedName name="_CTA12100">#REF!</definedName>
    <definedName name="_CTA12201" localSheetId="43">#REF!</definedName>
    <definedName name="_CTA12201" localSheetId="44">#REF!</definedName>
    <definedName name="_CTA12201" localSheetId="39">#REF!</definedName>
    <definedName name="_CTA12201" localSheetId="45">#REF!</definedName>
    <definedName name="_CTA12201">#REF!</definedName>
    <definedName name="_cta12900" localSheetId="43">#REF!</definedName>
    <definedName name="_cta12900" localSheetId="44">#REF!</definedName>
    <definedName name="_cta12900" localSheetId="39">#REF!</definedName>
    <definedName name="_cta12900" localSheetId="45">#REF!</definedName>
    <definedName name="_cta12900">#REF!</definedName>
    <definedName name="_cta13000" localSheetId="43">#REF!</definedName>
    <definedName name="_cta13000" localSheetId="44">#REF!</definedName>
    <definedName name="_cta13000" localSheetId="39">#REF!</definedName>
    <definedName name="_cta13000" localSheetId="45">#REF!</definedName>
    <definedName name="_cta13000">#REF!</definedName>
    <definedName name="_cta13100" localSheetId="43">#REF!</definedName>
    <definedName name="_cta13100" localSheetId="44">#REF!</definedName>
    <definedName name="_cta13100" localSheetId="39">#REF!</definedName>
    <definedName name="_cta13100" localSheetId="45">#REF!</definedName>
    <definedName name="_cta13100">#REF!</definedName>
    <definedName name="_cta13200" localSheetId="43">#REF!</definedName>
    <definedName name="_cta13200" localSheetId="44">#REF!</definedName>
    <definedName name="_cta13200" localSheetId="39">#REF!</definedName>
    <definedName name="_cta13200" localSheetId="45">#REF!</definedName>
    <definedName name="_cta13200">#REF!</definedName>
    <definedName name="_cta13300" localSheetId="43">#REF!</definedName>
    <definedName name="_cta13300" localSheetId="44">#REF!</definedName>
    <definedName name="_cta13300" localSheetId="39">#REF!</definedName>
    <definedName name="_cta13300" localSheetId="45">#REF!</definedName>
    <definedName name="_cta13300">#REF!</definedName>
    <definedName name="_cta13900" localSheetId="43">#REF!</definedName>
    <definedName name="_cta13900" localSheetId="44">#REF!</definedName>
    <definedName name="_cta13900" localSheetId="39">#REF!</definedName>
    <definedName name="_cta13900" localSheetId="45">#REF!</definedName>
    <definedName name="_cta13900">#REF!</definedName>
    <definedName name="_cta14000" localSheetId="43">#REF!</definedName>
    <definedName name="_cta14000" localSheetId="44">#REF!</definedName>
    <definedName name="_cta14000" localSheetId="39">#REF!</definedName>
    <definedName name="_cta14000" localSheetId="45">#REF!</definedName>
    <definedName name="_cta14000">#REF!</definedName>
    <definedName name="_cta14900" localSheetId="43">#REF!</definedName>
    <definedName name="_cta14900" localSheetId="44">#REF!</definedName>
    <definedName name="_cta14900" localSheetId="39">#REF!</definedName>
    <definedName name="_cta14900" localSheetId="45">#REF!</definedName>
    <definedName name="_cta14900">#REF!</definedName>
    <definedName name="_cta15000" localSheetId="43">#REF!</definedName>
    <definedName name="_cta15000" localSheetId="44">#REF!</definedName>
    <definedName name="_cta15000" localSheetId="39">#REF!</definedName>
    <definedName name="_cta15000" localSheetId="45">#REF!</definedName>
    <definedName name="_cta15000">#REF!</definedName>
    <definedName name="_cta15900" localSheetId="43">#REF!</definedName>
    <definedName name="_cta15900" localSheetId="44">#REF!</definedName>
    <definedName name="_cta15900" localSheetId="39">#REF!</definedName>
    <definedName name="_cta15900" localSheetId="45">#REF!</definedName>
    <definedName name="_cta15900">#REF!</definedName>
    <definedName name="_cta16000" localSheetId="43">#REF!</definedName>
    <definedName name="_cta16000" localSheetId="44">#REF!</definedName>
    <definedName name="_cta16000" localSheetId="39">#REF!</definedName>
    <definedName name="_cta16000" localSheetId="45">#REF!</definedName>
    <definedName name="_cta16000">#REF!</definedName>
    <definedName name="_cta16100" localSheetId="43">#REF!</definedName>
    <definedName name="_cta16100" localSheetId="44">#REF!</definedName>
    <definedName name="_cta16100" localSheetId="39">#REF!</definedName>
    <definedName name="_cta16100" localSheetId="45">#REF!</definedName>
    <definedName name="_cta16100">#REF!</definedName>
    <definedName name="_cta16900" localSheetId="43">#REF!</definedName>
    <definedName name="_cta16900" localSheetId="44">#REF!</definedName>
    <definedName name="_cta16900" localSheetId="39">#REF!</definedName>
    <definedName name="_cta16900" localSheetId="45">#REF!</definedName>
    <definedName name="_cta16900">#REF!</definedName>
    <definedName name="_cta17000" localSheetId="43">#REF!</definedName>
    <definedName name="_cta17000" localSheetId="44">#REF!</definedName>
    <definedName name="_cta17000" localSheetId="39">#REF!</definedName>
    <definedName name="_cta17000" localSheetId="45">#REF!</definedName>
    <definedName name="_cta17000">#REF!</definedName>
    <definedName name="_cta18000" localSheetId="43">#REF!</definedName>
    <definedName name="_cta18000" localSheetId="44">#REF!</definedName>
    <definedName name="_cta18000" localSheetId="39">#REF!</definedName>
    <definedName name="_cta18000" localSheetId="45">#REF!</definedName>
    <definedName name="_cta18000">#REF!</definedName>
    <definedName name="_cta25200" localSheetId="43">#REF!</definedName>
    <definedName name="_cta25200" localSheetId="44">#REF!</definedName>
    <definedName name="_cta25200" localSheetId="39">#REF!</definedName>
    <definedName name="_cta25200" localSheetId="45">#REF!</definedName>
    <definedName name="_cta25200">#REF!</definedName>
    <definedName name="_cta31100" localSheetId="43">#REF!</definedName>
    <definedName name="_cta31100" localSheetId="44">#REF!</definedName>
    <definedName name="_cta31100" localSheetId="39">#REF!</definedName>
    <definedName name="_cta31100" localSheetId="45">#REF!</definedName>
    <definedName name="_cta31100">#REF!</definedName>
    <definedName name="_cta33000" localSheetId="43">#REF!</definedName>
    <definedName name="_cta33000" localSheetId="44">#REF!</definedName>
    <definedName name="_cta33000" localSheetId="39">#REF!</definedName>
    <definedName name="_cta33000" localSheetId="45">#REF!</definedName>
    <definedName name="_cta33000">#REF!</definedName>
    <definedName name="_cta34100" localSheetId="43">#REF!</definedName>
    <definedName name="_cta34100" localSheetId="44">#REF!</definedName>
    <definedName name="_cta34100" localSheetId="39">#REF!</definedName>
    <definedName name="_cta34100" localSheetId="45">#REF!</definedName>
    <definedName name="_cta34100">#REF!</definedName>
    <definedName name="_cta35102" localSheetId="43">#REF!</definedName>
    <definedName name="_cta35102" localSheetId="44">#REF!</definedName>
    <definedName name="_cta35102" localSheetId="39">#REF!</definedName>
    <definedName name="_cta35102" localSheetId="45">#REF!</definedName>
    <definedName name="_cta35102">#REF!</definedName>
    <definedName name="_CTA620" localSheetId="43">#REF!</definedName>
    <definedName name="_CTA620" localSheetId="44">#REF!</definedName>
    <definedName name="_CTA620" localSheetId="39">#REF!</definedName>
    <definedName name="_CTA620" localSheetId="45">#REF!</definedName>
    <definedName name="_CTA620">#REF!</definedName>
    <definedName name="_cta62000" localSheetId="43">#REF!</definedName>
    <definedName name="_cta62000" localSheetId="44">#REF!</definedName>
    <definedName name="_cta62000" localSheetId="39">#REF!</definedName>
    <definedName name="_cta62000" localSheetId="45">#REF!</definedName>
    <definedName name="_cta62000">#REF!</definedName>
    <definedName name="_cud21" localSheetId="43">#REF!</definedName>
    <definedName name="_cud21" localSheetId="44">#REF!</definedName>
    <definedName name="_cud21" localSheetId="39">#REF!</definedName>
    <definedName name="_cud21" localSheetId="45">#REF!</definedName>
    <definedName name="_cud21">#REF!</definedName>
    <definedName name="_dcc2000" localSheetId="43">#REF!</definedName>
    <definedName name="_dcc2000" localSheetId="44">#REF!</definedName>
    <definedName name="_dcc2000" localSheetId="39">#REF!</definedName>
    <definedName name="_dcc2000" localSheetId="45">#REF!</definedName>
    <definedName name="_dcc2000">#REF!</definedName>
    <definedName name="_dcc2001" localSheetId="43">#REF!</definedName>
    <definedName name="_dcc2001" localSheetId="44">#REF!</definedName>
    <definedName name="_dcc2001" localSheetId="39">#REF!</definedName>
    <definedName name="_dcc2001" localSheetId="45">#REF!</definedName>
    <definedName name="_dcc2001">#REF!</definedName>
    <definedName name="_dcc2002" localSheetId="43">#REF!</definedName>
    <definedName name="_dcc2002" localSheetId="44">#REF!</definedName>
    <definedName name="_dcc2002" localSheetId="39">#REF!</definedName>
    <definedName name="_dcc2002" localSheetId="45">#REF!</definedName>
    <definedName name="_dcc2002">#REF!</definedName>
    <definedName name="_dcc2003" localSheetId="43">#REF!</definedName>
    <definedName name="_dcc2003" localSheetId="44">#REF!</definedName>
    <definedName name="_dcc2003" localSheetId="39">#REF!</definedName>
    <definedName name="_dcc2003" localSheetId="45">#REF!</definedName>
    <definedName name="_dcc2003">#REF!</definedName>
    <definedName name="_dcc2004" localSheetId="43">[16]Programa!#REF!</definedName>
    <definedName name="_dcc2004" localSheetId="44">[16]Programa!#REF!</definedName>
    <definedName name="_dcc2004" localSheetId="39">[16]Programa!#REF!</definedName>
    <definedName name="_dcc2004" localSheetId="45">[16]Programa!#REF!</definedName>
    <definedName name="_dcc2004">[16]Programa!#REF!</definedName>
    <definedName name="_dcc2005" localSheetId="43">[16]Programa!#REF!</definedName>
    <definedName name="_dcc2005" localSheetId="44">[16]Programa!#REF!</definedName>
    <definedName name="_dcc2005" localSheetId="39">[16]Programa!#REF!</definedName>
    <definedName name="_dcc2005" localSheetId="45">[16]Programa!#REF!</definedName>
    <definedName name="_dcc2005">[16]Programa!#REF!</definedName>
    <definedName name="_dcc98" localSheetId="43">[14]Programa!#REF!</definedName>
    <definedName name="_dcc98" localSheetId="44">[14]Programa!#REF!</definedName>
    <definedName name="_dcc98" localSheetId="39">[14]Programa!#REF!</definedName>
    <definedName name="_dcc98" localSheetId="45">[14]Programa!#REF!</definedName>
    <definedName name="_dcc98">[14]Programa!#REF!</definedName>
    <definedName name="_dcc99" localSheetId="43">#REF!</definedName>
    <definedName name="_dcc99" localSheetId="44">#REF!</definedName>
    <definedName name="_dcc99" localSheetId="39">#REF!</definedName>
    <definedName name="_dcc99" localSheetId="45">#REF!</definedName>
    <definedName name="_dcc99">#REF!</definedName>
    <definedName name="_DIA1" localSheetId="43">#REF!</definedName>
    <definedName name="_DIA1" localSheetId="44">#REF!</definedName>
    <definedName name="_DIA1" localSheetId="39">#REF!</definedName>
    <definedName name="_DIA1" localSheetId="45">#REF!</definedName>
    <definedName name="_DIA1">#REF!</definedName>
    <definedName name="_dic96" localSheetId="43">#REF!</definedName>
    <definedName name="_dic96" localSheetId="44">#REF!</definedName>
    <definedName name="_dic96" localSheetId="39">#REF!</definedName>
    <definedName name="_dic96" localSheetId="45">#REF!</definedName>
    <definedName name="_dic96">#REF!</definedName>
    <definedName name="_dic97" localSheetId="43">#REF!</definedName>
    <definedName name="_dic97" localSheetId="44">#REF!</definedName>
    <definedName name="_dic97" localSheetId="39">#REF!</definedName>
    <definedName name="_dic97" localSheetId="45">#REF!</definedName>
    <definedName name="_dic97">#REF!</definedName>
    <definedName name="_Dist_Bin" localSheetId="43" hidden="1">#REF!</definedName>
    <definedName name="_Dist_Bin" localSheetId="44" hidden="1">#REF!</definedName>
    <definedName name="_Dist_Bin" localSheetId="39" hidden="1">#REF!</definedName>
    <definedName name="_Dist_Bin" localSheetId="45" hidden="1">#REF!</definedName>
    <definedName name="_Dist_Bin" hidden="1">#REF!</definedName>
    <definedName name="_Dist_Values" localSheetId="43" hidden="1">#REF!</definedName>
    <definedName name="_Dist_Values" localSheetId="44" hidden="1">#REF!</definedName>
    <definedName name="_Dist_Values" localSheetId="39" hidden="1">#REF!</definedName>
    <definedName name="_Dist_Values" localSheetId="45" hidden="1">#REF!</definedName>
    <definedName name="_Dist_Values" hidden="1">#REF!</definedName>
    <definedName name="_DLX1.USE" localSheetId="43">#REF!</definedName>
    <definedName name="_DLX1.USE" localSheetId="44">#REF!</definedName>
    <definedName name="_DLX1.USE" localSheetId="39">#REF!</definedName>
    <definedName name="_DLX1.USE" localSheetId="13">#REF!</definedName>
    <definedName name="_DLX1.USE" localSheetId="45">#REF!</definedName>
    <definedName name="_DLX1.USE" localSheetId="32">#REF!</definedName>
    <definedName name="_DLX1.USE">#REF!</definedName>
    <definedName name="_DLX10.USE" localSheetId="43">#REF!</definedName>
    <definedName name="_DLX10.USE" localSheetId="44">#REF!</definedName>
    <definedName name="_DLX10.USE" localSheetId="39">#REF!</definedName>
    <definedName name="_DLX10.USE" localSheetId="13">#REF!</definedName>
    <definedName name="_DLX10.USE" localSheetId="45">#REF!</definedName>
    <definedName name="_DLX10.USE">#REF!</definedName>
    <definedName name="_DLX11.USE" localSheetId="43">#REF!</definedName>
    <definedName name="_DLX11.USE" localSheetId="44">#REF!</definedName>
    <definedName name="_DLX11.USE" localSheetId="39">#REF!</definedName>
    <definedName name="_DLX11.USE" localSheetId="13">#REF!</definedName>
    <definedName name="_DLX11.USE" localSheetId="45">#REF!</definedName>
    <definedName name="_DLX11.USE">#REF!</definedName>
    <definedName name="_DLX12.USE" localSheetId="43">#REF!</definedName>
    <definedName name="_DLX12.USE" localSheetId="44">#REF!</definedName>
    <definedName name="_DLX12.USE" localSheetId="39">#REF!</definedName>
    <definedName name="_DLX12.USE" localSheetId="13">#REF!</definedName>
    <definedName name="_DLX12.USE" localSheetId="45">#REF!</definedName>
    <definedName name="_DLX12.USE">#REF!</definedName>
    <definedName name="_DLX13.USE" localSheetId="43">#REF!</definedName>
    <definedName name="_DLX13.USE" localSheetId="44">#REF!</definedName>
    <definedName name="_DLX13.USE" localSheetId="39">#REF!</definedName>
    <definedName name="_DLX13.USE" localSheetId="13">#REF!</definedName>
    <definedName name="_DLX13.USE" localSheetId="45">#REF!</definedName>
    <definedName name="_DLX13.USE">#REF!</definedName>
    <definedName name="_DLX14.USE" localSheetId="43">#REF!</definedName>
    <definedName name="_DLX14.USE" localSheetId="44">#REF!</definedName>
    <definedName name="_DLX14.USE" localSheetId="39">#REF!</definedName>
    <definedName name="_DLX14.USE" localSheetId="13">#REF!</definedName>
    <definedName name="_DLX14.USE" localSheetId="45">#REF!</definedName>
    <definedName name="_DLX14.USE">#REF!</definedName>
    <definedName name="_DLX15.USE" localSheetId="43">#REF!</definedName>
    <definedName name="_DLX15.USE" localSheetId="44">#REF!</definedName>
    <definedName name="_DLX15.USE" localSheetId="39">#REF!</definedName>
    <definedName name="_DLX15.USE" localSheetId="13">#REF!</definedName>
    <definedName name="_DLX15.USE" localSheetId="45">#REF!</definedName>
    <definedName name="_DLX15.USE">#REF!</definedName>
    <definedName name="_DLX16.USE" localSheetId="43">#REF!</definedName>
    <definedName name="_DLX16.USE" localSheetId="44">#REF!</definedName>
    <definedName name="_DLX16.USE" localSheetId="39">#REF!</definedName>
    <definedName name="_DLX16.USE" localSheetId="13">#REF!</definedName>
    <definedName name="_DLX16.USE" localSheetId="45">#REF!</definedName>
    <definedName name="_DLX16.USE">#REF!</definedName>
    <definedName name="_DLX17.USE" localSheetId="43">#REF!</definedName>
    <definedName name="_DLX17.USE" localSheetId="44">#REF!</definedName>
    <definedName name="_DLX17.USE" localSheetId="39">#REF!</definedName>
    <definedName name="_DLX17.USE" localSheetId="13">#REF!</definedName>
    <definedName name="_DLX17.USE" localSheetId="45">#REF!</definedName>
    <definedName name="_DLX17.USE">#REF!</definedName>
    <definedName name="_DLX18.USE" localSheetId="43">#REF!</definedName>
    <definedName name="_DLX18.USE" localSheetId="44">#REF!</definedName>
    <definedName name="_DLX18.USE" localSheetId="39">#REF!</definedName>
    <definedName name="_DLX18.USE" localSheetId="13">#REF!</definedName>
    <definedName name="_DLX18.USE" localSheetId="45">#REF!</definedName>
    <definedName name="_DLX18.USE">#REF!</definedName>
    <definedName name="_DLX19.USE" localSheetId="43">#REF!</definedName>
    <definedName name="_DLX19.USE" localSheetId="44">#REF!</definedName>
    <definedName name="_DLX19.USE" localSheetId="39">#REF!</definedName>
    <definedName name="_DLX19.USE" localSheetId="13">#REF!</definedName>
    <definedName name="_DLX19.USE" localSheetId="45">#REF!</definedName>
    <definedName name="_DLX19.USE">#REF!</definedName>
    <definedName name="_DLX2.USE" localSheetId="43">#REF!</definedName>
    <definedName name="_DLX2.USE" localSheetId="44">#REF!</definedName>
    <definedName name="_DLX2.USE" localSheetId="39">#REF!</definedName>
    <definedName name="_DLX2.USE" localSheetId="13">#REF!</definedName>
    <definedName name="_DLX2.USE" localSheetId="45">#REF!</definedName>
    <definedName name="_DLX2.USE">#REF!</definedName>
    <definedName name="_DLX20.USE" localSheetId="43">#REF!</definedName>
    <definedName name="_DLX20.USE" localSheetId="44">#REF!</definedName>
    <definedName name="_DLX20.USE" localSheetId="39">#REF!</definedName>
    <definedName name="_DLX20.USE" localSheetId="13">#REF!</definedName>
    <definedName name="_DLX20.USE" localSheetId="45">#REF!</definedName>
    <definedName name="_DLX20.USE">#REF!</definedName>
    <definedName name="_DLX21.USE" localSheetId="43">#REF!</definedName>
    <definedName name="_DLX21.USE" localSheetId="44">#REF!</definedName>
    <definedName name="_DLX21.USE" localSheetId="39">#REF!</definedName>
    <definedName name="_DLX21.USE" localSheetId="13">#REF!</definedName>
    <definedName name="_DLX21.USE" localSheetId="45">#REF!</definedName>
    <definedName name="_DLX21.USE">#REF!</definedName>
    <definedName name="_DLX22.USE" localSheetId="43">#REF!</definedName>
    <definedName name="_DLX22.USE" localSheetId="44">#REF!</definedName>
    <definedName name="_DLX22.USE" localSheetId="39">#REF!</definedName>
    <definedName name="_DLX22.USE" localSheetId="13">#REF!</definedName>
    <definedName name="_DLX22.USE" localSheetId="45">#REF!</definedName>
    <definedName name="_DLX22.USE">#REF!</definedName>
    <definedName name="_DLX23.USE" localSheetId="43">#REF!</definedName>
    <definedName name="_DLX23.USE" localSheetId="44">#REF!</definedName>
    <definedName name="_DLX23.USE" localSheetId="39">#REF!</definedName>
    <definedName name="_DLX23.USE" localSheetId="13">#REF!</definedName>
    <definedName name="_DLX23.USE" localSheetId="45">#REF!</definedName>
    <definedName name="_DLX23.USE">#REF!</definedName>
    <definedName name="_DLX24.USE" localSheetId="43">#REF!</definedName>
    <definedName name="_DLX24.USE" localSheetId="44">#REF!</definedName>
    <definedName name="_DLX24.USE" localSheetId="39">#REF!</definedName>
    <definedName name="_DLX24.USE" localSheetId="13">#REF!</definedName>
    <definedName name="_DLX24.USE" localSheetId="45">#REF!</definedName>
    <definedName name="_DLX24.USE">#REF!</definedName>
    <definedName name="_DLX25.USE" localSheetId="43">#REF!</definedName>
    <definedName name="_DLX25.USE" localSheetId="44">#REF!</definedName>
    <definedName name="_DLX25.USE" localSheetId="39">#REF!</definedName>
    <definedName name="_DLX25.USE" localSheetId="13">#REF!</definedName>
    <definedName name="_DLX25.USE" localSheetId="45">#REF!</definedName>
    <definedName name="_DLX25.USE">#REF!</definedName>
    <definedName name="_DLX3.USE" localSheetId="43">#REF!</definedName>
    <definedName name="_DLX3.USE" localSheetId="44">#REF!</definedName>
    <definedName name="_DLX3.USE" localSheetId="39">#REF!</definedName>
    <definedName name="_DLX3.USE" localSheetId="13">#REF!</definedName>
    <definedName name="_DLX3.USE" localSheetId="45">#REF!</definedName>
    <definedName name="_DLX3.USE">#REF!</definedName>
    <definedName name="_DLX4.USE" localSheetId="43">#REF!</definedName>
    <definedName name="_DLX4.USE" localSheetId="44">#REF!</definedName>
    <definedName name="_DLX4.USE" localSheetId="39">#REF!</definedName>
    <definedName name="_DLX4.USE" localSheetId="13">#REF!</definedName>
    <definedName name="_DLX4.USE" localSheetId="45">#REF!</definedName>
    <definedName name="_DLX4.USE">#REF!</definedName>
    <definedName name="_DLX5.USE" localSheetId="43">#REF!</definedName>
    <definedName name="_DLX5.USE" localSheetId="44">#REF!</definedName>
    <definedName name="_DLX5.USE" localSheetId="39">#REF!</definedName>
    <definedName name="_DLX5.USE" localSheetId="13">#REF!</definedName>
    <definedName name="_DLX5.USE" localSheetId="45">#REF!</definedName>
    <definedName name="_DLX5.USE">#REF!</definedName>
    <definedName name="_DLX6.USE" localSheetId="43">#REF!</definedName>
    <definedName name="_DLX6.USE" localSheetId="44">#REF!</definedName>
    <definedName name="_DLX6.USE" localSheetId="39">#REF!</definedName>
    <definedName name="_DLX6.USE" localSheetId="13">#REF!</definedName>
    <definedName name="_DLX6.USE" localSheetId="45">#REF!</definedName>
    <definedName name="_DLX6.USE">#REF!</definedName>
    <definedName name="_DLX7.USE" localSheetId="43">#REF!</definedName>
    <definedName name="_DLX7.USE" localSheetId="44">#REF!</definedName>
    <definedName name="_DLX7.USE" localSheetId="39">#REF!</definedName>
    <definedName name="_DLX7.USE" localSheetId="13">#REF!</definedName>
    <definedName name="_DLX7.USE" localSheetId="45">#REF!</definedName>
    <definedName name="_DLX7.USE">#REF!</definedName>
    <definedName name="_DLX8.USE" localSheetId="43">#REF!</definedName>
    <definedName name="_DLX8.USE" localSheetId="44">#REF!</definedName>
    <definedName name="_DLX8.USE" localSheetId="39">#REF!</definedName>
    <definedName name="_DLX8.USE" localSheetId="13">#REF!</definedName>
    <definedName name="_DLX8.USE" localSheetId="45">#REF!</definedName>
    <definedName name="_DLX8.USE">#REF!</definedName>
    <definedName name="_DLX9.USE" localSheetId="43">#REF!</definedName>
    <definedName name="_DLX9.USE" localSheetId="44">#REF!</definedName>
    <definedName name="_DLX9.USE" localSheetId="39">#REF!</definedName>
    <definedName name="_DLX9.USE" localSheetId="13">#REF!</definedName>
    <definedName name="_DLX9.USE" localSheetId="45">#REF!</definedName>
    <definedName name="_DLX9.USE">#REF!</definedName>
    <definedName name="_emi2000" localSheetId="43">#REF!</definedName>
    <definedName name="_emi2000" localSheetId="44">#REF!</definedName>
    <definedName name="_emi2000" localSheetId="39">#REF!</definedName>
    <definedName name="_emi2000" localSheetId="45">#REF!</definedName>
    <definedName name="_emi2000">#REF!</definedName>
    <definedName name="_emi2001" localSheetId="43">#REF!</definedName>
    <definedName name="_emi2001" localSheetId="44">#REF!</definedName>
    <definedName name="_emi2001" localSheetId="39">#REF!</definedName>
    <definedName name="_emi2001" localSheetId="45">#REF!</definedName>
    <definedName name="_emi2001">#REF!</definedName>
    <definedName name="_emi2002" localSheetId="43">#REF!</definedName>
    <definedName name="_emi2002" localSheetId="44">#REF!</definedName>
    <definedName name="_emi2002" localSheetId="39">#REF!</definedName>
    <definedName name="_emi2002" localSheetId="45">#REF!</definedName>
    <definedName name="_emi2002">#REF!</definedName>
    <definedName name="_emi2003" localSheetId="43">#REF!</definedName>
    <definedName name="_emi2003" localSheetId="44">#REF!</definedName>
    <definedName name="_emi2003" localSheetId="39">#REF!</definedName>
    <definedName name="_emi2003" localSheetId="45">#REF!</definedName>
    <definedName name="_emi2003">#REF!</definedName>
    <definedName name="_emi2004" localSheetId="43">[16]Programa!#REF!</definedName>
    <definedName name="_emi2004" localSheetId="44">[16]Programa!#REF!</definedName>
    <definedName name="_emi2004" localSheetId="39">[16]Programa!#REF!</definedName>
    <definedName name="_emi2004" localSheetId="45">[16]Programa!#REF!</definedName>
    <definedName name="_emi2004">[16]Programa!#REF!</definedName>
    <definedName name="_emi2005" localSheetId="43">[16]Programa!#REF!</definedName>
    <definedName name="_emi2005" localSheetId="44">[16]Programa!#REF!</definedName>
    <definedName name="_emi2005" localSheetId="39">[16]Programa!#REF!</definedName>
    <definedName name="_emi2005" localSheetId="45">[16]Programa!#REF!</definedName>
    <definedName name="_emi2005">[16]Programa!#REF!</definedName>
    <definedName name="_emi98" localSheetId="43">#REF!</definedName>
    <definedName name="_emi98" localSheetId="44">#REF!</definedName>
    <definedName name="_emi98" localSheetId="39">#REF!</definedName>
    <definedName name="_emi98" localSheetId="45">#REF!</definedName>
    <definedName name="_emi98">#REF!</definedName>
    <definedName name="_emi99" localSheetId="43">#REF!</definedName>
    <definedName name="_emi99" localSheetId="44">#REF!</definedName>
    <definedName name="_emi99" localSheetId="39">#REF!</definedName>
    <definedName name="_emi99" localSheetId="45">#REF!</definedName>
    <definedName name="_emi99">#REF!</definedName>
    <definedName name="_EXP5" localSheetId="43">#REF!</definedName>
    <definedName name="_EXP5" localSheetId="44">#REF!</definedName>
    <definedName name="_EXP5" localSheetId="39">#REF!</definedName>
    <definedName name="_EXP5" localSheetId="45">#REF!</definedName>
    <definedName name="_EXP5">#REF!</definedName>
    <definedName name="_EXP6" localSheetId="43">#REF!</definedName>
    <definedName name="_EXP6" localSheetId="44">#REF!</definedName>
    <definedName name="_EXP6" localSheetId="39">#REF!</definedName>
    <definedName name="_EXP6" localSheetId="45">#REF!</definedName>
    <definedName name="_EXP6">#REF!</definedName>
    <definedName name="_EXP7" localSheetId="43">#REF!</definedName>
    <definedName name="_EXP7" localSheetId="44">#REF!</definedName>
    <definedName name="_EXP7" localSheetId="39">#REF!</definedName>
    <definedName name="_EXP7" localSheetId="45">#REF!</definedName>
    <definedName name="_EXP7">#REF!</definedName>
    <definedName name="_EXP9" localSheetId="43">#REF!</definedName>
    <definedName name="_EXP9" localSheetId="44">#REF!</definedName>
    <definedName name="_EXP9" localSheetId="39">#REF!</definedName>
    <definedName name="_EXP9" localSheetId="45">#REF!</definedName>
    <definedName name="_EXP9">#REF!</definedName>
    <definedName name="_Fill" localSheetId="43" hidden="1">#REF!</definedName>
    <definedName name="_Fill" localSheetId="44" hidden="1">#REF!</definedName>
    <definedName name="_Fill" localSheetId="39" hidden="1">#REF!</definedName>
    <definedName name="_Fill" localSheetId="45" hidden="1">#REF!</definedName>
    <definedName name="_Fill" hidden="1">#REF!</definedName>
    <definedName name="_Fill1" localSheetId="43" hidden="1">#REF!</definedName>
    <definedName name="_Fill1" localSheetId="44" hidden="1">#REF!</definedName>
    <definedName name="_Fill1" localSheetId="39" hidden="1">#REF!</definedName>
    <definedName name="_Fill1" localSheetId="45" hidden="1">#REF!</definedName>
    <definedName name="_Fill1" hidden="1">#REF!</definedName>
    <definedName name="_Filler" hidden="1">[17]A!$A$43:$A$598</definedName>
    <definedName name="_xlnm._FilterDatabase" hidden="1">[18]C!$P$428:$T$428</definedName>
    <definedName name="_IMP10" localSheetId="43">#REF!</definedName>
    <definedName name="_IMP10" localSheetId="44">#REF!</definedName>
    <definedName name="_IMP10" localSheetId="39">#REF!</definedName>
    <definedName name="_IMP10" localSheetId="45">#REF!</definedName>
    <definedName name="_IMP10">#REF!</definedName>
    <definedName name="_IMP2" localSheetId="43">#REF!</definedName>
    <definedName name="_IMP2" localSheetId="44">#REF!</definedName>
    <definedName name="_IMP2" localSheetId="39">#REF!</definedName>
    <definedName name="_IMP2" localSheetId="45">#REF!</definedName>
    <definedName name="_IMP2">#REF!</definedName>
    <definedName name="_IMP4" localSheetId="43">#REF!</definedName>
    <definedName name="_IMP4" localSheetId="44">#REF!</definedName>
    <definedName name="_IMP4" localSheetId="39">#REF!</definedName>
    <definedName name="_IMP4" localSheetId="45">#REF!</definedName>
    <definedName name="_IMP4">#REF!</definedName>
    <definedName name="_IMP6" localSheetId="43">#REF!</definedName>
    <definedName name="_IMP6" localSheetId="44">#REF!</definedName>
    <definedName name="_IMP6" localSheetId="39">#REF!</definedName>
    <definedName name="_IMP6" localSheetId="45">#REF!</definedName>
    <definedName name="_IMP6">#REF!</definedName>
    <definedName name="_IMP7" localSheetId="43">#REF!</definedName>
    <definedName name="_IMP7" localSheetId="44">#REF!</definedName>
    <definedName name="_IMP7" localSheetId="39">#REF!</definedName>
    <definedName name="_IMP7" localSheetId="45">#REF!</definedName>
    <definedName name="_IMP7">#REF!</definedName>
    <definedName name="_IMP8" localSheetId="43">#REF!</definedName>
    <definedName name="_IMP8" localSheetId="44">#REF!</definedName>
    <definedName name="_IMP8" localSheetId="39">#REF!</definedName>
    <definedName name="_IMP8" localSheetId="45">#REF!</definedName>
    <definedName name="_IMP8">#REF!</definedName>
    <definedName name="_INE1" localSheetId="43">#REF!</definedName>
    <definedName name="_INE1" localSheetId="44">#REF!</definedName>
    <definedName name="_INE1" localSheetId="39">#REF!</definedName>
    <definedName name="_INE1" localSheetId="45">#REF!</definedName>
    <definedName name="_INE1">#REF!</definedName>
    <definedName name="_ipc2000" localSheetId="43">#REF!</definedName>
    <definedName name="_ipc2000" localSheetId="44">#REF!</definedName>
    <definedName name="_ipc2000" localSheetId="39">#REF!</definedName>
    <definedName name="_ipc2000" localSheetId="45">#REF!</definedName>
    <definedName name="_ipc2000">#REF!</definedName>
    <definedName name="_ipc2001" localSheetId="43">#REF!</definedName>
    <definedName name="_ipc2001" localSheetId="44">#REF!</definedName>
    <definedName name="_ipc2001" localSheetId="39">#REF!</definedName>
    <definedName name="_ipc2001" localSheetId="45">#REF!</definedName>
    <definedName name="_ipc2001">#REF!</definedName>
    <definedName name="_ipc2002" localSheetId="43">#REF!</definedName>
    <definedName name="_ipc2002" localSheetId="44">#REF!</definedName>
    <definedName name="_ipc2002" localSheetId="39">#REF!</definedName>
    <definedName name="_ipc2002" localSheetId="45">#REF!</definedName>
    <definedName name="_ipc2002">#REF!</definedName>
    <definedName name="_ipc2003" localSheetId="43">#REF!</definedName>
    <definedName name="_ipc2003" localSheetId="44">#REF!</definedName>
    <definedName name="_ipc2003" localSheetId="39">#REF!</definedName>
    <definedName name="_ipc2003" localSheetId="45">#REF!</definedName>
    <definedName name="_ipc2003">#REF!</definedName>
    <definedName name="_ipc2004" localSheetId="43">[16]Programa!#REF!</definedName>
    <definedName name="_ipc2004" localSheetId="44">[16]Programa!#REF!</definedName>
    <definedName name="_ipc2004" localSheetId="39">[16]Programa!#REF!</definedName>
    <definedName name="_ipc2004" localSheetId="45">[16]Programa!#REF!</definedName>
    <definedName name="_ipc2004">[16]Programa!#REF!</definedName>
    <definedName name="_ipc2005" localSheetId="43">[16]Programa!#REF!</definedName>
    <definedName name="_ipc2005" localSheetId="44">[16]Programa!#REF!</definedName>
    <definedName name="_ipc2005" localSheetId="39">[16]Programa!#REF!</definedName>
    <definedName name="_ipc2005" localSheetId="45">[16]Programa!#REF!</definedName>
    <definedName name="_ipc2005">[16]Programa!#REF!</definedName>
    <definedName name="_ipc98" localSheetId="43">#REF!</definedName>
    <definedName name="_ipc98" localSheetId="44">#REF!</definedName>
    <definedName name="_ipc98" localSheetId="39">#REF!</definedName>
    <definedName name="_ipc98" localSheetId="45">#REF!</definedName>
    <definedName name="_ipc98">#REF!</definedName>
    <definedName name="_ipc99" localSheetId="43">#REF!</definedName>
    <definedName name="_ipc99" localSheetId="44">#REF!</definedName>
    <definedName name="_ipc99" localSheetId="39">#REF!</definedName>
    <definedName name="_ipc99" localSheetId="45">#REF!</definedName>
    <definedName name="_ipc99">#REF!</definedName>
    <definedName name="_jun96" localSheetId="43">#REF!</definedName>
    <definedName name="_jun96" localSheetId="44">#REF!</definedName>
    <definedName name="_jun96" localSheetId="39">#REF!</definedName>
    <definedName name="_jun96" localSheetId="45">#REF!</definedName>
    <definedName name="_jun96">#REF!</definedName>
    <definedName name="_jun97" localSheetId="43">#REF!</definedName>
    <definedName name="_jun97" localSheetId="44">#REF!</definedName>
    <definedName name="_jun97" localSheetId="39">#REF!</definedName>
    <definedName name="_jun97" localSheetId="45">#REF!</definedName>
    <definedName name="_jun97">#REF!</definedName>
    <definedName name="_Key1" localSheetId="43" hidden="1">#REF!</definedName>
    <definedName name="_Key1" localSheetId="44" hidden="1">#REF!</definedName>
    <definedName name="_Key1" localSheetId="39" hidden="1">#REF!</definedName>
    <definedName name="_Key1" localSheetId="45" hidden="1">#REF!</definedName>
    <definedName name="_Key1" hidden="1">#REF!</definedName>
    <definedName name="_Key2" localSheetId="43" hidden="1">#REF!</definedName>
    <definedName name="_Key2" localSheetId="44" hidden="1">#REF!</definedName>
    <definedName name="_Key2" localSheetId="39" hidden="1">#REF!</definedName>
    <definedName name="_Key2" localSheetId="45" hidden="1">#REF!</definedName>
    <definedName name="_Key2" hidden="1">#REF!</definedName>
    <definedName name="_mar96" localSheetId="43">#REF!</definedName>
    <definedName name="_mar96" localSheetId="44">#REF!</definedName>
    <definedName name="_mar96" localSheetId="39">#REF!</definedName>
    <definedName name="_mar96" localSheetId="45">#REF!</definedName>
    <definedName name="_mar96">#REF!</definedName>
    <definedName name="_mar97" localSheetId="43">#REF!</definedName>
    <definedName name="_mar97" localSheetId="44">#REF!</definedName>
    <definedName name="_mar97" localSheetId="39">#REF!</definedName>
    <definedName name="_mar97" localSheetId="45">#REF!</definedName>
    <definedName name="_mar97">#REF!</definedName>
    <definedName name="_MCV1">[19]Q2!$E$64:$AH$64</definedName>
    <definedName name="_me98" localSheetId="43">[14]Programa!#REF!</definedName>
    <definedName name="_me98" localSheetId="44">[14]Programa!#REF!</definedName>
    <definedName name="_me98" localSheetId="39">[14]Programa!#REF!</definedName>
    <definedName name="_me98" localSheetId="45">[14]Programa!#REF!</definedName>
    <definedName name="_me98">[14]Programa!#REF!</definedName>
    <definedName name="_mes95" localSheetId="43">#REF!</definedName>
    <definedName name="_mes95" localSheetId="44">#REF!</definedName>
    <definedName name="_mes95" localSheetId="39">#REF!</definedName>
    <definedName name="_mes95" localSheetId="45">#REF!</definedName>
    <definedName name="_mes95">#REF!</definedName>
    <definedName name="_min1">[13]minor!$A$7:$AU$50</definedName>
    <definedName name="_min2">[13]minor!$A$111:$AU$143</definedName>
    <definedName name="_min3">[13]minor!$A$145:$AU$174</definedName>
    <definedName name="_min4">[13]minor!$A$177:$AU$208</definedName>
    <definedName name="_min5">[13]minor!$A$210:$AU$238</definedName>
    <definedName name="_min6">[13]minor!$A$240:$AU$268</definedName>
    <definedName name="_MTS2" localSheetId="43">'[20]Annual Tables'!#REF!</definedName>
    <definedName name="_MTS2" localSheetId="44">'[20]Annual Tables'!#REF!</definedName>
    <definedName name="_MTS2" localSheetId="39">'[20]Annual Tables'!#REF!</definedName>
    <definedName name="_MTS2" localSheetId="45">'[20]Annual Tables'!#REF!</definedName>
    <definedName name="_MTS2">'[20]Annual Tables'!#REF!</definedName>
    <definedName name="_npp2000" localSheetId="43">#REF!</definedName>
    <definedName name="_npp2000" localSheetId="44">#REF!</definedName>
    <definedName name="_npp2000" localSheetId="39">#REF!</definedName>
    <definedName name="_npp2000" localSheetId="45">#REF!</definedName>
    <definedName name="_npp2000">#REF!</definedName>
    <definedName name="_npp2001" localSheetId="43">#REF!</definedName>
    <definedName name="_npp2001" localSheetId="44">#REF!</definedName>
    <definedName name="_npp2001" localSheetId="39">#REF!</definedName>
    <definedName name="_npp2001" localSheetId="45">#REF!</definedName>
    <definedName name="_npp2001">#REF!</definedName>
    <definedName name="_npp2002" localSheetId="43">#REF!</definedName>
    <definedName name="_npp2002" localSheetId="44">#REF!</definedName>
    <definedName name="_npp2002" localSheetId="39">#REF!</definedName>
    <definedName name="_npp2002" localSheetId="45">#REF!</definedName>
    <definedName name="_npp2002">#REF!</definedName>
    <definedName name="_npp2003" localSheetId="43">#REF!</definedName>
    <definedName name="_npp2003" localSheetId="44">#REF!</definedName>
    <definedName name="_npp2003" localSheetId="39">#REF!</definedName>
    <definedName name="_npp2003" localSheetId="45">#REF!</definedName>
    <definedName name="_npp2003">#REF!</definedName>
    <definedName name="_npp2004" localSheetId="43">[16]Programa!#REF!</definedName>
    <definedName name="_npp2004" localSheetId="44">[16]Programa!#REF!</definedName>
    <definedName name="_npp2004" localSheetId="39">[16]Programa!#REF!</definedName>
    <definedName name="_npp2004" localSheetId="45">[16]Programa!#REF!</definedName>
    <definedName name="_npp2004">[16]Programa!#REF!</definedName>
    <definedName name="_npp2005" localSheetId="43">[16]Programa!#REF!</definedName>
    <definedName name="_npp2005" localSheetId="44">[16]Programa!#REF!</definedName>
    <definedName name="_npp2005" localSheetId="39">[16]Programa!#REF!</definedName>
    <definedName name="_npp2005" localSheetId="45">[16]Programa!#REF!</definedName>
    <definedName name="_npp2005">[16]Programa!#REF!</definedName>
    <definedName name="_npp98" localSheetId="43">#REF!</definedName>
    <definedName name="_npp98" localSheetId="44">#REF!</definedName>
    <definedName name="_npp98" localSheetId="39">#REF!</definedName>
    <definedName name="_npp98" localSheetId="45">#REF!</definedName>
    <definedName name="_npp98">#REF!</definedName>
    <definedName name="_npp99" localSheetId="43">#REF!</definedName>
    <definedName name="_npp99" localSheetId="44">#REF!</definedName>
    <definedName name="_npp99" localSheetId="39">#REF!</definedName>
    <definedName name="_npp99" localSheetId="45">#REF!</definedName>
    <definedName name="_npp99">#REF!</definedName>
    <definedName name="_OCT95">'[21]FINANC-95'!$A$1:$D$35</definedName>
    <definedName name="_oma1">[13]omas!$A$1:$AH$31</definedName>
    <definedName name="_oma2">[13]omas!$A$32:$AH$73</definedName>
    <definedName name="_oma3">[13]omas!$A$80:$AH$120</definedName>
    <definedName name="_Order1" hidden="1">255</definedName>
    <definedName name="_Order2" hidden="1">255</definedName>
    <definedName name="_PAG2" localSheetId="43">[20]Index!#REF!</definedName>
    <definedName name="_PAG2" localSheetId="44">[20]Index!#REF!</definedName>
    <definedName name="_PAG2" localSheetId="39">[20]Index!#REF!</definedName>
    <definedName name="_PAG2" localSheetId="45">[20]Index!#REF!</definedName>
    <definedName name="_PAG2">[20]Index!#REF!</definedName>
    <definedName name="_PAG3" localSheetId="43">[20]Index!#REF!</definedName>
    <definedName name="_PAG3" localSheetId="44">[20]Index!#REF!</definedName>
    <definedName name="_PAG3" localSheetId="39">[20]Index!#REF!</definedName>
    <definedName name="_PAG3" localSheetId="45">[20]Index!#REF!</definedName>
    <definedName name="_PAG3">[20]Index!#REF!</definedName>
    <definedName name="_PAG4" localSheetId="43">[20]Index!#REF!</definedName>
    <definedName name="_PAG4" localSheetId="44">[20]Index!#REF!</definedName>
    <definedName name="_PAG4" localSheetId="39">[20]Index!#REF!</definedName>
    <definedName name="_PAG4" localSheetId="45">[20]Index!#REF!</definedName>
    <definedName name="_PAG4">[20]Index!#REF!</definedName>
    <definedName name="_PAG5" localSheetId="43">[20]Index!#REF!</definedName>
    <definedName name="_PAG5" localSheetId="44">[20]Index!#REF!</definedName>
    <definedName name="_PAG5" localSheetId="39">[20]Index!#REF!</definedName>
    <definedName name="_PAG5" localSheetId="45">[20]Index!#REF!</definedName>
    <definedName name="_PAG5">[20]Index!#REF!</definedName>
    <definedName name="_PAG6" localSheetId="43">[20]Index!#REF!</definedName>
    <definedName name="_PAG6" localSheetId="44">[20]Index!#REF!</definedName>
    <definedName name="_PAG6" localSheetId="39">[20]Index!#REF!</definedName>
    <definedName name="_PAG6" localSheetId="45">[20]Index!#REF!</definedName>
    <definedName name="_PAG6">[20]Index!#REF!</definedName>
    <definedName name="_PAG7" localSheetId="43">#REF!</definedName>
    <definedName name="_PAG7" localSheetId="44">#REF!</definedName>
    <definedName name="_PAG7" localSheetId="39">#REF!</definedName>
    <definedName name="_PAG7" localSheetId="45">#REF!</definedName>
    <definedName name="_PAG7">#REF!</definedName>
    <definedName name="_Parse_Out" localSheetId="43" hidden="1">#REF!</definedName>
    <definedName name="_Parse_Out" localSheetId="44" hidden="1">#REF!</definedName>
    <definedName name="_Parse_Out" localSheetId="39" hidden="1">#REF!</definedName>
    <definedName name="_Parse_Out" localSheetId="45" hidden="1">#REF!</definedName>
    <definedName name="_Parse_Out" hidden="1">#REF!</definedName>
    <definedName name="_pib2000" localSheetId="43">#REF!</definedName>
    <definedName name="_pib2000" localSheetId="44">#REF!</definedName>
    <definedName name="_pib2000" localSheetId="39">#REF!</definedName>
    <definedName name="_pib2000" localSheetId="45">#REF!</definedName>
    <definedName name="_pib2000">#REF!</definedName>
    <definedName name="_pib2001" localSheetId="43">#REF!</definedName>
    <definedName name="_pib2001" localSheetId="44">#REF!</definedName>
    <definedName name="_pib2001" localSheetId="39">#REF!</definedName>
    <definedName name="_pib2001" localSheetId="45">#REF!</definedName>
    <definedName name="_pib2001">#REF!</definedName>
    <definedName name="_pib2002" localSheetId="43">#REF!</definedName>
    <definedName name="_pib2002" localSheetId="44">#REF!</definedName>
    <definedName name="_pib2002" localSheetId="39">#REF!</definedName>
    <definedName name="_pib2002" localSheetId="45">#REF!</definedName>
    <definedName name="_pib2002">#REF!</definedName>
    <definedName name="_pib2003" localSheetId="43">#REF!</definedName>
    <definedName name="_pib2003" localSheetId="44">#REF!</definedName>
    <definedName name="_pib2003" localSheetId="39">#REF!</definedName>
    <definedName name="_pib2003" localSheetId="45">#REF!</definedName>
    <definedName name="_pib2003">#REF!</definedName>
    <definedName name="_pib2004" localSheetId="43">[16]Programa!#REF!</definedName>
    <definedName name="_pib2004" localSheetId="44">[16]Programa!#REF!</definedName>
    <definedName name="_pib2004" localSheetId="39">[16]Programa!#REF!</definedName>
    <definedName name="_pib2004" localSheetId="45">[16]Programa!#REF!</definedName>
    <definedName name="_pib2004">[16]Programa!#REF!</definedName>
    <definedName name="_pib2005" localSheetId="43">[16]Programa!#REF!</definedName>
    <definedName name="_pib2005" localSheetId="44">[16]Programa!#REF!</definedName>
    <definedName name="_pib2005" localSheetId="39">[16]Programa!#REF!</definedName>
    <definedName name="_pib2005" localSheetId="45">[16]Programa!#REF!</definedName>
    <definedName name="_pib2005">[16]Programa!#REF!</definedName>
    <definedName name="_pib98" localSheetId="43">[14]Programa!#REF!</definedName>
    <definedName name="_pib98" localSheetId="44">[14]Programa!#REF!</definedName>
    <definedName name="_pib98" localSheetId="39">[14]Programa!#REF!</definedName>
    <definedName name="_pib98" localSheetId="45">[14]Programa!#REF!</definedName>
    <definedName name="_pib98">[14]Programa!#REF!</definedName>
    <definedName name="_pib99" localSheetId="43">#REF!</definedName>
    <definedName name="_pib99" localSheetId="44">#REF!</definedName>
    <definedName name="_pib99" localSheetId="39">#REF!</definedName>
    <definedName name="_pib99" localSheetId="45">#REF!</definedName>
    <definedName name="_pib99">#REF!</definedName>
    <definedName name="_pri1" localSheetId="43">#REF!</definedName>
    <definedName name="_pri1" localSheetId="44">#REF!</definedName>
    <definedName name="_pri1" localSheetId="39">#REF!</definedName>
    <definedName name="_pri1" localSheetId="45">#REF!</definedName>
    <definedName name="_pri1">#REF!</definedName>
    <definedName name="_pri2" localSheetId="43">#REF!</definedName>
    <definedName name="_pri2" localSheetId="44">#REF!</definedName>
    <definedName name="_pri2" localSheetId="39">#REF!</definedName>
    <definedName name="_pri2" localSheetId="45">#REF!</definedName>
    <definedName name="_pri2">#REF!</definedName>
    <definedName name="_Regression_Int" hidden="1">1</definedName>
    <definedName name="_Regression_Out" localSheetId="43" hidden="1">#REF!</definedName>
    <definedName name="_Regression_Out" localSheetId="44" hidden="1">#REF!</definedName>
    <definedName name="_Regression_Out" localSheetId="39" hidden="1">#REF!</definedName>
    <definedName name="_Regression_Out" localSheetId="45" hidden="1">#REF!</definedName>
    <definedName name="_Regression_Out" hidden="1">#REF!</definedName>
    <definedName name="_Regression_X" localSheetId="43" hidden="1">#REF!</definedName>
    <definedName name="_Regression_X" localSheetId="44" hidden="1">#REF!</definedName>
    <definedName name="_Regression_X" localSheetId="39" hidden="1">#REF!</definedName>
    <definedName name="_Regression_X" localSheetId="45" hidden="1">#REF!</definedName>
    <definedName name="_Regression_X" hidden="1">#REF!</definedName>
    <definedName name="_Regression_Y" localSheetId="43" hidden="1">#REF!</definedName>
    <definedName name="_Regression_Y" localSheetId="44" hidden="1">#REF!</definedName>
    <definedName name="_Regression_Y" localSheetId="39" hidden="1">#REF!</definedName>
    <definedName name="_Regression_Y" localSheetId="45" hidden="1">#REF!</definedName>
    <definedName name="_Regression_Y" hidden="1">#REF!</definedName>
    <definedName name="_rep1" localSheetId="43">#REF!</definedName>
    <definedName name="_rep1" localSheetId="44">#REF!</definedName>
    <definedName name="_rep1" localSheetId="39">#REF!</definedName>
    <definedName name="_rep1" localSheetId="45">#REF!</definedName>
    <definedName name="_rep1">#REF!</definedName>
    <definedName name="_RES2" localSheetId="43">[15]RES!#REF!</definedName>
    <definedName name="_RES2" localSheetId="44">[15]RES!#REF!</definedName>
    <definedName name="_RES2" localSheetId="39">[15]RES!#REF!</definedName>
    <definedName name="_RES2" localSheetId="45">[15]RES!#REF!</definedName>
    <definedName name="_RES2">[15]RES!#REF!</definedName>
    <definedName name="_set96" localSheetId="43">#REF!</definedName>
    <definedName name="_set96" localSheetId="44">#REF!</definedName>
    <definedName name="_set96" localSheetId="39">#REF!</definedName>
    <definedName name="_set96" localSheetId="45">#REF!</definedName>
    <definedName name="_set96">#REF!</definedName>
    <definedName name="_set97" localSheetId="43">#REF!</definedName>
    <definedName name="_set97" localSheetId="44">#REF!</definedName>
    <definedName name="_set97" localSheetId="39">#REF!</definedName>
    <definedName name="_set97" localSheetId="45">#REF!</definedName>
    <definedName name="_set97">#REF!</definedName>
    <definedName name="_Sort" localSheetId="43" hidden="1">#REF!</definedName>
    <definedName name="_Sort" localSheetId="44" hidden="1">#REF!</definedName>
    <definedName name="_Sort" localSheetId="39" hidden="1">#REF!</definedName>
    <definedName name="_Sort" localSheetId="45" hidden="1">#REF!</definedName>
    <definedName name="_Sort" hidden="1">#REF!</definedName>
    <definedName name="_TAB1" localSheetId="43">#REF!</definedName>
    <definedName name="_TAB1" localSheetId="44">#REF!</definedName>
    <definedName name="_TAB1" localSheetId="39">#REF!</definedName>
    <definedName name="_TAB1" localSheetId="45">#REF!</definedName>
    <definedName name="_TAB1">#REF!</definedName>
    <definedName name="_TAB10" localSheetId="43">#REF!</definedName>
    <definedName name="_TAB10" localSheetId="44">#REF!</definedName>
    <definedName name="_TAB10" localSheetId="39">#REF!</definedName>
    <definedName name="_TAB10" localSheetId="45">#REF!</definedName>
    <definedName name="_TAB10">#REF!</definedName>
    <definedName name="_Tab11" localSheetId="43">#REF!</definedName>
    <definedName name="_Tab11" localSheetId="44">#REF!</definedName>
    <definedName name="_Tab11" localSheetId="39">#REF!</definedName>
    <definedName name="_Tab11" localSheetId="45">#REF!</definedName>
    <definedName name="_Tab11">#REF!</definedName>
    <definedName name="_TAB12" localSheetId="43">#REF!</definedName>
    <definedName name="_TAB12" localSheetId="44">#REF!</definedName>
    <definedName name="_TAB12" localSheetId="39">#REF!</definedName>
    <definedName name="_TAB12" localSheetId="45">#REF!</definedName>
    <definedName name="_TAB12">#REF!</definedName>
    <definedName name="_Tab19" localSheetId="43">#REF!</definedName>
    <definedName name="_Tab19" localSheetId="44">#REF!</definedName>
    <definedName name="_Tab19" localSheetId="39">#REF!</definedName>
    <definedName name="_Tab19" localSheetId="45">#REF!</definedName>
    <definedName name="_Tab19">#REF!</definedName>
    <definedName name="_TAB2" localSheetId="43">#REF!</definedName>
    <definedName name="_TAB2" localSheetId="44">#REF!</definedName>
    <definedName name="_TAB2" localSheetId="39">#REF!</definedName>
    <definedName name="_TAB2" localSheetId="45">#REF!</definedName>
    <definedName name="_TAB2">#REF!</definedName>
    <definedName name="_Tab20" localSheetId="43">#REF!</definedName>
    <definedName name="_Tab20" localSheetId="44">#REF!</definedName>
    <definedName name="_Tab20" localSheetId="39">#REF!</definedName>
    <definedName name="_Tab20" localSheetId="45">#REF!</definedName>
    <definedName name="_Tab20">#REF!</definedName>
    <definedName name="_Tab21" localSheetId="43">#REF!</definedName>
    <definedName name="_Tab21" localSheetId="44">#REF!</definedName>
    <definedName name="_Tab21" localSheetId="39">#REF!</definedName>
    <definedName name="_Tab21" localSheetId="45">#REF!</definedName>
    <definedName name="_Tab21">#REF!</definedName>
    <definedName name="_Tab22" localSheetId="43">#REF!</definedName>
    <definedName name="_Tab22" localSheetId="44">#REF!</definedName>
    <definedName name="_Tab22" localSheetId="39">#REF!</definedName>
    <definedName name="_Tab22" localSheetId="45">#REF!</definedName>
    <definedName name="_Tab22">#REF!</definedName>
    <definedName name="_Tab23" localSheetId="43">#REF!</definedName>
    <definedName name="_Tab23" localSheetId="44">#REF!</definedName>
    <definedName name="_Tab23" localSheetId="39">#REF!</definedName>
    <definedName name="_Tab23" localSheetId="45">#REF!</definedName>
    <definedName name="_Tab23">#REF!</definedName>
    <definedName name="_Tab24" localSheetId="43">#REF!</definedName>
    <definedName name="_Tab24" localSheetId="44">#REF!</definedName>
    <definedName name="_Tab24" localSheetId="39">#REF!</definedName>
    <definedName name="_Tab24" localSheetId="45">#REF!</definedName>
    <definedName name="_Tab24">#REF!</definedName>
    <definedName name="_Tab26" localSheetId="43">#REF!</definedName>
    <definedName name="_Tab26" localSheetId="44">#REF!</definedName>
    <definedName name="_Tab26" localSheetId="39">#REF!</definedName>
    <definedName name="_Tab26" localSheetId="45">#REF!</definedName>
    <definedName name="_Tab26">#REF!</definedName>
    <definedName name="_Tab27" localSheetId="43">#REF!</definedName>
    <definedName name="_Tab27" localSheetId="44">#REF!</definedName>
    <definedName name="_Tab27" localSheetId="39">#REF!</definedName>
    <definedName name="_Tab27" localSheetId="45">#REF!</definedName>
    <definedName name="_Tab27">#REF!</definedName>
    <definedName name="_Tab28" localSheetId="43">#REF!</definedName>
    <definedName name="_Tab28" localSheetId="44">#REF!</definedName>
    <definedName name="_Tab28" localSheetId="39">#REF!</definedName>
    <definedName name="_Tab28" localSheetId="45">#REF!</definedName>
    <definedName name="_Tab28">#REF!</definedName>
    <definedName name="_Tab29" localSheetId="43">#REF!</definedName>
    <definedName name="_Tab29" localSheetId="44">#REF!</definedName>
    <definedName name="_Tab29" localSheetId="39">#REF!</definedName>
    <definedName name="_Tab29" localSheetId="45">#REF!</definedName>
    <definedName name="_Tab29">#REF!</definedName>
    <definedName name="_TAB3" localSheetId="43">#REF!</definedName>
    <definedName name="_TAB3" localSheetId="44">#REF!</definedName>
    <definedName name="_TAB3" localSheetId="39">#REF!</definedName>
    <definedName name="_TAB3" localSheetId="45">#REF!</definedName>
    <definedName name="_TAB3">#REF!</definedName>
    <definedName name="_Tab30" localSheetId="43">#REF!</definedName>
    <definedName name="_Tab30" localSheetId="44">#REF!</definedName>
    <definedName name="_Tab30" localSheetId="39">#REF!</definedName>
    <definedName name="_Tab30" localSheetId="45">#REF!</definedName>
    <definedName name="_Tab30">#REF!</definedName>
    <definedName name="_Tab31" localSheetId="43">#REF!</definedName>
    <definedName name="_Tab31" localSheetId="44">#REF!</definedName>
    <definedName name="_Tab31" localSheetId="39">#REF!</definedName>
    <definedName name="_Tab31" localSheetId="45">#REF!</definedName>
    <definedName name="_Tab31">#REF!</definedName>
    <definedName name="_Tab32" localSheetId="43">#REF!</definedName>
    <definedName name="_Tab32" localSheetId="44">#REF!</definedName>
    <definedName name="_Tab32" localSheetId="39">#REF!</definedName>
    <definedName name="_Tab32" localSheetId="45">#REF!</definedName>
    <definedName name="_Tab32">#REF!</definedName>
    <definedName name="_Tab33" localSheetId="43">#REF!</definedName>
    <definedName name="_Tab33" localSheetId="44">#REF!</definedName>
    <definedName name="_Tab33" localSheetId="39">#REF!</definedName>
    <definedName name="_Tab33" localSheetId="45">#REF!</definedName>
    <definedName name="_Tab33">#REF!</definedName>
    <definedName name="_Tab34" localSheetId="43">#REF!</definedName>
    <definedName name="_Tab34" localSheetId="44">#REF!</definedName>
    <definedName name="_Tab34" localSheetId="39">#REF!</definedName>
    <definedName name="_Tab34" localSheetId="45">#REF!</definedName>
    <definedName name="_Tab34">#REF!</definedName>
    <definedName name="_Tab35" localSheetId="43">#REF!</definedName>
    <definedName name="_Tab35" localSheetId="44">#REF!</definedName>
    <definedName name="_Tab35" localSheetId="39">#REF!</definedName>
    <definedName name="_Tab35" localSheetId="45">#REF!</definedName>
    <definedName name="_Tab35">#REF!</definedName>
    <definedName name="_tAB4" localSheetId="43">#REF!</definedName>
    <definedName name="_tAB4" localSheetId="44">#REF!</definedName>
    <definedName name="_tAB4" localSheetId="39">#REF!</definedName>
    <definedName name="_tAB4" localSheetId="45">#REF!</definedName>
    <definedName name="_tAB4">#REF!</definedName>
    <definedName name="_TAB47" localSheetId="43">#REF!</definedName>
    <definedName name="_TAB47" localSheetId="44">#REF!</definedName>
    <definedName name="_TAB47" localSheetId="39">#REF!</definedName>
    <definedName name="_TAB47" localSheetId="45">#REF!</definedName>
    <definedName name="_TAB47">#REF!</definedName>
    <definedName name="_TAB5" localSheetId="43">#REF!</definedName>
    <definedName name="_TAB5" localSheetId="44">#REF!</definedName>
    <definedName name="_TAB5" localSheetId="39">#REF!</definedName>
    <definedName name="_TAB5" localSheetId="45">#REF!</definedName>
    <definedName name="_TAB5">#REF!</definedName>
    <definedName name="_TAB7" localSheetId="43">#REF!</definedName>
    <definedName name="_TAB7" localSheetId="44">#REF!</definedName>
    <definedName name="_TAB7" localSheetId="39">#REF!</definedName>
    <definedName name="_TAB7" localSheetId="45">#REF!</definedName>
    <definedName name="_TAB7">#REF!</definedName>
    <definedName name="_TAB8" localSheetId="43">#REF!</definedName>
    <definedName name="_TAB8" localSheetId="44">#REF!</definedName>
    <definedName name="_TAB8" localSheetId="39">#REF!</definedName>
    <definedName name="_TAB8" localSheetId="45">#REF!</definedName>
    <definedName name="_TAB8">#REF!</definedName>
    <definedName name="_Tan7">'[22]SR VUL'!$A$2:$N$34</definedName>
    <definedName name="_tc30" localSheetId="43">#REF!</definedName>
    <definedName name="_tc30" localSheetId="44">#REF!</definedName>
    <definedName name="_tc30" localSheetId="39">#REF!</definedName>
    <definedName name="_tc30" localSheetId="45">#REF!</definedName>
    <definedName name="_tc30">#REF!</definedName>
    <definedName name="_tc99">'[23]PROYECCIONES-PM 2000mod'!$B$29</definedName>
    <definedName name="_WEO1" localSheetId="43">#REF!</definedName>
    <definedName name="_WEO1" localSheetId="44">#REF!</definedName>
    <definedName name="_WEO1" localSheetId="39">#REF!</definedName>
    <definedName name="_WEO1" localSheetId="45">#REF!</definedName>
    <definedName name="_WEO1">#REF!</definedName>
    <definedName name="_WEO2" localSheetId="43">#REF!</definedName>
    <definedName name="_WEO2" localSheetId="44">#REF!</definedName>
    <definedName name="_WEO2" localSheetId="39">#REF!</definedName>
    <definedName name="_WEO2" localSheetId="45">#REF!</definedName>
    <definedName name="_WEO2">#REF!</definedName>
    <definedName name="A" localSheetId="41">#REF!</definedName>
    <definedName name="A" localSheetId="33">#REF!</definedName>
    <definedName name="A" localSheetId="43">#REF!</definedName>
    <definedName name="A" localSheetId="44">#REF!</definedName>
    <definedName name="A" localSheetId="39">#REF!</definedName>
    <definedName name="A" localSheetId="40">#REF!</definedName>
    <definedName name="A" localSheetId="13">#REF!</definedName>
    <definedName name="A" localSheetId="5">#REF!</definedName>
    <definedName name="A" localSheetId="34">#REF!</definedName>
    <definedName name="A" localSheetId="45">#REF!</definedName>
    <definedName name="A" localSheetId="32">#REF!</definedName>
    <definedName name="A" localSheetId="30">#REF!</definedName>
    <definedName name="A">#REF!</definedName>
    <definedName name="A_impresión_IM" localSheetId="43">#REF!</definedName>
    <definedName name="A_impresión_IM" localSheetId="44">#REF!</definedName>
    <definedName name="A_impresión_IM" localSheetId="39">#REF!</definedName>
    <definedName name="A_impresión_IM" localSheetId="45">#REF!</definedName>
    <definedName name="A_impresión_IM">#REF!</definedName>
    <definedName name="A1_" localSheetId="43">[24]Sum1!#REF!</definedName>
    <definedName name="A1_" localSheetId="44">[24]Sum1!#REF!</definedName>
    <definedName name="A1_" localSheetId="39">[24]Sum1!#REF!</definedName>
    <definedName name="A1_" localSheetId="45">[24]Sum1!#REF!</definedName>
    <definedName name="A1_">[24]Sum1!#REF!</definedName>
    <definedName name="AA" localSheetId="43">#REF!</definedName>
    <definedName name="AA" localSheetId="44">#REF!</definedName>
    <definedName name="AA" localSheetId="39">#REF!</definedName>
    <definedName name="AA" localSheetId="45">#REF!</definedName>
    <definedName name="AA">#REF!</definedName>
    <definedName name="AA__Contents_and_file_description" localSheetId="43">#REF!</definedName>
    <definedName name="AA__Contents_and_file_description" localSheetId="44">#REF!</definedName>
    <definedName name="AA__Contents_and_file_description" localSheetId="39">#REF!</definedName>
    <definedName name="AA__Contents_and_file_description" localSheetId="45">#REF!</definedName>
    <definedName name="AA__Contents_and_file_description">#REF!</definedName>
    <definedName name="aaa" localSheetId="41">#REF!</definedName>
    <definedName name="aaa" localSheetId="43">#REF!</definedName>
    <definedName name="aaa" localSheetId="44">#REF!</definedName>
    <definedName name="aaa" localSheetId="39">#REF!</definedName>
    <definedName name="aaa" localSheetId="40">#REF!</definedName>
    <definedName name="aaa" localSheetId="13">#REF!</definedName>
    <definedName name="aaa" localSheetId="5">#REF!</definedName>
    <definedName name="aaa" localSheetId="45">#REF!</definedName>
    <definedName name="aaa">#REF!</definedName>
    <definedName name="aaaa" localSheetId="41">'[1]1.1 INDIC ACC'!#REF!</definedName>
    <definedName name="aaaa" localSheetId="43">'[1]1.1 INDIC ACC'!#REF!</definedName>
    <definedName name="aaaa" localSheetId="44">'[1]1.1 INDIC ACC'!#REF!</definedName>
    <definedName name="aaaa" localSheetId="39">'[1]1.1 INDIC ACC'!#REF!</definedName>
    <definedName name="aaaa" localSheetId="40">'[1]1.1 INDIC ACC'!#REF!</definedName>
    <definedName name="aaaa" localSheetId="5">'[1]1.1 INDIC ACC'!#REF!</definedName>
    <definedName name="aaaa" localSheetId="45">'[1]1.1 INDIC ACC'!#REF!</definedName>
    <definedName name="aaaa" localSheetId="32">'[1]1.1 INDIC ACC'!#REF!</definedName>
    <definedName name="aaaa">'[1]1.1 INDIC ACC'!#REF!</definedName>
    <definedName name="aaaaa" localSheetId="41">#REF!</definedName>
    <definedName name="aaaaa" localSheetId="43">#REF!</definedName>
    <definedName name="aaaaa" localSheetId="44">#REF!</definedName>
    <definedName name="aaaaa" localSheetId="39">#REF!</definedName>
    <definedName name="aaaaa" localSheetId="40">#REF!</definedName>
    <definedName name="aaaaa" localSheetId="13">#REF!</definedName>
    <definedName name="aaaaa" localSheetId="5">#REF!</definedName>
    <definedName name="aaaaa" localSheetId="45">#REF!</definedName>
    <definedName name="aaaaa" localSheetId="32">#REF!</definedName>
    <definedName name="aaaaa">#REF!</definedName>
    <definedName name="abr" localSheetId="43">[14]Programa!#REF!</definedName>
    <definedName name="abr" localSheetId="44">[14]Programa!#REF!</definedName>
    <definedName name="abr" localSheetId="39">[14]Programa!#REF!</definedName>
    <definedName name="abr" localSheetId="45">[14]Programa!#REF!</definedName>
    <definedName name="abr">[14]Programa!#REF!</definedName>
    <definedName name="abs" localSheetId="43">#REF!</definedName>
    <definedName name="abs" localSheetId="44">#REF!</definedName>
    <definedName name="abs" localSheetId="39">#REF!</definedName>
    <definedName name="abs" localSheetId="45">#REF!</definedName>
    <definedName name="abs">#REF!</definedName>
    <definedName name="activas" localSheetId="43">#REF!</definedName>
    <definedName name="activas" localSheetId="44">#REF!</definedName>
    <definedName name="activas" localSheetId="39">#REF!</definedName>
    <definedName name="activas" localSheetId="45">#REF!</definedName>
    <definedName name="activas">#REF!</definedName>
    <definedName name="ACTIVATE" localSheetId="43">#REF!</definedName>
    <definedName name="ACTIVATE" localSheetId="44">#REF!</definedName>
    <definedName name="ACTIVATE" localSheetId="39">#REF!</definedName>
    <definedName name="ACTIVATE" localSheetId="45">#REF!</definedName>
    <definedName name="ACTIVATE">#REF!</definedName>
    <definedName name="ACwvu.PLA1." localSheetId="43" hidden="1">'[25]COP FED'!#REF!</definedName>
    <definedName name="ACwvu.PLA1." localSheetId="44" hidden="1">'[25]COP FED'!#REF!</definedName>
    <definedName name="ACwvu.PLA1." localSheetId="39" hidden="1">'[25]COP FED'!#REF!</definedName>
    <definedName name="ACwvu.PLA1." localSheetId="45" hidden="1">'[25]COP FED'!#REF!</definedName>
    <definedName name="ACwvu.PLA1." hidden="1">'[25]COP FED'!#REF!</definedName>
    <definedName name="ACwvu.PLA2." hidden="1">'[25]COP FED'!$A$1:$N$49</definedName>
    <definedName name="Adjustments">#REF!</definedName>
    <definedName name="aen1ycred1">[13]Programa!$A$117:$U$197</definedName>
    <definedName name="aen2ycred2">[13]Programa!$A$528:$U$608</definedName>
    <definedName name="Agrupamiento" localSheetId="43">#REF!</definedName>
    <definedName name="Agrupamiento" localSheetId="44">#REF!</definedName>
    <definedName name="Agrupamiento" localSheetId="39">#REF!</definedName>
    <definedName name="Agrupamiento" localSheetId="45">#REF!</definedName>
    <definedName name="Agrupamiento">#REF!</definedName>
    <definedName name="ahme2000">[13]Programa!$BH$27</definedName>
    <definedName name="ahme2001" localSheetId="43">#REF!</definedName>
    <definedName name="ahme2001" localSheetId="44">#REF!</definedName>
    <definedName name="ahme2001" localSheetId="39">#REF!</definedName>
    <definedName name="ahme2001" localSheetId="45">#REF!</definedName>
    <definedName name="ahme2001">#REF!</definedName>
    <definedName name="ahme2002" localSheetId="43">#REF!</definedName>
    <definedName name="ahme2002" localSheetId="44">#REF!</definedName>
    <definedName name="ahme2002" localSheetId="39">#REF!</definedName>
    <definedName name="ahme2002" localSheetId="45">#REF!</definedName>
    <definedName name="ahme2002">#REF!</definedName>
    <definedName name="ahme2003" localSheetId="43">#REF!</definedName>
    <definedName name="ahme2003" localSheetId="44">#REF!</definedName>
    <definedName name="ahme2003" localSheetId="39">#REF!</definedName>
    <definedName name="ahme2003" localSheetId="45">#REF!</definedName>
    <definedName name="ahme2003">#REF!</definedName>
    <definedName name="ahme2004" localSheetId="43">[16]Programa!#REF!</definedName>
    <definedName name="ahme2004" localSheetId="44">[16]Programa!#REF!</definedName>
    <definedName name="ahme2004" localSheetId="39">[16]Programa!#REF!</definedName>
    <definedName name="ahme2004" localSheetId="45">[16]Programa!#REF!</definedName>
    <definedName name="ahme2004">[16]Programa!#REF!</definedName>
    <definedName name="ahme2005" localSheetId="43">[16]Programa!#REF!</definedName>
    <definedName name="ahme2005" localSheetId="44">[16]Programa!#REF!</definedName>
    <definedName name="ahme2005" localSheetId="39">[16]Programa!#REF!</definedName>
    <definedName name="ahme2005" localSheetId="45">[16]Programa!#REF!</definedName>
    <definedName name="ahme2005">[16]Programa!#REF!</definedName>
    <definedName name="ahme98" localSheetId="43">[14]Programa!#REF!</definedName>
    <definedName name="ahme98" localSheetId="44">[14]Programa!#REF!</definedName>
    <definedName name="ahme98" localSheetId="39">[14]Programa!#REF!</definedName>
    <definedName name="ahme98" localSheetId="45">[14]Programa!#REF!</definedName>
    <definedName name="ahme98">[14]Programa!#REF!</definedName>
    <definedName name="ahme98s">[13]Programa!$AW$27</definedName>
    <definedName name="ahme99">[13]Programa!$AU$27</definedName>
    <definedName name="ahome">[13]Programa!$U$27</definedName>
    <definedName name="ahome98" localSheetId="43">[13]Programa!#REF!</definedName>
    <definedName name="ahome98" localSheetId="44">[13]Programa!#REF!</definedName>
    <definedName name="ahome98" localSheetId="39">[13]Programa!#REF!</definedName>
    <definedName name="ahome98" localSheetId="45">[13]Programa!#REF!</definedName>
    <definedName name="ahome98">[13]Programa!#REF!</definedName>
    <definedName name="ahome98j" localSheetId="43">[14]Programa!#REF!</definedName>
    <definedName name="ahome98j" localSheetId="44">[14]Programa!#REF!</definedName>
    <definedName name="ahome98j" localSheetId="39">[14]Programa!#REF!</definedName>
    <definedName name="ahome98j" localSheetId="45">[14]Programa!#REF!</definedName>
    <definedName name="ahome98j">[14]Programa!#REF!</definedName>
    <definedName name="ahorro">[13]Programa!$U$20</definedName>
    <definedName name="ahorro2000">[13]Programa!$BH$20</definedName>
    <definedName name="ahorro2001">[26]Programa!$AN$18</definedName>
    <definedName name="ahorro2002" localSheetId="43">#REF!</definedName>
    <definedName name="ahorro2002" localSheetId="44">#REF!</definedName>
    <definedName name="ahorro2002" localSheetId="39">#REF!</definedName>
    <definedName name="ahorro2002" localSheetId="45">#REF!</definedName>
    <definedName name="ahorro2002">#REF!</definedName>
    <definedName name="ahorro2003" localSheetId="43">#REF!</definedName>
    <definedName name="ahorro2003" localSheetId="44">#REF!</definedName>
    <definedName name="ahorro2003" localSheetId="39">#REF!</definedName>
    <definedName name="ahorro2003" localSheetId="45">#REF!</definedName>
    <definedName name="ahorro2003">#REF!</definedName>
    <definedName name="ahorro2004" localSheetId="43">[16]Programa!#REF!</definedName>
    <definedName name="ahorro2004" localSheetId="44">[16]Programa!#REF!</definedName>
    <definedName name="ahorro2004" localSheetId="39">[16]Programa!#REF!</definedName>
    <definedName name="ahorro2004" localSheetId="45">[16]Programa!#REF!</definedName>
    <definedName name="ahorro2004">[16]Programa!#REF!</definedName>
    <definedName name="ahorro2005" localSheetId="43">[16]Programa!#REF!</definedName>
    <definedName name="ahorro2005" localSheetId="44">[16]Programa!#REF!</definedName>
    <definedName name="ahorro2005" localSheetId="39">[16]Programa!#REF!</definedName>
    <definedName name="ahorro2005" localSheetId="45">[16]Programa!#REF!</definedName>
    <definedName name="ahorro2005">[16]Programa!#REF!</definedName>
    <definedName name="ahorro98" localSheetId="43">[13]Programa!#REF!</definedName>
    <definedName name="ahorro98" localSheetId="44">[13]Programa!#REF!</definedName>
    <definedName name="ahorro98" localSheetId="39">[13]Programa!#REF!</definedName>
    <definedName name="ahorro98" localSheetId="45">[13]Programa!#REF!</definedName>
    <definedName name="ahorro98">[13]Programa!#REF!</definedName>
    <definedName name="ahorro98j" localSheetId="43">[13]Programa!#REF!</definedName>
    <definedName name="ahorro98j" localSheetId="44">[13]Programa!#REF!</definedName>
    <definedName name="ahorro98j" localSheetId="39">[13]Programa!#REF!</definedName>
    <definedName name="ahorro98j" localSheetId="45">[13]Programa!#REF!</definedName>
    <definedName name="ahorro98j">[13]Programa!#REF!</definedName>
    <definedName name="ahorro98s">[13]Programa!$AW$20</definedName>
    <definedName name="ahorro99">[13]Programa!$AU$20</definedName>
    <definedName name="AI" localSheetId="43">#REF!</definedName>
    <definedName name="AI" localSheetId="44">#REF!</definedName>
    <definedName name="AI" localSheetId="39">#REF!</definedName>
    <definedName name="AI" localSheetId="45">#REF!</definedName>
    <definedName name="AI">#REF!</definedName>
    <definedName name="AL" localSheetId="43">#REF!</definedName>
    <definedName name="AL" localSheetId="44">#REF!</definedName>
    <definedName name="AL" localSheetId="39">#REF!</definedName>
    <definedName name="AL" localSheetId="45">#REF!</definedName>
    <definedName name="AL">#REF!</definedName>
    <definedName name="all" localSheetId="43">#REF!</definedName>
    <definedName name="all" localSheetId="44">#REF!</definedName>
    <definedName name="all" localSheetId="39">#REF!</definedName>
    <definedName name="all" localSheetId="45">#REF!</definedName>
    <definedName name="all">#REF!</definedName>
    <definedName name="ANITA" localSheetId="43">#REF!</definedName>
    <definedName name="ANITA" localSheetId="44">#REF!</definedName>
    <definedName name="ANITA" localSheetId="39">#REF!</definedName>
    <definedName name="ANITA" localSheetId="45">#REF!</definedName>
    <definedName name="ANITA">#REF!</definedName>
    <definedName name="Anno" localSheetId="43">#REF!</definedName>
    <definedName name="Anno" localSheetId="44">#REF!</definedName>
    <definedName name="Anno" localSheetId="39">#REF!</definedName>
    <definedName name="Anno" localSheetId="45">#REF!</definedName>
    <definedName name="Anno">#REF!</definedName>
    <definedName name="anscount" hidden="1">1</definedName>
    <definedName name="anterior" localSheetId="43">#REF!</definedName>
    <definedName name="anterior" localSheetId="44">#REF!</definedName>
    <definedName name="anterior" localSheetId="39">#REF!</definedName>
    <definedName name="anterior" localSheetId="45">#REF!</definedName>
    <definedName name="anterior">#REF!</definedName>
    <definedName name="_xlnm.Print_Area" localSheetId="41">' Apx - FPP.2x proyección'!$A$3:$E$43</definedName>
    <definedName name="_xlnm.Print_Area" localSheetId="35">'AEN y OPN para BC'!$A$1:$F$16</definedName>
    <definedName name="_xlnm.Print_Area" localSheetId="33">'AEN y OPN totales'!$A$1:$G$28</definedName>
    <definedName name="_xlnm.Print_Area" localSheetId="3">'Cuadro PIB'!$C$2:$M$34</definedName>
    <definedName name="_xlnm.Print_Area" localSheetId="2">'Cuadro SEFI'!$C$2:$J$63</definedName>
    <definedName name="_xlnm.Print_Area" localSheetId="7">Deflactor_PIB!$B$2:$L$47</definedName>
    <definedName name="_xlnm.Print_Area" localSheetId="11">EX_Stock_Ind!$B$2:$L$37</definedName>
    <definedName name="_xlnm.Print_Area" localSheetId="43">'Externo (hasta 2013)'!$A$1:$FH$164</definedName>
    <definedName name="_xlnm.Print_Area" localSheetId="46">'Externo (hasta 2014) '!$A$1:$FH$164</definedName>
    <definedName name="_xlnm.Print_Area" localSheetId="44">'Fiscal y monetario (hasta 2013)'!$A$2:$FE$163</definedName>
    <definedName name="_xlnm.Print_Area" localSheetId="47">'Fiscal y monetario (hasta 2014)'!$A$2:$FE$163</definedName>
    <definedName name="_xlnm.Print_Area" localSheetId="39">#REF!</definedName>
    <definedName name="_xlnm.Print_Area" localSheetId="23">Gob_EOG!$B$2:$M$63</definedName>
    <definedName name="_xlnm.Print_Area" localSheetId="27">Gob_GTR_Proy!$D$1:$H$43</definedName>
    <definedName name="_xlnm.Print_Area" localSheetId="28">'Hoja-Gob_Exp_Proy.'!$B$3:$K$47</definedName>
    <definedName name="_xlnm.Print_Area" localSheetId="36">MON_IND!$B$2:$L$43</definedName>
    <definedName name="_xlnm.Print_Area" localSheetId="29">MON_PSD!$B$2:$L$51</definedName>
    <definedName name="_xlnm.Print_Area" localSheetId="34">'Multiplicador del dinero'!$A$1:$N$19</definedName>
    <definedName name="_xlnm.Print_Area" localSheetId="6">PIB_real!$B$2:$L$51</definedName>
    <definedName name="_xlnm.Print_Area" localSheetId="9">PII!$B$2:$L$39</definedName>
    <definedName name="_xlnm.Print_Area" localSheetId="42">'Real (hasta 2013)'!$A$2:$FI$164</definedName>
    <definedName name="_xlnm.Print_Area" localSheetId="45">'Real (hasta 2014)'!$A$2:$FI$164</definedName>
    <definedName name="_xlnm.Print_Area" localSheetId="32">#REF!</definedName>
    <definedName name="_xlnm.Print_Area" localSheetId="30">'Velocidad y demanda de dinero '!$A$1:$T$14</definedName>
    <definedName name="_xlnm.Print_Area">#REF!</definedName>
    <definedName name="areor" localSheetId="43">#REF!</definedName>
    <definedName name="areor" localSheetId="44">#REF!</definedName>
    <definedName name="areor" localSheetId="39">#REF!</definedName>
    <definedName name="areor" localSheetId="45">#REF!</definedName>
    <definedName name="areor">#REF!</definedName>
    <definedName name="atrade" localSheetId="43">[12]!atrade</definedName>
    <definedName name="atrade" localSheetId="44">[12]!atrade</definedName>
    <definedName name="atrade" localSheetId="39">[12]!atrade</definedName>
    <definedName name="atrade" localSheetId="45">[12]!atrade</definedName>
    <definedName name="atrade">[12]!atrade</definedName>
    <definedName name="B" localSheetId="41">#REF!</definedName>
    <definedName name="B" localSheetId="43">#REF!</definedName>
    <definedName name="B" localSheetId="44">#REF!</definedName>
    <definedName name="B" localSheetId="39">#REF!</definedName>
    <definedName name="B" localSheetId="40">#REF!</definedName>
    <definedName name="B" localSheetId="13">#REF!</definedName>
    <definedName name="B" localSheetId="5">#REF!</definedName>
    <definedName name="B" localSheetId="45">#REF!</definedName>
    <definedName name="B" localSheetId="32">#REF!</definedName>
    <definedName name="B">#REF!</definedName>
    <definedName name="bancos">[13]Programa!$A$784</definedName>
    <definedName name="BANCOS_COMERCIALES" localSheetId="43">#REF!</definedName>
    <definedName name="BANCOS_COMERCIALES" localSheetId="44">#REF!</definedName>
    <definedName name="BANCOS_COMERCIALES" localSheetId="39">#REF!</definedName>
    <definedName name="BANCOS_COMERCIALES" localSheetId="45">#REF!</definedName>
    <definedName name="BANCOS_COMERCIALES">#REF!</definedName>
    <definedName name="basass">[27]assumptions!$A$2:$M$34</definedName>
    <definedName name="BASDAT" localSheetId="43">'[20]Annual Tables'!#REF!</definedName>
    <definedName name="BASDAT" localSheetId="44">'[20]Annual Tables'!#REF!</definedName>
    <definedName name="BASDAT" localSheetId="39">'[20]Annual Tables'!#REF!</definedName>
    <definedName name="BASDAT" localSheetId="45">'[20]Annual Tables'!#REF!</definedName>
    <definedName name="BASDAT">'[20]Annual Tables'!#REF!</definedName>
    <definedName name="base" localSheetId="43">#REF!</definedName>
    <definedName name="base" localSheetId="44">#REF!</definedName>
    <definedName name="base" localSheetId="39">#REF!</definedName>
    <definedName name="base" localSheetId="45">#REF!</definedName>
    <definedName name="base">#REF!</definedName>
    <definedName name="BASE1" localSheetId="43">#REF!</definedName>
    <definedName name="BASE1" localSheetId="44">#REF!</definedName>
    <definedName name="BASE1" localSheetId="39">#REF!</definedName>
    <definedName name="BASE1" localSheetId="45">#REF!</definedName>
    <definedName name="BASE1">#REF!</definedName>
    <definedName name="BaseYear">'[28]REER-US'!$A$4</definedName>
    <definedName name="BB__Data_Exports_from_Real__Sector_File" localSheetId="43">#REF!</definedName>
    <definedName name="BB__Data_Exports_from_Real__Sector_File" localSheetId="44">#REF!</definedName>
    <definedName name="BB__Data_Exports_from_Real__Sector_File" localSheetId="39">#REF!</definedName>
    <definedName name="BB__Data_Exports_from_Real__Sector_File" localSheetId="45">#REF!</definedName>
    <definedName name="BB__Data_Exports_from_Real__Sector_File">#REF!</definedName>
    <definedName name="BB__Data_Imports_from_BOP_File" localSheetId="43">#REF!</definedName>
    <definedName name="BB__Data_Imports_from_BOP_File" localSheetId="44">#REF!</definedName>
    <definedName name="BB__Data_Imports_from_BOP_File" localSheetId="39">#REF!</definedName>
    <definedName name="BB__Data_Imports_from_BOP_File" localSheetId="45">#REF!</definedName>
    <definedName name="BB__Data_Imports_from_BOP_File">#REF!</definedName>
    <definedName name="BB__Data_Imports_from_Fiscal_File" localSheetId="43">#REF!</definedName>
    <definedName name="BB__Data_Imports_from_Fiscal_File" localSheetId="44">#REF!</definedName>
    <definedName name="BB__Data_Imports_from_Fiscal_File" localSheetId="39">#REF!</definedName>
    <definedName name="BB__Data_Imports_from_Fiscal_File" localSheetId="45">#REF!</definedName>
    <definedName name="BB__Data_Imports_from_Fiscal_File">#REF!</definedName>
    <definedName name="BB__Data_Imports_from_Monetary_File" localSheetId="43">#REF!</definedName>
    <definedName name="BB__Data_Imports_from_Monetary_File" localSheetId="44">#REF!</definedName>
    <definedName name="BB__Data_Imports_from_Monetary_File" localSheetId="39">#REF!</definedName>
    <definedName name="BB__Data_Imports_from_Monetary_File" localSheetId="45">#REF!</definedName>
    <definedName name="BB__Data_Imports_from_Monetary_File">#REF!</definedName>
    <definedName name="BB__Data_inputs_for_projections" localSheetId="43">#REF!</definedName>
    <definedName name="BB__Data_inputs_for_projections" localSheetId="44">#REF!</definedName>
    <definedName name="BB__Data_inputs_for_projections" localSheetId="39">#REF!</definedName>
    <definedName name="BB__Data_inputs_for_projections" localSheetId="45">#REF!</definedName>
    <definedName name="BB__Data_inputs_for_projections">#REF!</definedName>
    <definedName name="BCA">#N/A</definedName>
    <definedName name="BCA_GDP">#N/A</definedName>
    <definedName name="BCA_NGDP">[22]WEOQ6!$E$10:$AH$10</definedName>
    <definedName name="bcos" localSheetId="43">#REF!</definedName>
    <definedName name="bcos" localSheetId="44">#REF!</definedName>
    <definedName name="bcos" localSheetId="39">#REF!</definedName>
    <definedName name="bcos" localSheetId="45">#REF!</definedName>
    <definedName name="bcos">#REF!</definedName>
    <definedName name="BE">#N/A</definedName>
    <definedName name="BEA">[22]WEOQ6!$E$143:$AH$143</definedName>
    <definedName name="BEAI">#N/A</definedName>
    <definedName name="BEAIB">#N/A</definedName>
    <definedName name="BEAIG">#N/A</definedName>
    <definedName name="BEAP">#N/A</definedName>
    <definedName name="BEAPB">#N/A</definedName>
    <definedName name="BEAPG">#N/A</definedName>
    <definedName name="BEBE" localSheetId="43">#REF!</definedName>
    <definedName name="BEBE" localSheetId="44">#REF!</definedName>
    <definedName name="BEBE" localSheetId="39">#REF!</definedName>
    <definedName name="BEBE" localSheetId="45">#REF!</definedName>
    <definedName name="BEBE">#REF!</definedName>
    <definedName name="BED">[22]WEOQ6!$E$52:$AH$52</definedName>
    <definedName name="BED_6">[22]WEOQ6!$E$142:$AH$142</definedName>
    <definedName name="BEDE" localSheetId="43">#REF!</definedName>
    <definedName name="BEDE" localSheetId="44">#REF!</definedName>
    <definedName name="BEDE" localSheetId="39">#REF!</definedName>
    <definedName name="BEDE" localSheetId="45">#REF!</definedName>
    <definedName name="BEDE">#REF!</definedName>
    <definedName name="bem" localSheetId="43">[14]Programa!#REF!</definedName>
    <definedName name="bem" localSheetId="44">[14]Programa!#REF!</definedName>
    <definedName name="bem" localSheetId="39">[14]Programa!#REF!</definedName>
    <definedName name="bem" localSheetId="45">[14]Programa!#REF!</definedName>
    <definedName name="bem">[14]Programa!#REF!</definedName>
    <definedName name="BEO">[22]WEOQ6!$E$145:$AH$145</definedName>
    <definedName name="BER">[22]WEOQ6!$E$144:$AH$144</definedName>
    <definedName name="BERI">#N/A</definedName>
    <definedName name="BERIB">#N/A</definedName>
    <definedName name="BERIG">#N/A</definedName>
    <definedName name="BERNA" localSheetId="43">#REF!</definedName>
    <definedName name="BERNA" localSheetId="44">#REF!</definedName>
    <definedName name="BERNA" localSheetId="39">#REF!</definedName>
    <definedName name="BERNA" localSheetId="45">#REF!</definedName>
    <definedName name="BERNA">#REF!</definedName>
    <definedName name="BERP">#N/A</definedName>
    <definedName name="BERPB">#N/A</definedName>
    <definedName name="BERPG">#N/A</definedName>
    <definedName name="best" localSheetId="43">#REF!</definedName>
    <definedName name="best" localSheetId="44">#REF!</definedName>
    <definedName name="best" localSheetId="39">#REF!</definedName>
    <definedName name="best" localSheetId="45">#REF!</definedName>
    <definedName name="best">#REF!</definedName>
    <definedName name="BEST_D" localSheetId="43">#REF!</definedName>
    <definedName name="BEST_D" localSheetId="44">#REF!</definedName>
    <definedName name="BEST_D" localSheetId="39">#REF!</definedName>
    <definedName name="BEST_D" localSheetId="45">#REF!</definedName>
    <definedName name="BEST_D">#REF!</definedName>
    <definedName name="bf" localSheetId="43">#REF!</definedName>
    <definedName name="bf" localSheetId="44">#REF!</definedName>
    <definedName name="bf" localSheetId="39">#REF!</definedName>
    <definedName name="bf" localSheetId="45">#REF!</definedName>
    <definedName name="bf">#REF!</definedName>
    <definedName name="BFD">[22]WEOQ6!$E$59:$AH$59</definedName>
    <definedName name="BFDA">[22]WEOQ6!$E$61:$AH$61</definedName>
    <definedName name="BFDI">[22]WEOQ6!$E$64:$AH$64</definedName>
    <definedName name="BFDIL">[22]WEOQ6!$E$67:$AH$67</definedName>
    <definedName name="bfftsy" localSheetId="43" hidden="1">[2]ER!#REF!</definedName>
    <definedName name="bfftsy" localSheetId="44" hidden="1">[2]ER!#REF!</definedName>
    <definedName name="bfftsy" localSheetId="39" hidden="1">[2]ER!#REF!</definedName>
    <definedName name="bfftsy" localSheetId="45" hidden="1">[2]ER!#REF!</definedName>
    <definedName name="bfftsy" hidden="1">[2]ER!#REF!</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LRES" localSheetId="43">[29]WETA!#REF!</definedName>
    <definedName name="BFLRES" localSheetId="44">[29]WETA!#REF!</definedName>
    <definedName name="BFLRES" localSheetId="39">[29]WETA!#REF!</definedName>
    <definedName name="BFLRES" localSheetId="45">[29]WETA!#REF!</definedName>
    <definedName name="BFLRES">[29]WETA!#REF!</definedName>
    <definedName name="BFO">[22]WEOQ6!$E$96:$AH$96</definedName>
    <definedName name="BFO_S" localSheetId="43">[29]WETA!#REF!</definedName>
    <definedName name="BFO_S" localSheetId="44">[29]WETA!#REF!</definedName>
    <definedName name="BFO_S" localSheetId="39">[29]WETA!#REF!</definedName>
    <definedName name="BFO_S" localSheetId="45">[29]WETA!#REF!</definedName>
    <definedName name="BFO_S">[29]WETA!#REF!</definedName>
    <definedName name="BFOA">[22]WEOQ6!$E$99:$AH$99</definedName>
    <definedName name="BFOAG">[22]WEOQ6!$E$101:$AH$101</definedName>
    <definedName name="BFOL">[22]WEOQ6!$E$103:$AH$103</definedName>
    <definedName name="BFOL_B">[22]WEOQ6!$E$120:$AH$120</definedName>
    <definedName name="BFOL_G">[22]WEOQ6!$E$115:$AH$115</definedName>
    <definedName name="BFOL_L">[22]WEOQ6!$E$107:$AH$107</definedName>
    <definedName name="BFOL_O">[22]WEOQ6!$E$122:$AH$122</definedName>
    <definedName name="BFOL_S">[22]WEOQ6!$E$112:$AH$112</definedName>
    <definedName name="BFOLB">[22]WEOQ6!$E$120:$AH$120</definedName>
    <definedName name="BFOLG_L">[22]WEOQ6!$E$110:$AH$110</definedName>
    <definedName name="BFP">[22]WEOQ6!$E$70:$AH$70</definedName>
    <definedName name="BFPA">[22]WEOQ6!$E$72:$AH$72</definedName>
    <definedName name="BFPAG">[22]WEOQ6!$E$74:$AH$74</definedName>
    <definedName name="BFPL">[22]WEOQ6!$E$76:$AH$76</definedName>
    <definedName name="BFPLBN">[22]WEOQ6!$E$91:$AH$91</definedName>
    <definedName name="BFPLD">[22]WEOQ6!$E$84:$AH$84</definedName>
    <definedName name="BFPLD_G">[22]WEOQ6!$E$87:$AH$87</definedName>
    <definedName name="BFPLE">[22]WEOQ6!$E$79:$AH$79</definedName>
    <definedName name="BFPLE_G">[22]WEOQ6!$E$81:$AH$81</definedName>
    <definedName name="BFPLMM">[22]WEOQ6!$E$93:$AH$93</definedName>
    <definedName name="BFRA">#N/A</definedName>
    <definedName name="bfsdhtr" localSheetId="43" hidden="1">[2]WB!#REF!</definedName>
    <definedName name="bfsdhtr" localSheetId="44" hidden="1">[2]WB!#REF!</definedName>
    <definedName name="bfsdhtr" localSheetId="39" hidden="1">[2]WB!#REF!</definedName>
    <definedName name="bfsdhtr" localSheetId="45" hidden="1">[2]WB!#REF!</definedName>
    <definedName name="bfsdhtr" hidden="1">[2]WB!#REF!</definedName>
    <definedName name="BFUND">[22]WEOQ6!$E$117:$AH$117</definedName>
    <definedName name="BGS">[22]WEOQ6!$E$13:$AH$13</definedName>
    <definedName name="BI">#N/A</definedName>
    <definedName name="BIP">[22]WEOQ6!$E$35:$AH$35</definedName>
    <definedName name="BK">#N/A</definedName>
    <definedName name="BKF">#N/A</definedName>
    <definedName name="BKFA">[22]WEOQ6!$E$44:$AH$44</definedName>
    <definedName name="BKO">[22]WEOQ6!$E$53:$AH$53</definedName>
    <definedName name="BLPH1" hidden="1">'[30]Ex rate bloom'!$A$4</definedName>
    <definedName name="BLPH2" hidden="1">'[30]Ex rate bloom'!$D$4</definedName>
    <definedName name="BLPH3" hidden="1">'[30]Ex rate bloom'!$G$4</definedName>
    <definedName name="BLPH4" hidden="1">'[30]Ex rate bloom'!$J$4</definedName>
    <definedName name="BLPH5" hidden="1">'[30]Ex rate bloom'!$M$4</definedName>
    <definedName name="BLPH6" hidden="1">'[30]Ex rate bloom'!$P$4</definedName>
    <definedName name="BLPH7" hidden="1">'[30]Ex rate bloom'!$S$4</definedName>
    <definedName name="BLPH8" hidden="1">'[30]Ex rate bloom'!$V$4</definedName>
    <definedName name="BM">[22]WEOQ6!$E$24:$AH$24</definedName>
    <definedName name="BMG">[31]Q6!$E$28:$AH$28</definedName>
    <definedName name="BMII">#N/A</definedName>
    <definedName name="BMII_7">[22]WEOQ7!$E$48:$AH$48</definedName>
    <definedName name="BMIIB">#N/A</definedName>
    <definedName name="BMIIG">#N/A</definedName>
    <definedName name="BMS">[32]Q6!$E$29:$AH$29</definedName>
    <definedName name="Bolivia" localSheetId="43">#REF!</definedName>
    <definedName name="Bolivia" localSheetId="44">#REF!</definedName>
    <definedName name="Bolivia" localSheetId="39">#REF!</definedName>
    <definedName name="Bolivia" localSheetId="45">#REF!</definedName>
    <definedName name="Bolivia">#REF!</definedName>
    <definedName name="bonos" localSheetId="43">#REF!</definedName>
    <definedName name="bonos" localSheetId="44">#REF!</definedName>
    <definedName name="bonos" localSheetId="39">#REF!</definedName>
    <definedName name="bonos" localSheetId="45">#REF!</definedName>
    <definedName name="bonos">#REF!</definedName>
    <definedName name="BOP">#N/A</definedName>
    <definedName name="BRASS">[22]WEOQ6!$E$153:$AH$153</definedName>
    <definedName name="BRASS_1">[22]WEOQ6!$E$129:$AH$129</definedName>
    <definedName name="BRASS_6">[22]WEOQ6!$E$129:$AH$129</definedName>
    <definedName name="Brazil" localSheetId="43">#REF!</definedName>
    <definedName name="Brazil" localSheetId="44">#REF!</definedName>
    <definedName name="Brazil" localSheetId="39">#REF!</definedName>
    <definedName name="Brazil" localSheetId="45">#REF!</definedName>
    <definedName name="Brazil">#REF!</definedName>
    <definedName name="BTR">[22]WEOQ6!$E$39:$AH$39</definedName>
    <definedName name="BTRG">[22]WEOQ6!$E$41:$AH$41</definedName>
    <definedName name="Budget_expenditure" localSheetId="43">#REF!</definedName>
    <definedName name="Budget_expenditure" localSheetId="44">#REF!</definedName>
    <definedName name="Budget_expenditure" localSheetId="39">#REF!</definedName>
    <definedName name="Budget_expenditure" localSheetId="45">#REF!</definedName>
    <definedName name="Budget_expenditure">#REF!</definedName>
    <definedName name="Budget_revenue" localSheetId="43">#REF!</definedName>
    <definedName name="Budget_revenue" localSheetId="44">#REF!</definedName>
    <definedName name="Budget_revenue" localSheetId="39">#REF!</definedName>
    <definedName name="Budget_revenue" localSheetId="45">#REF!</definedName>
    <definedName name="Budget_revenue">#REF!</definedName>
    <definedName name="BX">[22]WEOQ6!$E$16:$AH$16</definedName>
    <definedName name="BXG">[31]Q6!$E$26:$AH$26</definedName>
    <definedName name="BXS">[32]Q6!$E$21:$AH$21</definedName>
    <definedName name="CAJA" localSheetId="43">#REF!</definedName>
    <definedName name="CAJA" localSheetId="44">#REF!</definedName>
    <definedName name="CAJA" localSheetId="39">#REF!</definedName>
    <definedName name="CAJA" localSheetId="45">#REF!</definedName>
    <definedName name="CAJA">#REF!</definedName>
    <definedName name="CalcMCV_4" localSheetId="43">#REF!</definedName>
    <definedName name="CalcMCV_4" localSheetId="44">#REF!</definedName>
    <definedName name="CalcMCV_4" localSheetId="39">#REF!</definedName>
    <definedName name="CalcMCV_4" localSheetId="45">#REF!</definedName>
    <definedName name="CalcMCV_4">#REF!</definedName>
    <definedName name="calcNGS_NGDP">#N/A</definedName>
    <definedName name="CAPITAL" localSheetId="43">#REF!</definedName>
    <definedName name="CAPITAL" localSheetId="44">#REF!</definedName>
    <definedName name="CAPITAL" localSheetId="39">#REF!</definedName>
    <definedName name="CAPITAL" localSheetId="45">#REF!</definedName>
    <definedName name="CAPITAL">#REF!</definedName>
    <definedName name="captados" localSheetId="43">#REF!</definedName>
    <definedName name="captados" localSheetId="44">#REF!</definedName>
    <definedName name="captados" localSheetId="39">#REF!</definedName>
    <definedName name="captados" localSheetId="45">#REF!</definedName>
    <definedName name="captados">#REF!</definedName>
    <definedName name="CC_1" localSheetId="43">#REF!</definedName>
    <definedName name="CC_1" localSheetId="44">#REF!</definedName>
    <definedName name="CC_1" localSheetId="39">#REF!</definedName>
    <definedName name="CC_1" localSheetId="45">#REF!</definedName>
    <definedName name="CC_1">#REF!</definedName>
    <definedName name="CC_1__CPI_data" localSheetId="43">#REF!</definedName>
    <definedName name="CC_1__CPI_data" localSheetId="44">#REF!</definedName>
    <definedName name="CC_1__CPI_data" localSheetId="39">#REF!</definedName>
    <definedName name="CC_1__CPI_data" localSheetId="45">#REF!</definedName>
    <definedName name="CC_1__CPI_data">#REF!</definedName>
    <definedName name="CC_1__GDP_by_Final_Demand_Component" localSheetId="43">#REF!</definedName>
    <definedName name="CC_1__GDP_by_Final_Demand_Component" localSheetId="44">#REF!</definedName>
    <definedName name="CC_1__GDP_by_Final_Demand_Component" localSheetId="39">#REF!</definedName>
    <definedName name="CC_1__GDP_by_Final_Demand_Component" localSheetId="45">#REF!</definedName>
    <definedName name="CC_1__GDP_by_Final_Demand_Component">#REF!</definedName>
    <definedName name="CC_1__Gross_Domestic_Investment" localSheetId="43">#REF!</definedName>
    <definedName name="CC_1__Gross_Domestic_Investment" localSheetId="44">#REF!</definedName>
    <definedName name="CC_1__Gross_Domestic_Investment" localSheetId="39">#REF!</definedName>
    <definedName name="CC_1__Gross_Domestic_Investment" localSheetId="45">#REF!</definedName>
    <definedName name="CC_1__Gross_Domestic_Investment">#REF!</definedName>
    <definedName name="CC_1__National_Income_at_current_prices" localSheetId="43">#REF!</definedName>
    <definedName name="CC_1__National_Income_at_current_prices" localSheetId="44">#REF!</definedName>
    <definedName name="CC_1__National_Income_at_current_prices" localSheetId="39">#REF!</definedName>
    <definedName name="CC_1__National_Income_at_current_prices" localSheetId="45">#REF!</definedName>
    <definedName name="CC_1__National_Income_at_current_prices">#REF!</definedName>
    <definedName name="CC_1__Real_GDP_by_Sector" localSheetId="43">#REF!</definedName>
    <definedName name="CC_1__Real_GDP_by_Sector" localSheetId="44">#REF!</definedName>
    <definedName name="CC_1__Real_GDP_by_Sector" localSheetId="39">#REF!</definedName>
    <definedName name="CC_1__Real_GDP_by_Sector" localSheetId="45">#REF!</definedName>
    <definedName name="CC_1__Real_GDP_by_Sector">#REF!</definedName>
    <definedName name="CC_1__Selected_Wage_Indicators" localSheetId="43">#REF!</definedName>
    <definedName name="CC_1__Selected_Wage_Indicators" localSheetId="44">#REF!</definedName>
    <definedName name="CC_1__Selected_Wage_Indicators" localSheetId="39">#REF!</definedName>
    <definedName name="CC_1__Selected_Wage_Indicators" localSheetId="45">#REF!</definedName>
    <definedName name="CC_1__Selected_Wage_Indicators">#REF!</definedName>
    <definedName name="CC_1__Statistics_Agriculture" localSheetId="43">#REF!</definedName>
    <definedName name="CC_1__Statistics_Agriculture" localSheetId="44">#REF!</definedName>
    <definedName name="CC_1__Statistics_Agriculture" localSheetId="39">#REF!</definedName>
    <definedName name="CC_1__Statistics_Agriculture" localSheetId="45">#REF!</definedName>
    <definedName name="CC_1__Statistics_Agriculture">#REF!</definedName>
    <definedName name="CC_1__Statistics_Manufacturing_Production" localSheetId="43">#REF!</definedName>
    <definedName name="CC_1__Statistics_Manufacturing_Production" localSheetId="44">#REF!</definedName>
    <definedName name="CC_1__Statistics_Manufacturing_Production" localSheetId="39">#REF!</definedName>
    <definedName name="CC_1__Statistics_Manufacturing_Production" localSheetId="45">#REF!</definedName>
    <definedName name="CC_1__Statistics_Manufacturing_Production">#REF!</definedName>
    <definedName name="CC_2" localSheetId="43">#REF!</definedName>
    <definedName name="CC_2" localSheetId="44">#REF!</definedName>
    <definedName name="CC_2" localSheetId="39">#REF!</definedName>
    <definedName name="CC_2" localSheetId="45">#REF!</definedName>
    <definedName name="CC_2">#REF!</definedName>
    <definedName name="ccbccr" localSheetId="43">#REF!</definedName>
    <definedName name="ccbccr" localSheetId="44">#REF!</definedName>
    <definedName name="ccbccr" localSheetId="39">#REF!</definedName>
    <definedName name="ccbccr" localSheetId="45">#REF!</definedName>
    <definedName name="ccbccr">#REF!</definedName>
    <definedName name="cccc">#N/A</definedName>
    <definedName name="ccme" localSheetId="43">#REF!</definedName>
    <definedName name="ccme" localSheetId="44">#REF!</definedName>
    <definedName name="ccme" localSheetId="39">#REF!</definedName>
    <definedName name="ccme" localSheetId="45">#REF!</definedName>
    <definedName name="ccme">#REF!</definedName>
    <definedName name="ccme2000" localSheetId="43">#REF!</definedName>
    <definedName name="ccme2000" localSheetId="44">#REF!</definedName>
    <definedName name="ccme2000" localSheetId="39">#REF!</definedName>
    <definedName name="ccme2000" localSheetId="45">#REF!</definedName>
    <definedName name="ccme2000">#REF!</definedName>
    <definedName name="ccme2001" localSheetId="43">#REF!</definedName>
    <definedName name="ccme2001" localSheetId="44">#REF!</definedName>
    <definedName name="ccme2001" localSheetId="39">#REF!</definedName>
    <definedName name="ccme2001" localSheetId="45">#REF!</definedName>
    <definedName name="ccme2001">#REF!</definedName>
    <definedName name="ccme2002" localSheetId="43">#REF!</definedName>
    <definedName name="ccme2002" localSheetId="44">#REF!</definedName>
    <definedName name="ccme2002" localSheetId="39">#REF!</definedName>
    <definedName name="ccme2002" localSheetId="45">#REF!</definedName>
    <definedName name="ccme2002">#REF!</definedName>
    <definedName name="ccme2003" localSheetId="43">#REF!</definedName>
    <definedName name="ccme2003" localSheetId="44">#REF!</definedName>
    <definedName name="ccme2003" localSheetId="39">#REF!</definedName>
    <definedName name="ccme2003" localSheetId="45">#REF!</definedName>
    <definedName name="ccme2003">#REF!</definedName>
    <definedName name="ccme2004" localSheetId="43">[16]Programa!#REF!</definedName>
    <definedName name="ccme2004" localSheetId="44">[16]Programa!#REF!</definedName>
    <definedName name="ccme2004" localSheetId="39">[16]Programa!#REF!</definedName>
    <definedName name="ccme2004" localSheetId="45">[16]Programa!#REF!</definedName>
    <definedName name="ccme2004">[16]Programa!#REF!</definedName>
    <definedName name="ccme2005" localSheetId="43">[16]Programa!#REF!</definedName>
    <definedName name="ccme2005" localSheetId="44">[16]Programa!#REF!</definedName>
    <definedName name="ccme2005" localSheetId="39">[16]Programa!#REF!</definedName>
    <definedName name="ccme2005" localSheetId="45">[16]Programa!#REF!</definedName>
    <definedName name="ccme2005">[16]Programa!#REF!</definedName>
    <definedName name="ccme98" localSheetId="43">[14]Programa!#REF!</definedName>
    <definedName name="ccme98" localSheetId="44">[14]Programa!#REF!</definedName>
    <definedName name="ccme98" localSheetId="39">[14]Programa!#REF!</definedName>
    <definedName name="ccme98" localSheetId="45">[14]Programa!#REF!</definedName>
    <definedName name="ccme98">[14]Programa!#REF!</definedName>
    <definedName name="ccme98j" localSheetId="43">[14]Programa!#REF!</definedName>
    <definedName name="ccme98j" localSheetId="44">[14]Programa!#REF!</definedName>
    <definedName name="ccme98j" localSheetId="39">[14]Programa!#REF!</definedName>
    <definedName name="ccme98j" localSheetId="45">[14]Programa!#REF!</definedName>
    <definedName name="ccme98j">[14]Programa!#REF!</definedName>
    <definedName name="ccme98s" localSheetId="43">#REF!</definedName>
    <definedName name="ccme98s" localSheetId="44">#REF!</definedName>
    <definedName name="ccme98s" localSheetId="39">#REF!</definedName>
    <definedName name="ccme98s" localSheetId="45">#REF!</definedName>
    <definedName name="ccme98s">#REF!</definedName>
    <definedName name="ccme99" localSheetId="43">#REF!</definedName>
    <definedName name="ccme99" localSheetId="44">#REF!</definedName>
    <definedName name="ccme99" localSheetId="39">#REF!</definedName>
    <definedName name="ccme99" localSheetId="45">#REF!</definedName>
    <definedName name="ccme99">#REF!</definedName>
    <definedName name="CCode" localSheetId="3">[33]Codes!$A$2</definedName>
    <definedName name="CCode" localSheetId="32">[33]Codes!$A$2</definedName>
    <definedName name="CCode">[33]Codes!$A$2</definedName>
    <definedName name="CENGOVT" localSheetId="43">#REF!</definedName>
    <definedName name="CENGOVT" localSheetId="44">#REF!</definedName>
    <definedName name="CENGOVT" localSheetId="39">#REF!</definedName>
    <definedName name="CENGOVT" localSheetId="45">#REF!</definedName>
    <definedName name="CENGOVT">#REF!</definedName>
    <definedName name="CENTRALG" localSheetId="43">#REF!</definedName>
    <definedName name="CENTRALG" localSheetId="44">#REF!</definedName>
    <definedName name="CENTRALG" localSheetId="39">#REF!</definedName>
    <definedName name="CENTRALG" localSheetId="45">#REF!</definedName>
    <definedName name="CENTRALG">#REF!</definedName>
    <definedName name="cerdito2" localSheetId="43">#REF!</definedName>
    <definedName name="cerdito2" localSheetId="44">#REF!</definedName>
    <definedName name="cerdito2" localSheetId="39">#REF!</definedName>
    <definedName name="cerdito2" localSheetId="45">#REF!</definedName>
    <definedName name="cerdito2">#REF!</definedName>
    <definedName name="CFLOW" localSheetId="43">#REF!</definedName>
    <definedName name="CFLOW" localSheetId="44">#REF!</definedName>
    <definedName name="CFLOW" localSheetId="39">#REF!</definedName>
    <definedName name="CFLOW" localSheetId="45">#REF!</definedName>
    <definedName name="CFLOW">#REF!</definedName>
    <definedName name="Chart11" localSheetId="43">#REF!</definedName>
    <definedName name="Chart11" localSheetId="44">#REF!</definedName>
    <definedName name="Chart11" localSheetId="39">#REF!</definedName>
    <definedName name="Chart11" localSheetId="45">#REF!</definedName>
    <definedName name="Chart11">#REF!</definedName>
    <definedName name="CHILE" localSheetId="43">#REF!</definedName>
    <definedName name="CHILE" localSheetId="44">#REF!</definedName>
    <definedName name="CHILE" localSheetId="39">#REF!</definedName>
    <definedName name="CHILE" localSheetId="45">#REF!</definedName>
    <definedName name="CHILE">#REF!</definedName>
    <definedName name="CHK" localSheetId="43">#REF!</definedName>
    <definedName name="CHK" localSheetId="44">#REF!</definedName>
    <definedName name="CHK" localSheetId="39">#REF!</definedName>
    <definedName name="CHK" localSheetId="45">#REF!</definedName>
    <definedName name="CHK">#REF!</definedName>
    <definedName name="CHK5.1">[22]WEOQ5!$E$107:$AH$107</definedName>
    <definedName name="cifras_" localSheetId="43">#REF!</definedName>
    <definedName name="cifras_" localSheetId="44">#REF!</definedName>
    <definedName name="cifras_" localSheetId="39">#REF!</definedName>
    <definedName name="cifras_" localSheetId="45">#REF!</definedName>
    <definedName name="cifras_" localSheetId="32">#REF!</definedName>
    <definedName name="cifras_">#REF!</definedName>
    <definedName name="cmbccr" localSheetId="43">#REF!</definedName>
    <definedName name="cmbccr" localSheetId="44">#REF!</definedName>
    <definedName name="cmbccr" localSheetId="39">#REF!</definedName>
    <definedName name="cmbccr" localSheetId="45">#REF!</definedName>
    <definedName name="cmbccr">#REF!</definedName>
    <definedName name="cmbcom" localSheetId="43">#REF!</definedName>
    <definedName name="cmbcom" localSheetId="44">#REF!</definedName>
    <definedName name="cmbcom" localSheetId="39">#REF!</definedName>
    <definedName name="cmbcom" localSheetId="45">#REF!</definedName>
    <definedName name="cmbcom">#REF!</definedName>
    <definedName name="cmca" localSheetId="43">#REF!</definedName>
    <definedName name="cmca" localSheetId="44">#REF!</definedName>
    <definedName name="cmca" localSheetId="39">#REF!</definedName>
    <definedName name="cmca" localSheetId="45">#REF!</definedName>
    <definedName name="cmca">#REF!</definedName>
    <definedName name="cmsbn" localSheetId="43">#REF!</definedName>
    <definedName name="cmsbn" localSheetId="44">#REF!</definedName>
    <definedName name="cmsbn" localSheetId="39">#REF!</definedName>
    <definedName name="cmsbn" localSheetId="45">#REF!</definedName>
    <definedName name="cmsbn">#REF!</definedName>
    <definedName name="cnspnf" localSheetId="43">#REF!</definedName>
    <definedName name="cnspnf" localSheetId="44">#REF!</definedName>
    <definedName name="cnspnf" localSheetId="39">#REF!</definedName>
    <definedName name="cnspnf" localSheetId="45">#REF!</definedName>
    <definedName name="cnspnf">#REF!</definedName>
    <definedName name="cntryname">'[34]country name lookup'!$A$1:$B$50</definedName>
    <definedName name="COL" localSheetId="43">[24]Projections!#REF!</definedName>
    <definedName name="COL" localSheetId="44">[24]Projections!#REF!</definedName>
    <definedName name="COL" localSheetId="39">[24]Projections!#REF!</definedName>
    <definedName name="COL" localSheetId="45">[24]Projections!#REF!</definedName>
    <definedName name="COL">[24]Projections!#REF!</definedName>
    <definedName name="CONCK" localSheetId="43">#REF!</definedName>
    <definedName name="CONCK" localSheetId="44">#REF!</definedName>
    <definedName name="CONCK" localSheetId="39">#REF!</definedName>
    <definedName name="CONCK" localSheetId="45">#REF!</definedName>
    <definedName name="CONCK" localSheetId="32">#REF!</definedName>
    <definedName name="CONCK">#REF!</definedName>
    <definedName name="conor" localSheetId="43">#REF!</definedName>
    <definedName name="conor" localSheetId="44">#REF!</definedName>
    <definedName name="conor" localSheetId="39">#REF!</definedName>
    <definedName name="conor" localSheetId="45">#REF!</definedName>
    <definedName name="conor">#REF!</definedName>
    <definedName name="cons" localSheetId="43">#REF!</definedName>
    <definedName name="cons" localSheetId="44">#REF!</definedName>
    <definedName name="cons" localSheetId="39">#REF!</definedName>
    <definedName name="cons" localSheetId="45">#REF!</definedName>
    <definedName name="cons">#REF!</definedName>
    <definedName name="contacto" localSheetId="43">#REF!</definedName>
    <definedName name="contacto" localSheetId="44">#REF!</definedName>
    <definedName name="contacto" localSheetId="39">#REF!</definedName>
    <definedName name="contacto" localSheetId="45">#REF!</definedName>
    <definedName name="contacto">#REF!</definedName>
    <definedName name="COUNTER" localSheetId="43">#REF!</definedName>
    <definedName name="COUNTER" localSheetId="44">#REF!</definedName>
    <definedName name="COUNTER" localSheetId="39">#REF!</definedName>
    <definedName name="COUNTER" localSheetId="45">#REF!</definedName>
    <definedName name="COUNTER">#REF!</definedName>
    <definedName name="CountryName">'[28]REER-US'!$A$6</definedName>
    <definedName name="cp" localSheetId="43" hidden="1">'[35]C Summary'!#REF!</definedName>
    <definedName name="cp" localSheetId="44" hidden="1">'[35]C Summary'!#REF!</definedName>
    <definedName name="cp" localSheetId="39" hidden="1">'[35]C Summary'!#REF!</definedName>
    <definedName name="cp" localSheetId="45" hidden="1">'[35]C Summary'!#REF!</definedName>
    <definedName name="cp" hidden="1">'[35]C Summary'!#REF!</definedName>
    <definedName name="CRECWM">[36]SUPUESTOS!A$15</definedName>
    <definedName name="cred" localSheetId="43">#REF!</definedName>
    <definedName name="cred" localSheetId="44">#REF!</definedName>
    <definedName name="cred" localSheetId="39">#REF!</definedName>
    <definedName name="cred" localSheetId="45">#REF!</definedName>
    <definedName name="cred" localSheetId="32">#REF!</definedName>
    <definedName name="cred">#REF!</definedName>
    <definedName name="cred1" localSheetId="43">#REF!</definedName>
    <definedName name="cred1" localSheetId="44">#REF!</definedName>
    <definedName name="cred1" localSheetId="39">#REF!</definedName>
    <definedName name="cred1" localSheetId="45">#REF!</definedName>
    <definedName name="cred1">#REF!</definedName>
    <definedName name="cred2000" localSheetId="43">#REF!</definedName>
    <definedName name="cred2000" localSheetId="44">#REF!</definedName>
    <definedName name="cred2000" localSheetId="39">#REF!</definedName>
    <definedName name="cred2000" localSheetId="45">#REF!</definedName>
    <definedName name="cred2000">#REF!</definedName>
    <definedName name="cred2001" localSheetId="43">#REF!</definedName>
    <definedName name="cred2001" localSheetId="44">#REF!</definedName>
    <definedName name="cred2001" localSheetId="39">#REF!</definedName>
    <definedName name="cred2001" localSheetId="45">#REF!</definedName>
    <definedName name="cred2001">#REF!</definedName>
    <definedName name="cred2002" localSheetId="43">#REF!</definedName>
    <definedName name="cred2002" localSheetId="44">#REF!</definedName>
    <definedName name="cred2002" localSheetId="39">#REF!</definedName>
    <definedName name="cred2002" localSheetId="45">#REF!</definedName>
    <definedName name="cred2002">#REF!</definedName>
    <definedName name="cred2003" localSheetId="43">#REF!</definedName>
    <definedName name="cred2003" localSheetId="44">#REF!</definedName>
    <definedName name="cred2003" localSheetId="39">#REF!</definedName>
    <definedName name="cred2003" localSheetId="45">#REF!</definedName>
    <definedName name="cred2003">#REF!</definedName>
    <definedName name="cred2004" localSheetId="43">[16]Programa!#REF!</definedName>
    <definedName name="cred2004" localSheetId="44">[16]Programa!#REF!</definedName>
    <definedName name="cred2004" localSheetId="39">[16]Programa!#REF!</definedName>
    <definedName name="cred2004" localSheetId="45">[16]Programa!#REF!</definedName>
    <definedName name="cred2004">[16]Programa!#REF!</definedName>
    <definedName name="cred2005" localSheetId="43">[16]Programa!#REF!</definedName>
    <definedName name="cred2005" localSheetId="44">[16]Programa!#REF!</definedName>
    <definedName name="cred2005" localSheetId="39">[16]Programa!#REF!</definedName>
    <definedName name="cred2005" localSheetId="45">[16]Programa!#REF!</definedName>
    <definedName name="cred2005">[16]Programa!#REF!</definedName>
    <definedName name="cred98" localSheetId="43">[14]Programa!#REF!</definedName>
    <definedName name="cred98" localSheetId="44">[14]Programa!#REF!</definedName>
    <definedName name="cred98" localSheetId="39">[14]Programa!#REF!</definedName>
    <definedName name="cred98" localSheetId="45">[14]Programa!#REF!</definedName>
    <definedName name="cred98">[14]Programa!#REF!</definedName>
    <definedName name="cred98j" localSheetId="43">[14]Programa!#REF!</definedName>
    <definedName name="cred98j" localSheetId="44">[14]Programa!#REF!</definedName>
    <definedName name="cred98j" localSheetId="39">[14]Programa!#REF!</definedName>
    <definedName name="cred98j" localSheetId="45">[14]Programa!#REF!</definedName>
    <definedName name="cred98j">[14]Programa!#REF!</definedName>
    <definedName name="cred98s" localSheetId="43">#REF!</definedName>
    <definedName name="cred98s" localSheetId="44">#REF!</definedName>
    <definedName name="cred98s" localSheetId="39">#REF!</definedName>
    <definedName name="cred98s" localSheetId="45">#REF!</definedName>
    <definedName name="cred98s">#REF!</definedName>
    <definedName name="cred99" localSheetId="43">#REF!</definedName>
    <definedName name="cred99" localSheetId="44">#REF!</definedName>
    <definedName name="cred99" localSheetId="39">#REF!</definedName>
    <definedName name="cred99" localSheetId="45">#REF!</definedName>
    <definedName name="cred99">#REF!</definedName>
    <definedName name="CREDITO" localSheetId="43">#REF!</definedName>
    <definedName name="CREDITO" localSheetId="44">#REF!</definedName>
    <definedName name="CREDITO" localSheetId="39">#REF!</definedName>
    <definedName name="CREDITO" localSheetId="45">#REF!</definedName>
    <definedName name="CREDITO">#REF!</definedName>
    <definedName name="CREDITO1" localSheetId="43">#REF!</definedName>
    <definedName name="CREDITO1" localSheetId="44">#REF!</definedName>
    <definedName name="CREDITO1" localSheetId="39">#REF!</definedName>
    <definedName name="CREDITO1" localSheetId="45">#REF!</definedName>
    <definedName name="CREDITO1">#REF!</definedName>
    <definedName name="cu1_" localSheetId="43">[37]Cuadro1!#REF!</definedName>
    <definedName name="cu1_" localSheetId="44">[37]Cuadro1!#REF!</definedName>
    <definedName name="cu1_" localSheetId="39">[37]Cuadro1!#REF!</definedName>
    <definedName name="cu1_" localSheetId="45">[37]Cuadro1!#REF!</definedName>
    <definedName name="cu1_">[37]Cuadro1!#REF!</definedName>
    <definedName name="cu3_" localSheetId="43">#REF!</definedName>
    <definedName name="cu3_" localSheetId="44">#REF!</definedName>
    <definedName name="cu3_" localSheetId="39">#REF!</definedName>
    <definedName name="cu3_" localSheetId="45">#REF!</definedName>
    <definedName name="cu3_" localSheetId="32">#REF!</definedName>
    <definedName name="cu3_">#REF!</definedName>
    <definedName name="cu5_" localSheetId="43">[38]Cuadro5!#REF!</definedName>
    <definedName name="cu5_" localSheetId="44">[38]Cuadro5!#REF!</definedName>
    <definedName name="cu5_" localSheetId="39">[38]Cuadro5!#REF!</definedName>
    <definedName name="cu5_" localSheetId="45">[38]Cuadro5!#REF!</definedName>
    <definedName name="cu5_" localSheetId="32">[38]Cuadro5!#REF!</definedName>
    <definedName name="cu5_">[38]Cuadro5!#REF!</definedName>
    <definedName name="cuad1" localSheetId="43">#REF!</definedName>
    <definedName name="cuad1" localSheetId="44">#REF!</definedName>
    <definedName name="cuad1" localSheetId="39">#REF!</definedName>
    <definedName name="cuad1" localSheetId="45">#REF!</definedName>
    <definedName name="cuad1" localSheetId="32">#REF!</definedName>
    <definedName name="cuad1">#REF!</definedName>
    <definedName name="cuad10" localSheetId="43">#REF!</definedName>
    <definedName name="cuad10" localSheetId="44">#REF!</definedName>
    <definedName name="cuad10" localSheetId="39">#REF!</definedName>
    <definedName name="cuad10" localSheetId="45">#REF!</definedName>
    <definedName name="cuad10">#REF!</definedName>
    <definedName name="cuad11" localSheetId="43">#REF!</definedName>
    <definedName name="cuad11" localSheetId="44">#REF!</definedName>
    <definedName name="cuad11" localSheetId="39">#REF!</definedName>
    <definedName name="cuad11" localSheetId="45">#REF!</definedName>
    <definedName name="cuad11">#REF!</definedName>
    <definedName name="cuad12" localSheetId="43">#REF!</definedName>
    <definedName name="cuad12" localSheetId="44">#REF!</definedName>
    <definedName name="cuad12" localSheetId="39">#REF!</definedName>
    <definedName name="cuad12" localSheetId="45">#REF!</definedName>
    <definedName name="cuad12">#REF!</definedName>
    <definedName name="cuad13" localSheetId="43">#REF!</definedName>
    <definedName name="cuad13" localSheetId="44">#REF!</definedName>
    <definedName name="cuad13" localSheetId="39">#REF!</definedName>
    <definedName name="cuad13" localSheetId="45">#REF!</definedName>
    <definedName name="cuad13">#REF!</definedName>
    <definedName name="cuad14" localSheetId="43">#REF!</definedName>
    <definedName name="cuad14" localSheetId="44">#REF!</definedName>
    <definedName name="cuad14" localSheetId="39">#REF!</definedName>
    <definedName name="cuad14" localSheetId="45">#REF!</definedName>
    <definedName name="cuad14">#REF!</definedName>
    <definedName name="cuad15" localSheetId="43">#REF!</definedName>
    <definedName name="cuad15" localSheetId="44">#REF!</definedName>
    <definedName name="cuad15" localSheetId="39">#REF!</definedName>
    <definedName name="cuad15" localSheetId="45">#REF!</definedName>
    <definedName name="cuad15">#REF!</definedName>
    <definedName name="cuad16" localSheetId="43">#REF!</definedName>
    <definedName name="cuad16" localSheetId="44">#REF!</definedName>
    <definedName name="cuad16" localSheetId="39">#REF!</definedName>
    <definedName name="cuad16" localSheetId="45">#REF!</definedName>
    <definedName name="cuad16">#REF!</definedName>
    <definedName name="cuad17" localSheetId="43">#REF!</definedName>
    <definedName name="cuad17" localSheetId="44">#REF!</definedName>
    <definedName name="cuad17" localSheetId="39">#REF!</definedName>
    <definedName name="cuad17" localSheetId="45">#REF!</definedName>
    <definedName name="cuad17">#REF!</definedName>
    <definedName name="cuad18" localSheetId="43">#REF!</definedName>
    <definedName name="cuad18" localSheetId="44">#REF!</definedName>
    <definedName name="cuad18" localSheetId="39">#REF!</definedName>
    <definedName name="cuad18" localSheetId="45">#REF!</definedName>
    <definedName name="cuad18">#REF!</definedName>
    <definedName name="cuad19" localSheetId="43">#REF!</definedName>
    <definedName name="cuad19" localSheetId="44">#REF!</definedName>
    <definedName name="cuad19" localSheetId="39">#REF!</definedName>
    <definedName name="cuad19" localSheetId="45">#REF!</definedName>
    <definedName name="cuad19">#REF!</definedName>
    <definedName name="cuad2" localSheetId="43">#REF!</definedName>
    <definedName name="cuad2" localSheetId="44">#REF!</definedName>
    <definedName name="cuad2" localSheetId="39">#REF!</definedName>
    <definedName name="cuad2" localSheetId="45">#REF!</definedName>
    <definedName name="cuad2">#REF!</definedName>
    <definedName name="cuad20" localSheetId="43">#REF!</definedName>
    <definedName name="cuad20" localSheetId="44">#REF!</definedName>
    <definedName name="cuad20" localSheetId="39">#REF!</definedName>
    <definedName name="cuad20" localSheetId="45">#REF!</definedName>
    <definedName name="cuad20">#REF!</definedName>
    <definedName name="cuad21" localSheetId="43">#REF!</definedName>
    <definedName name="cuad21" localSheetId="44">#REF!</definedName>
    <definedName name="cuad21" localSheetId="39">#REF!</definedName>
    <definedName name="cuad21" localSheetId="45">#REF!</definedName>
    <definedName name="cuad21">#REF!</definedName>
    <definedName name="cuad22" localSheetId="43">#REF!</definedName>
    <definedName name="cuad22" localSheetId="44">#REF!</definedName>
    <definedName name="cuad22" localSheetId="39">#REF!</definedName>
    <definedName name="cuad22" localSheetId="45">#REF!</definedName>
    <definedName name="cuad22">#REF!</definedName>
    <definedName name="cuad23" localSheetId="43">#REF!</definedName>
    <definedName name="cuad23" localSheetId="44">#REF!</definedName>
    <definedName name="cuad23" localSheetId="39">#REF!</definedName>
    <definedName name="cuad23" localSheetId="45">#REF!</definedName>
    <definedName name="cuad23">#REF!</definedName>
    <definedName name="cuad24" localSheetId="43">#REF!</definedName>
    <definedName name="cuad24" localSheetId="44">#REF!</definedName>
    <definedName name="cuad24" localSheetId="39">#REF!</definedName>
    <definedName name="cuad24" localSheetId="45">#REF!</definedName>
    <definedName name="cuad24">#REF!</definedName>
    <definedName name="cuad25" localSheetId="43">#REF!</definedName>
    <definedName name="cuad25" localSheetId="44">#REF!</definedName>
    <definedName name="cuad25" localSheetId="39">#REF!</definedName>
    <definedName name="cuad25" localSheetId="45">#REF!</definedName>
    <definedName name="cuad25">#REF!</definedName>
    <definedName name="cuad3" localSheetId="43">#REF!</definedName>
    <definedName name="cuad3" localSheetId="44">#REF!</definedName>
    <definedName name="cuad3" localSheetId="39">#REF!</definedName>
    <definedName name="cuad3" localSheetId="45">#REF!</definedName>
    <definedName name="cuad3">#REF!</definedName>
    <definedName name="cuad4" localSheetId="43">#REF!</definedName>
    <definedName name="cuad4" localSheetId="44">#REF!</definedName>
    <definedName name="cuad4" localSheetId="39">#REF!</definedName>
    <definedName name="cuad4" localSheetId="45">#REF!</definedName>
    <definedName name="cuad4">#REF!</definedName>
    <definedName name="cuad5" localSheetId="43">#REF!</definedName>
    <definedName name="cuad5" localSheetId="44">#REF!</definedName>
    <definedName name="cuad5" localSheetId="39">#REF!</definedName>
    <definedName name="cuad5" localSheetId="45">#REF!</definedName>
    <definedName name="cuad5">#REF!</definedName>
    <definedName name="cuad6" localSheetId="43">#REF!</definedName>
    <definedName name="cuad6" localSheetId="44">#REF!</definedName>
    <definedName name="cuad6" localSheetId="39">#REF!</definedName>
    <definedName name="cuad6" localSheetId="45">#REF!</definedName>
    <definedName name="cuad6">#REF!</definedName>
    <definedName name="cuad7" localSheetId="43">#REF!</definedName>
    <definedName name="cuad7" localSheetId="44">#REF!</definedName>
    <definedName name="cuad7" localSheetId="39">#REF!</definedName>
    <definedName name="cuad7" localSheetId="45">#REF!</definedName>
    <definedName name="cuad7">#REF!</definedName>
    <definedName name="cuad8" localSheetId="43">#REF!</definedName>
    <definedName name="cuad8" localSheetId="44">#REF!</definedName>
    <definedName name="cuad8" localSheetId="39">#REF!</definedName>
    <definedName name="cuad8" localSheetId="45">#REF!</definedName>
    <definedName name="cuad8">#REF!</definedName>
    <definedName name="cuad9" localSheetId="43">#REF!</definedName>
    <definedName name="cuad9" localSheetId="44">#REF!</definedName>
    <definedName name="cuad9" localSheetId="39">#REF!</definedName>
    <definedName name="cuad9" localSheetId="45">#REF!</definedName>
    <definedName name="cuad9">#REF!</definedName>
    <definedName name="CUADR11" localSheetId="43">#REF!</definedName>
    <definedName name="CUADR11" localSheetId="44">#REF!</definedName>
    <definedName name="CUADR11" localSheetId="39">#REF!</definedName>
    <definedName name="CUADR11" localSheetId="45">#REF!</definedName>
    <definedName name="CUADR11">#REF!</definedName>
    <definedName name="cuadro1" localSheetId="43">#REF!</definedName>
    <definedName name="cuadro1" localSheetId="44">#REF!</definedName>
    <definedName name="cuadro1" localSheetId="39">#REF!</definedName>
    <definedName name="cuadro1" localSheetId="45">#REF!</definedName>
    <definedName name="cuadro1">#REF!</definedName>
    <definedName name="cuadroa_" localSheetId="43">#REF!</definedName>
    <definedName name="cuadroa_" localSheetId="44">#REF!</definedName>
    <definedName name="cuadroa_" localSheetId="39">#REF!</definedName>
    <definedName name="cuadroa_" localSheetId="45">#REF!</definedName>
    <definedName name="cuadroa_">#REF!</definedName>
    <definedName name="cuadrob_" localSheetId="43">#REF!</definedName>
    <definedName name="cuadrob_" localSheetId="44">#REF!</definedName>
    <definedName name="cuadrob_" localSheetId="39">#REF!</definedName>
    <definedName name="cuadrob_" localSheetId="45">#REF!</definedName>
    <definedName name="cuadrob_">#REF!</definedName>
    <definedName name="CUASEMA" localSheetId="43">#REF!</definedName>
    <definedName name="CUASEMA" localSheetId="44">#REF!</definedName>
    <definedName name="CUASEMA" localSheetId="39">#REF!</definedName>
    <definedName name="CUASEMA" localSheetId="45">#REF!</definedName>
    <definedName name="CUASEMA">#REF!</definedName>
    <definedName name="CurrVintage" localSheetId="3">'[33]A Current Data'!$D$60</definedName>
    <definedName name="CurrVintage" localSheetId="32">'[33]A Current Data'!$D$60</definedName>
    <definedName name="CurrVintage">'[33]A Current Data'!$D$60</definedName>
    <definedName name="Cwvu.a." localSheetId="43" hidden="1">[39]BOP!$A$36:$IV$36,[39]BOP!$A$44:$IV$44,[39]BOP!$A$59:$IV$59,[39]BOP!#REF!,[39]BOP!#REF!,[39]BOP!$A$81:$IV$88</definedName>
    <definedName name="Cwvu.a." localSheetId="44" hidden="1">[39]BOP!$A$36:$IV$36,[39]BOP!$A$44:$IV$44,[39]BOP!$A$59:$IV$59,[39]BOP!#REF!,[39]BOP!#REF!,[39]BOP!$A$81:$IV$88</definedName>
    <definedName name="Cwvu.a." localSheetId="39" hidden="1">[39]BOP!$A$36:$IV$36,[39]BOP!$A$44:$IV$44,[39]BOP!$A$59:$IV$59,[39]BOP!#REF!,[39]BOP!#REF!,[39]BOP!$A$81:$IV$88</definedName>
    <definedName name="Cwvu.a." localSheetId="45" hidden="1">[39]BOP!$A$36:$IV$36,[39]BOP!$A$44:$IV$44,[39]BOP!$A$59:$IV$59,[39]BOP!#REF!,[39]BOP!#REF!,[39]BOP!$A$81:$IV$88</definedName>
    <definedName name="Cwvu.a." hidden="1">[39]BOP!$A$36:$IV$36,[39]BOP!$A$44:$IV$44,[39]BOP!$A$59:$IV$59,[39]BOP!#REF!,[39]BOP!#REF!,[39]BOP!$A$81:$IV$88</definedName>
    <definedName name="Cwvu.bop." localSheetId="43" hidden="1">[39]BOP!$A$36:$IV$36,[39]BOP!$A$44:$IV$44,[39]BOP!$A$59:$IV$59,[39]BOP!#REF!,[39]BOP!#REF!,[39]BOP!$A$81:$IV$88</definedName>
    <definedName name="Cwvu.bop." localSheetId="44" hidden="1">[39]BOP!$A$36:$IV$36,[39]BOP!$A$44:$IV$44,[39]BOP!$A$59:$IV$59,[39]BOP!#REF!,[39]BOP!#REF!,[39]BOP!$A$81:$IV$88</definedName>
    <definedName name="Cwvu.bop." localSheetId="39" hidden="1">[39]BOP!$A$36:$IV$36,[39]BOP!$A$44:$IV$44,[39]BOP!$A$59:$IV$59,[39]BOP!#REF!,[39]BOP!#REF!,[39]BOP!$A$81:$IV$88</definedName>
    <definedName name="Cwvu.bop." localSheetId="45" hidden="1">[39]BOP!$A$36:$IV$36,[39]BOP!$A$44:$IV$44,[39]BOP!$A$59:$IV$59,[39]BOP!#REF!,[39]BOP!#REF!,[39]BOP!$A$81:$IV$88</definedName>
    <definedName name="Cwvu.bop." hidden="1">[39]BOP!$A$36:$IV$36,[39]BOP!$A$44:$IV$44,[39]BOP!$A$59:$IV$59,[39]BOP!#REF!,[39]BOP!#REF!,[39]BOP!$A$81:$IV$88</definedName>
    <definedName name="Cwvu.bop.sr." localSheetId="43" hidden="1">[39]BOP!$A$36:$IV$36,[39]BOP!$A$44:$IV$44,[39]BOP!$A$59:$IV$59,[39]BOP!#REF!,[39]BOP!#REF!,[39]BOP!$A$81:$IV$88</definedName>
    <definedName name="Cwvu.bop.sr." localSheetId="44" hidden="1">[39]BOP!$A$36:$IV$36,[39]BOP!$A$44:$IV$44,[39]BOP!$A$59:$IV$59,[39]BOP!#REF!,[39]BOP!#REF!,[39]BOP!$A$81:$IV$88</definedName>
    <definedName name="Cwvu.bop.sr." localSheetId="39" hidden="1">[39]BOP!$A$36:$IV$36,[39]BOP!$A$44:$IV$44,[39]BOP!$A$59:$IV$59,[39]BOP!#REF!,[39]BOP!#REF!,[39]BOP!$A$81:$IV$88</definedName>
    <definedName name="Cwvu.bop.sr." localSheetId="45" hidden="1">[39]BOP!$A$36:$IV$36,[39]BOP!$A$44:$IV$44,[39]BOP!$A$59:$IV$59,[39]BOP!#REF!,[39]BOP!#REF!,[39]BOP!$A$81:$IV$88</definedName>
    <definedName name="Cwvu.bop.sr." hidden="1">[39]BOP!$A$36:$IV$36,[39]BOP!$A$44:$IV$44,[39]BOP!$A$59:$IV$59,[39]BOP!#REF!,[39]BOP!#REF!,[39]BOP!$A$81:$IV$88</definedName>
    <definedName name="Cwvu.bopsdr.sr." localSheetId="43" hidden="1">[39]BOP!$A$36:$IV$36,[39]BOP!$A$44:$IV$44,[39]BOP!$A$59:$IV$59,[39]BOP!#REF!,[39]BOP!#REF!,[39]BOP!$A$81:$IV$88</definedName>
    <definedName name="Cwvu.bopsdr.sr." localSheetId="44" hidden="1">[39]BOP!$A$36:$IV$36,[39]BOP!$A$44:$IV$44,[39]BOP!$A$59:$IV$59,[39]BOP!#REF!,[39]BOP!#REF!,[39]BOP!$A$81:$IV$88</definedName>
    <definedName name="Cwvu.bopsdr.sr." localSheetId="39" hidden="1">[39]BOP!$A$36:$IV$36,[39]BOP!$A$44:$IV$44,[39]BOP!$A$59:$IV$59,[39]BOP!#REF!,[39]BOP!#REF!,[39]BOP!$A$81:$IV$88</definedName>
    <definedName name="Cwvu.bopsdr.sr." localSheetId="45" hidden="1">[39]BOP!$A$36:$IV$36,[39]BOP!$A$44:$IV$44,[39]BOP!$A$59:$IV$59,[39]BOP!#REF!,[39]BOP!#REF!,[39]BOP!$A$81:$IV$88</definedName>
    <definedName name="Cwvu.bopsdr.sr." hidden="1">[39]BOP!$A$36:$IV$36,[39]BOP!$A$44:$IV$44,[39]BOP!$A$59:$IV$59,[39]BOP!#REF!,[39]BOP!#REF!,[39]BOP!$A$81:$IV$88</definedName>
    <definedName name="Cwvu.cotton." localSheetId="43" hidden="1">[39]BOP!$A$36:$IV$36,[39]BOP!$A$44:$IV$44,[39]BOP!$A$59:$IV$59,[39]BOP!#REF!,[39]BOP!#REF!,[39]BOP!$A$79:$IV$79,[39]BOP!$A$81:$IV$88,[39]BOP!#REF!</definedName>
    <definedName name="Cwvu.cotton." localSheetId="44" hidden="1">[39]BOP!$A$36:$IV$36,[39]BOP!$A$44:$IV$44,[39]BOP!$A$59:$IV$59,[39]BOP!#REF!,[39]BOP!#REF!,[39]BOP!$A$79:$IV$79,[39]BOP!$A$81:$IV$88,[39]BOP!#REF!</definedName>
    <definedName name="Cwvu.cotton." localSheetId="39" hidden="1">[39]BOP!$A$36:$IV$36,[39]BOP!$A$44:$IV$44,[39]BOP!$A$59:$IV$59,[39]BOP!#REF!,[39]BOP!#REF!,[39]BOP!$A$79:$IV$79,[39]BOP!$A$81:$IV$88,[39]BOP!#REF!</definedName>
    <definedName name="Cwvu.cotton." localSheetId="45" hidden="1">[39]BOP!$A$36:$IV$36,[39]BOP!$A$44:$IV$44,[39]BOP!$A$59:$IV$59,[39]BOP!#REF!,[39]BOP!#REF!,[39]BOP!$A$79:$IV$79,[39]BOP!$A$81:$IV$88,[39]BOP!#REF!</definedName>
    <definedName name="Cwvu.cotton." hidden="1">[39]BOP!$A$36:$IV$36,[39]BOP!$A$44:$IV$44,[39]BOP!$A$59:$IV$59,[39]BOP!#REF!,[39]BOP!#REF!,[39]BOP!$A$79:$IV$79,[39]BOP!$A$81:$IV$88,[39]BOP!#REF!</definedName>
    <definedName name="Cwvu.cottonall." localSheetId="43" hidden="1">[39]BOP!$A$36:$IV$36,[39]BOP!$A$44:$IV$44,[39]BOP!$A$59:$IV$59,[39]BOP!#REF!,[39]BOP!#REF!,[39]BOP!$A$79:$IV$79,[39]BOP!$A$81:$IV$88</definedName>
    <definedName name="Cwvu.cottonall." localSheetId="44" hidden="1">[39]BOP!$A$36:$IV$36,[39]BOP!$A$44:$IV$44,[39]BOP!$A$59:$IV$59,[39]BOP!#REF!,[39]BOP!#REF!,[39]BOP!$A$79:$IV$79,[39]BOP!$A$81:$IV$88</definedName>
    <definedName name="Cwvu.cottonall." localSheetId="39" hidden="1">[39]BOP!$A$36:$IV$36,[39]BOP!$A$44:$IV$44,[39]BOP!$A$59:$IV$59,[39]BOP!#REF!,[39]BOP!#REF!,[39]BOP!$A$79:$IV$79,[39]BOP!$A$81:$IV$88</definedName>
    <definedName name="Cwvu.cottonall." localSheetId="45" hidden="1">[39]BOP!$A$36:$IV$36,[39]BOP!$A$44:$IV$44,[39]BOP!$A$59:$IV$59,[39]BOP!#REF!,[39]BOP!#REF!,[39]BOP!$A$79:$IV$79,[39]BOP!$A$81:$IV$88</definedName>
    <definedName name="Cwvu.cottonall." hidden="1">[39]BOP!$A$36:$IV$36,[39]BOP!$A$44:$IV$44,[39]BOP!$A$59:$IV$59,[39]BOP!#REF!,[39]BOP!#REF!,[39]BOP!$A$79:$IV$79,[39]BOP!$A$81:$IV$88</definedName>
    <definedName name="Cwvu.exportdetails." localSheetId="43" hidden="1">[39]BOP!$A$36:$IV$36,[39]BOP!$A$44:$IV$44,[39]BOP!$A$59:$IV$59,[39]BOP!#REF!,[39]BOP!#REF!,[39]BOP!$A$79:$IV$79,[39]BOP!#REF!</definedName>
    <definedName name="Cwvu.exportdetails." localSheetId="44" hidden="1">[39]BOP!$A$36:$IV$36,[39]BOP!$A$44:$IV$44,[39]BOP!$A$59:$IV$59,[39]BOP!#REF!,[39]BOP!#REF!,[39]BOP!$A$79:$IV$79,[39]BOP!#REF!</definedName>
    <definedName name="Cwvu.exportdetails." localSheetId="39" hidden="1">[39]BOP!$A$36:$IV$36,[39]BOP!$A$44:$IV$44,[39]BOP!$A$59:$IV$59,[39]BOP!#REF!,[39]BOP!#REF!,[39]BOP!$A$79:$IV$79,[39]BOP!#REF!</definedName>
    <definedName name="Cwvu.exportdetails." localSheetId="45" hidden="1">[39]BOP!$A$36:$IV$36,[39]BOP!$A$44:$IV$44,[39]BOP!$A$59:$IV$59,[39]BOP!#REF!,[39]BOP!#REF!,[39]BOP!$A$79:$IV$79,[39]BOP!#REF!</definedName>
    <definedName name="Cwvu.exportdetails." hidden="1">[39]BOP!$A$36:$IV$36,[39]BOP!$A$44:$IV$44,[39]BOP!$A$59:$IV$59,[39]BOP!#REF!,[39]BOP!#REF!,[39]BOP!$A$79:$IV$79,[39]BOP!#REF!</definedName>
    <definedName name="Cwvu.exports." localSheetId="43" hidden="1">[39]BOP!$A$36:$IV$36,[39]BOP!$A$44:$IV$44,[39]BOP!$A$59:$IV$59,[39]BOP!#REF!,[39]BOP!#REF!,[39]BOP!$A$79:$IV$79,[39]BOP!$A$81:$IV$88,[39]BOP!#REF!</definedName>
    <definedName name="Cwvu.exports." localSheetId="44" hidden="1">[39]BOP!$A$36:$IV$36,[39]BOP!$A$44:$IV$44,[39]BOP!$A$59:$IV$59,[39]BOP!#REF!,[39]BOP!#REF!,[39]BOP!$A$79:$IV$79,[39]BOP!$A$81:$IV$88,[39]BOP!#REF!</definedName>
    <definedName name="Cwvu.exports." localSheetId="39" hidden="1">[39]BOP!$A$36:$IV$36,[39]BOP!$A$44:$IV$44,[39]BOP!$A$59:$IV$59,[39]BOP!#REF!,[39]BOP!#REF!,[39]BOP!$A$79:$IV$79,[39]BOP!$A$81:$IV$88,[39]BOP!#REF!</definedName>
    <definedName name="Cwvu.exports." localSheetId="45" hidden="1">[39]BOP!$A$36:$IV$36,[39]BOP!$A$44:$IV$44,[39]BOP!$A$59:$IV$59,[39]BOP!#REF!,[39]BOP!#REF!,[39]BOP!$A$79:$IV$79,[39]BOP!$A$81:$IV$88,[39]BOP!#REF!</definedName>
    <definedName name="Cwvu.exports." hidden="1">[39]BOP!$A$36:$IV$36,[39]BOP!$A$44:$IV$44,[39]BOP!$A$59:$IV$59,[39]BOP!#REF!,[39]BOP!#REF!,[39]BOP!$A$79:$IV$79,[39]BOP!$A$81:$IV$88,[39]BOP!#REF!</definedName>
    <definedName name="Cwvu.gold." localSheetId="43" hidden="1">[39]BOP!$A$36:$IV$36,[39]BOP!$A$44:$IV$44,[39]BOP!$A$59:$IV$59,[39]BOP!#REF!,[39]BOP!#REF!,[39]BOP!$A$79:$IV$79,[39]BOP!$A$81:$IV$88,[39]BOP!#REF!</definedName>
    <definedName name="Cwvu.gold." localSheetId="44" hidden="1">[39]BOP!$A$36:$IV$36,[39]BOP!$A$44:$IV$44,[39]BOP!$A$59:$IV$59,[39]BOP!#REF!,[39]BOP!#REF!,[39]BOP!$A$79:$IV$79,[39]BOP!$A$81:$IV$88,[39]BOP!#REF!</definedName>
    <definedName name="Cwvu.gold." localSheetId="39" hidden="1">[39]BOP!$A$36:$IV$36,[39]BOP!$A$44:$IV$44,[39]BOP!$A$59:$IV$59,[39]BOP!#REF!,[39]BOP!#REF!,[39]BOP!$A$79:$IV$79,[39]BOP!$A$81:$IV$88,[39]BOP!#REF!</definedName>
    <definedName name="Cwvu.gold." localSheetId="45" hidden="1">[39]BOP!$A$36:$IV$36,[39]BOP!$A$44:$IV$44,[39]BOP!$A$59:$IV$59,[39]BOP!#REF!,[39]BOP!#REF!,[39]BOP!$A$79:$IV$79,[39]BOP!$A$81:$IV$88,[39]BOP!#REF!</definedName>
    <definedName name="Cwvu.gold." hidden="1">[39]BOP!$A$36:$IV$36,[39]BOP!$A$44:$IV$44,[39]BOP!$A$59:$IV$59,[39]BOP!#REF!,[39]BOP!#REF!,[39]BOP!$A$79:$IV$79,[39]BOP!$A$81:$IV$88,[39]BOP!#REF!</definedName>
    <definedName name="Cwvu.goldall." localSheetId="43" hidden="1">[39]BOP!$A$36:$IV$36,[39]BOP!$A$44:$IV$44,[39]BOP!$A$59:$IV$59,[39]BOP!#REF!,[39]BOP!#REF!,[39]BOP!$A$79:$IV$79,[39]BOP!$A$81:$IV$88,[39]BOP!#REF!</definedName>
    <definedName name="Cwvu.goldall." localSheetId="44" hidden="1">[39]BOP!$A$36:$IV$36,[39]BOP!$A$44:$IV$44,[39]BOP!$A$59:$IV$59,[39]BOP!#REF!,[39]BOP!#REF!,[39]BOP!$A$79:$IV$79,[39]BOP!$A$81:$IV$88,[39]BOP!#REF!</definedName>
    <definedName name="Cwvu.goldall." localSheetId="39" hidden="1">[39]BOP!$A$36:$IV$36,[39]BOP!$A$44:$IV$44,[39]BOP!$A$59:$IV$59,[39]BOP!#REF!,[39]BOP!#REF!,[39]BOP!$A$79:$IV$79,[39]BOP!$A$81:$IV$88,[39]BOP!#REF!</definedName>
    <definedName name="Cwvu.goldall." localSheetId="45" hidden="1">[39]BOP!$A$36:$IV$36,[39]BOP!$A$44:$IV$44,[39]BOP!$A$59:$IV$59,[39]BOP!#REF!,[39]BOP!#REF!,[39]BOP!$A$79:$IV$79,[39]BOP!$A$81:$IV$88,[39]BOP!#REF!</definedName>
    <definedName name="Cwvu.goldall." hidden="1">[39]BOP!$A$36:$IV$36,[39]BOP!$A$44:$IV$44,[39]BOP!$A$59:$IV$59,[39]BOP!#REF!,[39]BOP!#REF!,[39]BOP!$A$79:$IV$79,[39]BOP!$A$81:$IV$88,[39]BOP!#REF!</definedName>
    <definedName name="Cwvu.imports." localSheetId="43" hidden="1">[39]BOP!$A$36:$IV$36,[39]BOP!$A$44:$IV$44,[39]BOP!$A$59:$IV$59,[39]BOP!#REF!,[39]BOP!#REF!,[39]BOP!$A$79:$IV$79,[39]BOP!$A$81:$IV$88,[39]BOP!#REF!,[39]BOP!#REF!</definedName>
    <definedName name="Cwvu.imports." localSheetId="44" hidden="1">[39]BOP!$A$36:$IV$36,[39]BOP!$A$44:$IV$44,[39]BOP!$A$59:$IV$59,[39]BOP!#REF!,[39]BOP!#REF!,[39]BOP!$A$79:$IV$79,[39]BOP!$A$81:$IV$88,[39]BOP!#REF!,[39]BOP!#REF!</definedName>
    <definedName name="Cwvu.imports." localSheetId="39" hidden="1">[39]BOP!$A$36:$IV$36,[39]BOP!$A$44:$IV$44,[39]BOP!$A$59:$IV$59,[39]BOP!#REF!,[39]BOP!#REF!,[39]BOP!$A$79:$IV$79,[39]BOP!$A$81:$IV$88,[39]BOP!#REF!,[39]BOP!#REF!</definedName>
    <definedName name="Cwvu.imports." localSheetId="45" hidden="1">[39]BOP!$A$36:$IV$36,[39]BOP!$A$44:$IV$44,[39]BOP!$A$59:$IV$59,[39]BOP!#REF!,[39]BOP!#REF!,[39]BOP!$A$79:$IV$79,[39]BOP!$A$81:$IV$88,[39]BOP!#REF!,[39]BOP!#REF!</definedName>
    <definedName name="Cwvu.imports." hidden="1">[39]BOP!$A$36:$IV$36,[39]BOP!$A$44:$IV$44,[39]BOP!$A$59:$IV$59,[39]BOP!#REF!,[39]BOP!#REF!,[39]BOP!$A$79:$IV$79,[39]BOP!$A$81:$IV$88,[39]BOP!#REF!,[39]BOP!#REF!</definedName>
    <definedName name="Cwvu.importsall." localSheetId="43" hidden="1">[39]BOP!$A$36:$IV$36,[39]BOP!$A$44:$IV$44,[39]BOP!$A$59:$IV$59,[39]BOP!#REF!,[39]BOP!#REF!,[39]BOP!$A$79:$IV$79,[39]BOP!$A$81:$IV$88,[39]BOP!#REF!,[39]BOP!#REF!</definedName>
    <definedName name="Cwvu.importsall." localSheetId="44" hidden="1">[39]BOP!$A$36:$IV$36,[39]BOP!$A$44:$IV$44,[39]BOP!$A$59:$IV$59,[39]BOP!#REF!,[39]BOP!#REF!,[39]BOP!$A$79:$IV$79,[39]BOP!$A$81:$IV$88,[39]BOP!#REF!,[39]BOP!#REF!</definedName>
    <definedName name="Cwvu.importsall." localSheetId="39" hidden="1">[39]BOP!$A$36:$IV$36,[39]BOP!$A$44:$IV$44,[39]BOP!$A$59:$IV$59,[39]BOP!#REF!,[39]BOP!#REF!,[39]BOP!$A$79:$IV$79,[39]BOP!$A$81:$IV$88,[39]BOP!#REF!,[39]BOP!#REF!</definedName>
    <definedName name="Cwvu.importsall." localSheetId="45" hidden="1">[39]BOP!$A$36:$IV$36,[39]BOP!$A$44:$IV$44,[39]BOP!$A$59:$IV$59,[39]BOP!#REF!,[39]BOP!#REF!,[39]BOP!$A$79:$IV$79,[39]BOP!$A$81:$IV$88,[39]BOP!#REF!,[39]BOP!#REF!</definedName>
    <definedName name="Cwvu.importsall." hidden="1">[39]BOP!$A$36:$IV$36,[39]BOP!$A$44:$IV$44,[39]BOP!$A$59:$IV$59,[39]BOP!#REF!,[39]BOP!#REF!,[39]BOP!$A$79:$IV$79,[39]BOP!$A$81:$IV$88,[39]BOP!#REF!,[39]BOP!#REF!</definedName>
    <definedName name="Cwvu.tot." localSheetId="43" hidden="1">[39]BOP!$A$36:$IV$36,[39]BOP!$A$44:$IV$44,[39]BOP!$A$59:$IV$59,[39]BOP!#REF!,[39]BOP!#REF!,[39]BOP!$A$79:$IV$79</definedName>
    <definedName name="Cwvu.tot." localSheetId="44" hidden="1">[39]BOP!$A$36:$IV$36,[39]BOP!$A$44:$IV$44,[39]BOP!$A$59:$IV$59,[39]BOP!#REF!,[39]BOP!#REF!,[39]BOP!$A$79:$IV$79</definedName>
    <definedName name="Cwvu.tot." localSheetId="39" hidden="1">[39]BOP!$A$36:$IV$36,[39]BOP!$A$44:$IV$44,[39]BOP!$A$59:$IV$59,[39]BOP!#REF!,[39]BOP!#REF!,[39]BOP!$A$79:$IV$79</definedName>
    <definedName name="Cwvu.tot." localSheetId="45" hidden="1">[39]BOP!$A$36:$IV$36,[39]BOP!$A$44:$IV$44,[39]BOP!$A$59:$IV$59,[39]BOP!#REF!,[39]BOP!#REF!,[39]BOP!$A$79:$IV$79</definedName>
    <definedName name="Cwvu.tot." hidden="1">[39]BOP!$A$36:$IV$36,[39]BOP!$A$44:$IV$44,[39]BOP!$A$59:$IV$59,[39]BOP!#REF!,[39]BOP!#REF!,[39]BOP!$A$79:$IV$79</definedName>
    <definedName name="D" localSheetId="43">'[40]PIB EN CORR'!#REF!</definedName>
    <definedName name="D" localSheetId="44">'[40]PIB EN CORR'!#REF!</definedName>
    <definedName name="D" localSheetId="39">'[40]PIB EN CORR'!#REF!</definedName>
    <definedName name="D" localSheetId="45">'[40]PIB EN CORR'!#REF!</definedName>
    <definedName name="D">'[40]PIB EN CORR'!#REF!</definedName>
    <definedName name="D_B">[22]WEOQ7!$E$22:$AH$22</definedName>
    <definedName name="D_G">[22]WEOQ7!$E$21:$AH$21</definedName>
    <definedName name="D_L">[22]WEOQ7!$E$13:$AH$13</definedName>
    <definedName name="D_O">[22]WEOQ7!$E$23:$AH$23</definedName>
    <definedName name="D_S">[22]WEOQ7!$E$16:$AH$16</definedName>
    <definedName name="D_SRM">[22]WEOQ7!$E$34:$AH$34</definedName>
    <definedName name="D_SY">[22]WEOQ7!$E$10:$AH$10</definedName>
    <definedName name="DA">[22]WEOQ7!$E$33:$AH$33</definedName>
    <definedName name="DABproj">#N/A</definedName>
    <definedName name="DAGproj">#N/A</definedName>
    <definedName name="DAproj">#N/A</definedName>
    <definedName name="DASD">#N/A</definedName>
    <definedName name="DASDB">#N/A</definedName>
    <definedName name="DASDG">#N/A</definedName>
    <definedName name="Date" localSheetId="3">'[33]A Current Data'!$D$61</definedName>
    <definedName name="Date" localSheetId="32">'[33]A Current Data'!$D$61</definedName>
    <definedName name="Date">'[33]A Current Data'!$D$61</definedName>
    <definedName name="dates" localSheetId="43">#REF!</definedName>
    <definedName name="dates" localSheetId="44">#REF!</definedName>
    <definedName name="dates" localSheetId="39">#REF!</definedName>
    <definedName name="dates" localSheetId="45">#REF!</definedName>
    <definedName name="dates" localSheetId="32">#REF!</definedName>
    <definedName name="dates">#REF!</definedName>
    <definedName name="DATES_A" localSheetId="43">#REF!</definedName>
    <definedName name="DATES_A" localSheetId="44">#REF!</definedName>
    <definedName name="DATES_A" localSheetId="39">#REF!</definedName>
    <definedName name="DATES_A" localSheetId="45">#REF!</definedName>
    <definedName name="DATES_A">#REF!</definedName>
    <definedName name="dates_w" localSheetId="43">#REF!</definedName>
    <definedName name="dates_w" localSheetId="44">#REF!</definedName>
    <definedName name="dates_w" localSheetId="39">#REF!</definedName>
    <definedName name="dates_w" localSheetId="45">#REF!</definedName>
    <definedName name="dates_w">#REF!</definedName>
    <definedName name="datoact" localSheetId="43">#REF!</definedName>
    <definedName name="datoact" localSheetId="44">#REF!</definedName>
    <definedName name="datoact" localSheetId="39">#REF!</definedName>
    <definedName name="datoact" localSheetId="45">#REF!</definedName>
    <definedName name="datoact">#REF!</definedName>
    <definedName name="DB">[22]WEOQ7!$E$28:$AH$28</definedName>
    <definedName name="DBA" localSheetId="43">[29]WETA!#REF!</definedName>
    <definedName name="DBA" localSheetId="44">[29]WETA!#REF!</definedName>
    <definedName name="DBA" localSheetId="39">[29]WETA!#REF!</definedName>
    <definedName name="DBA" localSheetId="45">[29]WETA!#REF!</definedName>
    <definedName name="DBA">[29]WETA!#REF!</definedName>
    <definedName name="DBI" localSheetId="43">[29]WETA!#REF!</definedName>
    <definedName name="DBI" localSheetId="44">[29]WETA!#REF!</definedName>
    <definedName name="DBI" localSheetId="39">[29]WETA!#REF!</definedName>
    <definedName name="DBI" localSheetId="45">[29]WETA!#REF!</definedName>
    <definedName name="DBI">[29]WETA!#REF!</definedName>
    <definedName name="DBproj">#N/A</definedName>
    <definedName name="dcc98j" localSheetId="43">[14]Programa!#REF!</definedName>
    <definedName name="dcc98j" localSheetId="44">[14]Programa!#REF!</definedName>
    <definedName name="dcc98j" localSheetId="39">[14]Programa!#REF!</definedName>
    <definedName name="dcc98j" localSheetId="45">[14]Programa!#REF!</definedName>
    <definedName name="dcc98j">[14]Programa!#REF!</definedName>
    <definedName name="dcc98s" localSheetId="43">#REF!</definedName>
    <definedName name="dcc98s" localSheetId="44">#REF!</definedName>
    <definedName name="dcc98s" localSheetId="39">#REF!</definedName>
    <definedName name="dcc98s" localSheetId="45">#REF!</definedName>
    <definedName name="dcc98s">#REF!</definedName>
    <definedName name="DD__Charts_area" localSheetId="43">#REF!</definedName>
    <definedName name="DD__Charts_area" localSheetId="44">#REF!</definedName>
    <definedName name="DD__Charts_area" localSheetId="39">#REF!</definedName>
    <definedName name="DD__Charts_area" localSheetId="45">#REF!</definedName>
    <definedName name="DD__Charts_area">#REF!</definedName>
    <definedName name="DD__GDI" localSheetId="43">#REF!</definedName>
    <definedName name="DD__GDI" localSheetId="44">#REF!</definedName>
    <definedName name="DD__GDI" localSheetId="39">#REF!</definedName>
    <definedName name="DD__GDI" localSheetId="45">#REF!</definedName>
    <definedName name="DD__GDI">#REF!</definedName>
    <definedName name="DD__GDP_real_by_sector_of_origin" localSheetId="43">#REF!</definedName>
    <definedName name="DD__GDP_real_by_sector_of_origin" localSheetId="44">#REF!</definedName>
    <definedName name="DD__GDP_real_by_sector_of_origin" localSheetId="39">#REF!</definedName>
    <definedName name="DD__GDP_real_by_sector_of_origin" localSheetId="45">#REF!</definedName>
    <definedName name="DD__GDP_real_by_sector_of_origin">#REF!</definedName>
    <definedName name="DD__Labor_Productivity" localSheetId="43">#REF!</definedName>
    <definedName name="DD__Labor_Productivity" localSheetId="44">#REF!</definedName>
    <definedName name="DD__Labor_Productivity" localSheetId="39">#REF!</definedName>
    <definedName name="DD__Labor_Productivity" localSheetId="45">#REF!</definedName>
    <definedName name="DD__Labor_Productivity">#REF!</definedName>
    <definedName name="DD__National_Accounts_at_1958_prices_" localSheetId="43">#REF!</definedName>
    <definedName name="DD__National_Accounts_at_1958_prices_" localSheetId="44">#REF!</definedName>
    <definedName name="DD__National_Accounts_at_1958_prices_" localSheetId="39">#REF!</definedName>
    <definedName name="DD__National_Accounts_at_1958_prices_" localSheetId="45">#REF!</definedName>
    <definedName name="DD__National_Accounts_at_1958_prices_">#REF!</definedName>
    <definedName name="DD__National_Accounts_at_Current_Prices" localSheetId="43">#REF!</definedName>
    <definedName name="DD__National_Accounts_at_Current_Prices" localSheetId="44">#REF!</definedName>
    <definedName name="DD__National_Accounts_at_Current_Prices" localSheetId="39">#REF!</definedName>
    <definedName name="DD__National_Accounts_at_Current_Prices" localSheetId="45">#REF!</definedName>
    <definedName name="DD__National_Accounts_at_Current_Prices">#REF!</definedName>
    <definedName name="DD__National_Accounts_Deflators" localSheetId="43">#REF!</definedName>
    <definedName name="DD__National_Accounts_Deflators" localSheetId="44">#REF!</definedName>
    <definedName name="DD__National_Accounts_Deflators" localSheetId="39">#REF!</definedName>
    <definedName name="DD__National_Accounts_Deflators" localSheetId="45">#REF!</definedName>
    <definedName name="DD__National_Accounts_Deflators">#REF!</definedName>
    <definedName name="DD__Prices_CPI_all_items" localSheetId="43">#REF!</definedName>
    <definedName name="DD__Prices_CPI_all_items" localSheetId="44">#REF!</definedName>
    <definedName name="DD__Prices_CPI_all_items" localSheetId="39">#REF!</definedName>
    <definedName name="DD__Prices_CPI_all_items" localSheetId="45">#REF!</definedName>
    <definedName name="DD__Prices_CPI_all_items">#REF!</definedName>
    <definedName name="DD__Prices_CPI_by_components" localSheetId="43">#REF!</definedName>
    <definedName name="DD__Prices_CPI_by_components" localSheetId="44">#REF!</definedName>
    <definedName name="DD__Prices_CPI_by_components" localSheetId="39">#REF!</definedName>
    <definedName name="DD__Prices_CPI_by_components" localSheetId="45">#REF!</definedName>
    <definedName name="DD__Prices_CPI_by_components">#REF!</definedName>
    <definedName name="DD__Prices_Wage_Indicators" localSheetId="43">#REF!</definedName>
    <definedName name="DD__Prices_Wage_Indicators" localSheetId="44">#REF!</definedName>
    <definedName name="DD__Prices_Wage_Indicators" localSheetId="39">#REF!</definedName>
    <definedName name="DD__Prices_Wage_Indicators" localSheetId="45">#REF!</definedName>
    <definedName name="DD__Prices_Wage_Indicators">#REF!</definedName>
    <definedName name="DD__Selected_Agricultural_Sector_Statistics" localSheetId="43">#REF!</definedName>
    <definedName name="DD__Selected_Agricultural_Sector_Statistics" localSheetId="44">#REF!</definedName>
    <definedName name="DD__Selected_Agricultural_Sector_Statistics" localSheetId="39">#REF!</definedName>
    <definedName name="DD__Selected_Agricultural_Sector_Statistics" localSheetId="45">#REF!</definedName>
    <definedName name="DD__Selected_Agricultural_Sector_Statistics">#REF!</definedName>
    <definedName name="DD__Selected_Agricultural_Sector_Statistics__concluded" localSheetId="43">#REF!</definedName>
    <definedName name="DD__Selected_Agricultural_Sector_Statistics__concluded" localSheetId="44">#REF!</definedName>
    <definedName name="DD__Selected_Agricultural_Sector_Statistics__concluded" localSheetId="39">#REF!</definedName>
    <definedName name="DD__Selected_Agricultural_Sector_Statistics__concluded" localSheetId="45">#REF!</definedName>
    <definedName name="DD__Selected_Agricultural_Sector_Statistics__concluded">#REF!</definedName>
    <definedName name="DD_Index_of_employment" localSheetId="43">#REF!</definedName>
    <definedName name="DD_Index_of_employment" localSheetId="44">#REF!</definedName>
    <definedName name="DD_Index_of_employment" localSheetId="39">#REF!</definedName>
    <definedName name="DD_Index_of_employment" localSheetId="45">#REF!</definedName>
    <definedName name="DD_Index_of_employment">#REF!</definedName>
    <definedName name="DD_Indicators_of_emp_wages_ulc" localSheetId="43">#REF!</definedName>
    <definedName name="DD_Indicators_of_emp_wages_ulc" localSheetId="44">#REF!</definedName>
    <definedName name="DD_Indicators_of_emp_wages_ulc" localSheetId="39">#REF!</definedName>
    <definedName name="DD_Indicators_of_emp_wages_ulc" localSheetId="45">#REF!</definedName>
    <definedName name="DD_Indicators_of_emp_wages_ulc">#REF!</definedName>
    <definedName name="DD_Labor_Productivity" localSheetId="43">#REF!</definedName>
    <definedName name="DD_Labor_Productivity" localSheetId="44">#REF!</definedName>
    <definedName name="DD_Labor_Productivity" localSheetId="39">#REF!</definedName>
    <definedName name="DD_Labor_Productivity" localSheetId="45">#REF!</definedName>
    <definedName name="DD_Labor_Productivity">#REF!</definedName>
    <definedName name="DEBT" localSheetId="43">#REF!</definedName>
    <definedName name="DEBT" localSheetId="44">#REF!</definedName>
    <definedName name="DEBT" localSheetId="39">#REF!</definedName>
    <definedName name="DEBT" localSheetId="45">#REF!</definedName>
    <definedName name="DEBT">#REF!</definedName>
    <definedName name="DEBT1" localSheetId="43">#REF!</definedName>
    <definedName name="DEBT1" localSheetId="44">#REF!</definedName>
    <definedName name="DEBT1" localSheetId="39">#REF!</definedName>
    <definedName name="DEBT1" localSheetId="45">#REF!</definedName>
    <definedName name="DEBT1">#REF!</definedName>
    <definedName name="DEBT10" localSheetId="43">#REF!</definedName>
    <definedName name="DEBT10" localSheetId="44">#REF!</definedName>
    <definedName name="DEBT10" localSheetId="39">#REF!</definedName>
    <definedName name="DEBT10" localSheetId="45">#REF!</definedName>
    <definedName name="DEBT10">#REF!</definedName>
    <definedName name="DEBT11" localSheetId="43">#REF!</definedName>
    <definedName name="DEBT11" localSheetId="44">#REF!</definedName>
    <definedName name="DEBT11" localSheetId="39">#REF!</definedName>
    <definedName name="DEBT11" localSheetId="45">#REF!</definedName>
    <definedName name="DEBT11">#REF!</definedName>
    <definedName name="DEBT12" localSheetId="43">#REF!</definedName>
    <definedName name="DEBT12" localSheetId="44">#REF!</definedName>
    <definedName name="DEBT12" localSheetId="39">#REF!</definedName>
    <definedName name="DEBT12" localSheetId="45">#REF!</definedName>
    <definedName name="DEBT12">#REF!</definedName>
    <definedName name="DEBT13" localSheetId="43">#REF!</definedName>
    <definedName name="DEBT13" localSheetId="44">#REF!</definedName>
    <definedName name="DEBT13" localSheetId="39">#REF!</definedName>
    <definedName name="DEBT13" localSheetId="45">#REF!</definedName>
    <definedName name="DEBT13">#REF!</definedName>
    <definedName name="DEBT14" localSheetId="43">#REF!</definedName>
    <definedName name="DEBT14" localSheetId="44">#REF!</definedName>
    <definedName name="DEBT14" localSheetId="39">#REF!</definedName>
    <definedName name="DEBT14" localSheetId="45">#REF!</definedName>
    <definedName name="DEBT14">#REF!</definedName>
    <definedName name="DEBT15" localSheetId="43">#REF!</definedName>
    <definedName name="DEBT15" localSheetId="44">#REF!</definedName>
    <definedName name="DEBT15" localSheetId="39">#REF!</definedName>
    <definedName name="DEBT15" localSheetId="45">#REF!</definedName>
    <definedName name="DEBT15">#REF!</definedName>
    <definedName name="DEBT16" localSheetId="43">#REF!</definedName>
    <definedName name="DEBT16" localSheetId="44">#REF!</definedName>
    <definedName name="DEBT16" localSheetId="39">#REF!</definedName>
    <definedName name="DEBT16" localSheetId="45">#REF!</definedName>
    <definedName name="DEBT16">#REF!</definedName>
    <definedName name="DEBT2" localSheetId="43">#REF!</definedName>
    <definedName name="DEBT2" localSheetId="44">#REF!</definedName>
    <definedName name="DEBT2" localSheetId="39">#REF!</definedName>
    <definedName name="DEBT2" localSheetId="45">#REF!</definedName>
    <definedName name="DEBT2">#REF!</definedName>
    <definedName name="DEBT3" localSheetId="43">#REF!</definedName>
    <definedName name="DEBT3" localSheetId="44">#REF!</definedName>
    <definedName name="DEBT3" localSheetId="39">#REF!</definedName>
    <definedName name="DEBT3" localSheetId="45">#REF!</definedName>
    <definedName name="DEBT3">#REF!</definedName>
    <definedName name="DEBT4" localSheetId="43">#REF!</definedName>
    <definedName name="DEBT4" localSheetId="44">#REF!</definedName>
    <definedName name="DEBT4" localSheetId="39">#REF!</definedName>
    <definedName name="DEBT4" localSheetId="45">#REF!</definedName>
    <definedName name="DEBT4">#REF!</definedName>
    <definedName name="DEBT5" localSheetId="43">#REF!</definedName>
    <definedName name="DEBT5" localSheetId="44">#REF!</definedName>
    <definedName name="DEBT5" localSheetId="39">#REF!</definedName>
    <definedName name="DEBT5" localSheetId="45">#REF!</definedName>
    <definedName name="DEBT5">#REF!</definedName>
    <definedName name="DEBT6" localSheetId="43">#REF!</definedName>
    <definedName name="DEBT6" localSheetId="44">#REF!</definedName>
    <definedName name="DEBT6" localSheetId="39">#REF!</definedName>
    <definedName name="DEBT6" localSheetId="45">#REF!</definedName>
    <definedName name="DEBT6">#REF!</definedName>
    <definedName name="DEBT7" localSheetId="43">#REF!</definedName>
    <definedName name="DEBT7" localSheetId="44">#REF!</definedName>
    <definedName name="DEBT7" localSheetId="39">#REF!</definedName>
    <definedName name="DEBT7" localSheetId="45">#REF!</definedName>
    <definedName name="DEBT7">#REF!</definedName>
    <definedName name="DEBT8" localSheetId="43">#REF!</definedName>
    <definedName name="DEBT8" localSheetId="44">#REF!</definedName>
    <definedName name="DEBT8" localSheetId="39">#REF!</definedName>
    <definedName name="DEBT8" localSheetId="45">#REF!</definedName>
    <definedName name="DEBT8">#REF!</definedName>
    <definedName name="DEBT9" localSheetId="43">#REF!</definedName>
    <definedName name="DEBT9" localSheetId="44">#REF!</definedName>
    <definedName name="DEBT9" localSheetId="39">#REF!</definedName>
    <definedName name="DEBT9" localSheetId="45">#REF!</definedName>
    <definedName name="DEBT9">#REF!</definedName>
    <definedName name="defesti" localSheetId="43">#REF!</definedName>
    <definedName name="defesti" localSheetId="44">#REF!</definedName>
    <definedName name="defesti" localSheetId="39">#REF!</definedName>
    <definedName name="defesti" localSheetId="45">#REF!</definedName>
    <definedName name="defesti">#REF!</definedName>
    <definedName name="deficit" localSheetId="43">#REF!</definedName>
    <definedName name="deficit" localSheetId="44">#REF!</definedName>
    <definedName name="deficit" localSheetId="39">#REF!</definedName>
    <definedName name="deficit" localSheetId="45">#REF!</definedName>
    <definedName name="deficit">#REF!</definedName>
    <definedName name="Department">'[28]REER-US'!$B$2</definedName>
    <definedName name="DETALLE" localSheetId="43">#REF!</definedName>
    <definedName name="DETALLE" localSheetId="44">#REF!</definedName>
    <definedName name="DETALLE" localSheetId="39">#REF!</definedName>
    <definedName name="DETALLE" localSheetId="45">#REF!</definedName>
    <definedName name="DETALLE">#REF!</definedName>
    <definedName name="Detalle0" localSheetId="43">#REF!</definedName>
    <definedName name="Detalle0" localSheetId="44">#REF!</definedName>
    <definedName name="Detalle0" localSheetId="39">#REF!</definedName>
    <definedName name="Detalle0" localSheetId="45">#REF!</definedName>
    <definedName name="Detalle0">#REF!</definedName>
    <definedName name="Detalle1" localSheetId="43">#REF!</definedName>
    <definedName name="Detalle1" localSheetId="44">#REF!</definedName>
    <definedName name="Detalle1" localSheetId="39">#REF!</definedName>
    <definedName name="Detalle1" localSheetId="45">#REF!</definedName>
    <definedName name="Detalle1">#REF!</definedName>
    <definedName name="Detalle2" localSheetId="43">#REF!</definedName>
    <definedName name="Detalle2" localSheetId="44">#REF!</definedName>
    <definedName name="Detalle2" localSheetId="39">#REF!</definedName>
    <definedName name="Detalle2" localSheetId="45">#REF!</definedName>
    <definedName name="Detalle2">#REF!</definedName>
    <definedName name="dexbccr" localSheetId="43">#REF!</definedName>
    <definedName name="dexbccr" localSheetId="44">#REF!</definedName>
    <definedName name="dexbccr" localSheetId="39">#REF!</definedName>
    <definedName name="dexbccr" localSheetId="45">#REF!</definedName>
    <definedName name="dexbccr">#REF!</definedName>
    <definedName name="dfgeyry" localSheetId="43">[12]!'[Macros Import].qbop'</definedName>
    <definedName name="dfgeyry" localSheetId="44">[12]!'[Macros Import].qbop'</definedName>
    <definedName name="dfgeyry" localSheetId="39">[12]!'[Macros Import].qbop'</definedName>
    <definedName name="dfgeyry" localSheetId="45">[12]!'[Macros Import].qbop'</definedName>
    <definedName name="dfgeyry">[12]!'[Macros Import].qbop'</definedName>
    <definedName name="DG">[22]WEOQ7!$E$27:$AH$27</definedName>
    <definedName name="DG_S">[22]WEOQ7!$E$18:$AH$18</definedName>
    <definedName name="DGproj">#N/A</definedName>
    <definedName name="DIC" localSheetId="43">#REF!</definedName>
    <definedName name="DIC" localSheetId="44">#REF!</definedName>
    <definedName name="DIC" localSheetId="39">#REF!</definedName>
    <definedName name="DIC" localSheetId="45">#REF!</definedName>
    <definedName name="DIC">#REF!</definedName>
    <definedName name="Discount_NC" localSheetId="43">[41]NPV_base!#REF!</definedName>
    <definedName name="Discount_NC" localSheetId="44">[41]NPV_base!#REF!</definedName>
    <definedName name="Discount_NC" localSheetId="39">[41]NPV_base!#REF!</definedName>
    <definedName name="Discount_NC" localSheetId="45">[41]NPV_base!#REF!</definedName>
    <definedName name="Discount_NC">[41]NPV_base!#REF!</definedName>
    <definedName name="DiscountRate" localSheetId="43">#REF!</definedName>
    <definedName name="DiscountRate" localSheetId="44">#REF!</definedName>
    <definedName name="DiscountRate" localSheetId="39">#REF!</definedName>
    <definedName name="DiscountRate" localSheetId="45">#REF!</definedName>
    <definedName name="DiscountRate" localSheetId="32">#REF!</definedName>
    <definedName name="DiscountRate">#REF!</definedName>
    <definedName name="DMBYS">[36]RESULTADOS!$A$86:$IV$86</definedName>
    <definedName name="DMU" localSheetId="43">[29]WETA!#REF!</definedName>
    <definedName name="DMU" localSheetId="44">[29]WETA!#REF!</definedName>
    <definedName name="DMU" localSheetId="39">[29]WETA!#REF!</definedName>
    <definedName name="DMU" localSheetId="45">[29]WETA!#REF!</definedName>
    <definedName name="DMU">[29]WETA!#REF!</definedName>
    <definedName name="DNP">[36]SUPUESTOS!A$18</definedName>
    <definedName name="DO">[22]WEOQ7!$E$29:$AH$29</definedName>
    <definedName name="docint" localSheetId="43">#REF!</definedName>
    <definedName name="docint" localSheetId="44">#REF!</definedName>
    <definedName name="docint" localSheetId="39">#REF!</definedName>
    <definedName name="docint" localSheetId="45">#REF!</definedName>
    <definedName name="docint">#REF!</definedName>
    <definedName name="DPOB">[36]SUPUESTOS!A$7</definedName>
    <definedName name="Dproj">#N/A</definedName>
    <definedName name="DRFP">'[36]SMONET-FINANC'!$A$99:$IV$99</definedName>
    <definedName name="DS">[22]WEOQ7!$E$38:$AH$38</definedName>
    <definedName name="DSD">#N/A</definedName>
    <definedName name="DSD_S">#N/A</definedName>
    <definedName name="DSDB">#N/A</definedName>
    <definedName name="DSDG">#N/A</definedName>
    <definedName name="DSI">[22]WEOQ7!$E$40:$AH$40</definedName>
    <definedName name="DSIBproj">#N/A</definedName>
    <definedName name="DSIGproj">#N/A</definedName>
    <definedName name="DSIproj">#N/A</definedName>
    <definedName name="DSISD">#N/A</definedName>
    <definedName name="DSISDB">#N/A</definedName>
    <definedName name="DSISDG">#N/A</definedName>
    <definedName name="DSP">[22]WEOQ7!$E$43:$AH$43</definedName>
    <definedName name="DSPBproj">#N/A</definedName>
    <definedName name="DSPG">[22]WEOQ7!$E$45:$AH$45</definedName>
    <definedName name="DSPGproj">#N/A</definedName>
    <definedName name="DSPproj">#N/A</definedName>
    <definedName name="DSPSD">#N/A</definedName>
    <definedName name="DSPSDB">#N/A</definedName>
    <definedName name="DSPSDG">#N/A</definedName>
    <definedName name="DXBYS">[36]RESULTADOS!$A$82:$IV$82</definedName>
    <definedName name="E" localSheetId="43">'[40]PIB EN CORR'!#REF!</definedName>
    <definedName name="E" localSheetId="44">'[40]PIB EN CORR'!#REF!</definedName>
    <definedName name="E" localSheetId="39">'[40]PIB EN CORR'!#REF!</definedName>
    <definedName name="E" localSheetId="45">'[40]PIB EN CORR'!#REF!</definedName>
    <definedName name="E">'[40]PIB EN CORR'!#REF!</definedName>
    <definedName name="EDNA">#N/A</definedName>
    <definedName name="EE_Table_02.___Selected_National_Accounts_Aggregates" localSheetId="43">#REF!</definedName>
    <definedName name="EE_Table_02.___Selected_National_Accounts_Aggregates" localSheetId="44">#REF!</definedName>
    <definedName name="EE_Table_02.___Selected_National_Accounts_Aggregates" localSheetId="39">#REF!</definedName>
    <definedName name="EE_Table_02.___Selected_National_Accounts_Aggregates" localSheetId="45">#REF!</definedName>
    <definedName name="EE_Table_02.___Selected_National_Accounts_Aggregates">#REF!</definedName>
    <definedName name="EE_Table_03.___Expenditure_and_Savings" localSheetId="43">#REF!</definedName>
    <definedName name="EE_Table_03.___Expenditure_and_Savings" localSheetId="44">#REF!</definedName>
    <definedName name="EE_Table_03.___Expenditure_and_Savings" localSheetId="39">#REF!</definedName>
    <definedName name="EE_Table_03.___Expenditure_and_Savings" localSheetId="45">#REF!</definedName>
    <definedName name="EE_Table_03.___Expenditure_and_Savings">#REF!</definedName>
    <definedName name="EE_Table_04.___Consumer_Price_Indices____1" localSheetId="43">#REF!</definedName>
    <definedName name="EE_Table_04.___Consumer_Price_Indices____1" localSheetId="44">#REF!</definedName>
    <definedName name="EE_Table_04.___Consumer_Price_Indices____1" localSheetId="39">#REF!</definedName>
    <definedName name="EE_Table_04.___Consumer_Price_Indices____1" localSheetId="45">#REF!</definedName>
    <definedName name="EE_Table_04.___Consumer_Price_Indices____1">#REF!</definedName>
    <definedName name="EE_Table_16.__National_Accounts_at_Current_Prices" localSheetId="43">#REF!</definedName>
    <definedName name="EE_Table_16.__National_Accounts_at_Current_Prices" localSheetId="44">#REF!</definedName>
    <definedName name="EE_Table_16.__National_Accounts_at_Current_Prices" localSheetId="39">#REF!</definedName>
    <definedName name="EE_Table_16.__National_Accounts_at_Current_Prices" localSheetId="45">#REF!</definedName>
    <definedName name="EE_Table_16.__National_Accounts_at_Current_Prices">#REF!</definedName>
    <definedName name="EE_Table_17___Real_Gross_Domestic_Expenditure" localSheetId="43">#REF!</definedName>
    <definedName name="EE_Table_17___Real_Gross_Domestic_Expenditure" localSheetId="44">#REF!</definedName>
    <definedName name="EE_Table_17___Real_Gross_Domestic_Expenditure" localSheetId="39">#REF!</definedName>
    <definedName name="EE_Table_17___Real_Gross_Domestic_Expenditure" localSheetId="45">#REF!</definedName>
    <definedName name="EE_Table_17___Real_Gross_Domestic_Expenditure">#REF!</definedName>
    <definedName name="EE_Table_18.__Real_Gross_Domestic_Product_by_Sector" localSheetId="43">#REF!</definedName>
    <definedName name="EE_Table_18.__Real_Gross_Domestic_Product_by_Sector" localSheetId="44">#REF!</definedName>
    <definedName name="EE_Table_18.__Real_Gross_Domestic_Product_by_Sector" localSheetId="39">#REF!</definedName>
    <definedName name="EE_Table_18.__Real_Gross_Domestic_Product_by_Sector" localSheetId="45">#REF!</definedName>
    <definedName name="EE_Table_18.__Real_Gross_Domestic_Product_by_Sector">#REF!</definedName>
    <definedName name="EE_Table_19.__Gross_Domestic_Investment" localSheetId="43">#REF!</definedName>
    <definedName name="EE_Table_19.__Gross_Domestic_Investment" localSheetId="44">#REF!</definedName>
    <definedName name="EE_Table_19.__Gross_Domestic_Investment" localSheetId="39">#REF!</definedName>
    <definedName name="EE_Table_19.__Gross_Domestic_Investment" localSheetId="45">#REF!</definedName>
    <definedName name="EE_Table_19.__Gross_Domestic_Investment">#REF!</definedName>
    <definedName name="EE_Table_20.__Selected_Agricultural_Sector_Statistics" localSheetId="43">#REF!</definedName>
    <definedName name="EE_Table_20.__Selected_Agricultural_Sector_Statistics" localSheetId="44">#REF!</definedName>
    <definedName name="EE_Table_20.__Selected_Agricultural_Sector_Statistics" localSheetId="39">#REF!</definedName>
    <definedName name="EE_Table_20.__Selected_Agricultural_Sector_Statistics" localSheetId="45">#REF!</definedName>
    <definedName name="EE_Table_20.__Selected_Agricultural_Sector_Statistics">#REF!</definedName>
    <definedName name="EE_Table_20.5__Ag_Sector_Statistics__concluded" localSheetId="43">#REF!</definedName>
    <definedName name="EE_Table_20.5__Ag_Sector_Statistics__concluded" localSheetId="44">#REF!</definedName>
    <definedName name="EE_Table_20.5__Ag_Sector_Statistics__concluded" localSheetId="39">#REF!</definedName>
    <definedName name="EE_Table_20.5__Ag_Sector_Statistics__concluded" localSheetId="45">#REF!</definedName>
    <definedName name="EE_Table_20.5__Ag_Sector_Statistics__concluded">#REF!</definedName>
    <definedName name="EE_Table_21.__Manufacturing_Production" localSheetId="43">#REF!</definedName>
    <definedName name="EE_Table_21.__Manufacturing_Production" localSheetId="44">#REF!</definedName>
    <definedName name="EE_Table_21.__Manufacturing_Production" localSheetId="39">#REF!</definedName>
    <definedName name="EE_Table_21.__Manufacturing_Production" localSheetId="45">#REF!</definedName>
    <definedName name="EE_Table_21.__Manufacturing_Production">#REF!</definedName>
    <definedName name="EE_Table_22.__Production_Exports_and_Imports_of_Petroleum" localSheetId="43">#REF!</definedName>
    <definedName name="EE_Table_22.__Production_Exports_and_Imports_of_Petroleum" localSheetId="44">#REF!</definedName>
    <definedName name="EE_Table_22.__Production_Exports_and_Imports_of_Petroleum" localSheetId="39">#REF!</definedName>
    <definedName name="EE_Table_22.__Production_Exports_and_Imports_of_Petroleum" localSheetId="45">#REF!</definedName>
    <definedName name="EE_Table_22.__Production_Exports_and_Imports_of_Petroleum">#REF!</definedName>
    <definedName name="EE_Table_23.__Retail_Prices_for_Petroleum_Products" localSheetId="43">#REF!</definedName>
    <definedName name="EE_Table_23.__Retail_Prices_for_Petroleum_Products" localSheetId="44">#REF!</definedName>
    <definedName name="EE_Table_23.__Retail_Prices_for_Petroleum_Products" localSheetId="39">#REF!</definedName>
    <definedName name="EE_Table_23.__Retail_Prices_for_Petroleum_Products" localSheetId="45">#REF!</definedName>
    <definedName name="EE_Table_23.__Retail_Prices_for_Petroleum_Products">#REF!</definedName>
    <definedName name="EE_Table_24.__Consumption_of_Petroleum_and_Derivatives" localSheetId="43">#REF!</definedName>
    <definedName name="EE_Table_24.__Consumption_of_Petroleum_and_Derivatives" localSheetId="44">#REF!</definedName>
    <definedName name="EE_Table_24.__Consumption_of_Petroleum_and_Derivatives" localSheetId="39">#REF!</definedName>
    <definedName name="EE_Table_24.__Consumption_of_Petroleum_and_Derivatives" localSheetId="45">#REF!</definedName>
    <definedName name="EE_Table_24.__Consumption_of_Petroleum_and_Derivatives">#REF!</definedName>
    <definedName name="EE_Table_25.__Production_and_Distribution_Electricity" localSheetId="43">#REF!</definedName>
    <definedName name="EE_Table_25.__Production_and_Distribution_Electricity" localSheetId="44">#REF!</definedName>
    <definedName name="EE_Table_25.__Production_and_Distribution_Electricity" localSheetId="39">#REF!</definedName>
    <definedName name="EE_Table_25.__Production_and_Distribution_Electricity" localSheetId="45">#REF!</definedName>
    <definedName name="EE_Table_25.__Production_and_Distribution_Electricity">#REF!</definedName>
    <definedName name="EE_Table_26.__Average_Price_of_Electricity" localSheetId="43">#REF!</definedName>
    <definedName name="EE_Table_26.__Average_Price_of_Electricity" localSheetId="44">#REF!</definedName>
    <definedName name="EE_Table_26.__Average_Price_of_Electricity" localSheetId="39">#REF!</definedName>
    <definedName name="EE_Table_26.__Average_Price_of_Electricity" localSheetId="45">#REF!</definedName>
    <definedName name="EE_Table_26.__Average_Price_of_Electricity">#REF!</definedName>
    <definedName name="EE_Table_27.__Guatemala___Consumer_Price_Indices__1" localSheetId="43">#REF!</definedName>
    <definedName name="EE_Table_27.__Guatemala___Consumer_Price_Indices__1" localSheetId="44">#REF!</definedName>
    <definedName name="EE_Table_27.__Guatemala___Consumer_Price_Indices__1" localSheetId="39">#REF!</definedName>
    <definedName name="EE_Table_27.__Guatemala___Consumer_Price_Indices__1" localSheetId="45">#REF!</definedName>
    <definedName name="EE_Table_27.__Guatemala___Consumer_Price_Indices__1">#REF!</definedName>
    <definedName name="EE_Table_28._Guatemala___Selected_Wage_Indicators_1" localSheetId="43">#REF!</definedName>
    <definedName name="EE_Table_28._Guatemala___Selected_Wage_Indicators_1" localSheetId="44">#REF!</definedName>
    <definedName name="EE_Table_28._Guatemala___Selected_Wage_Indicators_1" localSheetId="39">#REF!</definedName>
    <definedName name="EE_Table_28._Guatemala___Selected_Wage_Indicators_1" localSheetId="45">#REF!</definedName>
    <definedName name="EE_Table_28._Guatemala___Selected_Wage_Indicators_1">#REF!</definedName>
    <definedName name="EE_Table_29.__Minimum_Monthly_Wages_by_Economic_Activity" localSheetId="43">#REF!</definedName>
    <definedName name="EE_Table_29.__Minimum_Monthly_Wages_by_Economic_Activity" localSheetId="44">#REF!</definedName>
    <definedName name="EE_Table_29.__Minimum_Monthly_Wages_by_Economic_Activity" localSheetId="39">#REF!</definedName>
    <definedName name="EE_Table_29.__Minimum_Monthly_Wages_by_Economic_Activity" localSheetId="45">#REF!</definedName>
    <definedName name="EE_Table_29.__Minimum_Monthly_Wages_by_Economic_Activity">#REF!</definedName>
    <definedName name="EE_Table_30._Guatemala___Selected_Employment_and_Labor_Productivity_Indicators" localSheetId="43">#REF!</definedName>
    <definedName name="EE_Table_30._Guatemala___Selected_Employment_and_Labor_Productivity_Indicators" localSheetId="44">#REF!</definedName>
    <definedName name="EE_Table_30._Guatemala___Selected_Employment_and_Labor_Productivity_Indicators" localSheetId="39">#REF!</definedName>
    <definedName name="EE_Table_30._Guatemala___Selected_Employment_and_Labor_Productivity_Indicators" localSheetId="45">#REF!</definedName>
    <definedName name="EE_Table_30._Guatemala___Selected_Employment_and_Labor_Productivity_Indicators">#REF!</definedName>
    <definedName name="EE_Table_31._Wage_and_Employment_Indicators_1" localSheetId="43">#REF!</definedName>
    <definedName name="EE_Table_31._Wage_and_Employment_Indicators_1" localSheetId="44">#REF!</definedName>
    <definedName name="EE_Table_31._Wage_and_Employment_Indicators_1" localSheetId="39">#REF!</definedName>
    <definedName name="EE_Table_31._Wage_and_Employment_Indicators_1" localSheetId="45">#REF!</definedName>
    <definedName name="EE_Table_31._Wage_and_Employment_Indicators_1">#REF!</definedName>
    <definedName name="EE_Table_32_ULC_PROD_indicators" localSheetId="43">#REF!</definedName>
    <definedName name="EE_Table_32_ULC_PROD_indicators" localSheetId="44">#REF!</definedName>
    <definedName name="EE_Table_32_ULC_PROD_indicators" localSheetId="39">#REF!</definedName>
    <definedName name="EE_Table_32_ULC_PROD_indicators" localSheetId="45">#REF!</definedName>
    <definedName name="EE_Table_32_ULC_PROD_indicators">#REF!</definedName>
    <definedName name="EE_Table_33_Indicators_of_Competitiveness" localSheetId="43">#REF!</definedName>
    <definedName name="EE_Table_33_Indicators_of_Competitiveness" localSheetId="44">#REF!</definedName>
    <definedName name="EE_Table_33_Indicators_of_Competitiveness" localSheetId="39">#REF!</definedName>
    <definedName name="EE_Table_33_Indicators_of_Competitiveness" localSheetId="45">#REF!</definedName>
    <definedName name="EE_Table_33_Indicators_of_Competitiveness">#REF!</definedName>
    <definedName name="ele" localSheetId="43">#REF!</definedName>
    <definedName name="ele" localSheetId="44">#REF!</definedName>
    <definedName name="ele" localSheetId="39">#REF!</definedName>
    <definedName name="ele" localSheetId="45">#REF!</definedName>
    <definedName name="ele">#REF!</definedName>
    <definedName name="elect" localSheetId="43">#REF!</definedName>
    <definedName name="elect" localSheetId="44">#REF!</definedName>
    <definedName name="elect" localSheetId="39">#REF!</definedName>
    <definedName name="elect" localSheetId="45">#REF!</definedName>
    <definedName name="elect">#REF!</definedName>
    <definedName name="EMETEL" localSheetId="43">#REF!</definedName>
    <definedName name="EMETEL" localSheetId="44">#REF!</definedName>
    <definedName name="EMETEL" localSheetId="39">#REF!</definedName>
    <definedName name="EMETEL" localSheetId="45">#REF!</definedName>
    <definedName name="EMETEL">#REF!</definedName>
    <definedName name="emi98j" localSheetId="43">[14]Programa!#REF!</definedName>
    <definedName name="emi98j" localSheetId="44">[14]Programa!#REF!</definedName>
    <definedName name="emi98j" localSheetId="39">[14]Programa!#REF!</definedName>
    <definedName name="emi98j" localSheetId="45">[14]Programa!#REF!</definedName>
    <definedName name="emi98j">[14]Programa!#REF!</definedName>
    <definedName name="emi98s" localSheetId="43">#REF!</definedName>
    <definedName name="emi98s" localSheetId="44">#REF!</definedName>
    <definedName name="emi98s" localSheetId="39">#REF!</definedName>
    <definedName name="emi98s" localSheetId="45">#REF!</definedName>
    <definedName name="emi98s">#REF!</definedName>
    <definedName name="empty">[22]WEOQ5!$DZ$1</definedName>
    <definedName name="encajec" localSheetId="43">#REF!</definedName>
    <definedName name="encajec" localSheetId="44">#REF!</definedName>
    <definedName name="encajec" localSheetId="39">#REF!</definedName>
    <definedName name="encajec" localSheetId="45">#REF!</definedName>
    <definedName name="encajec" localSheetId="32">#REF!</definedName>
    <definedName name="encajec">#REF!</definedName>
    <definedName name="encajed" localSheetId="43">#REF!</definedName>
    <definedName name="encajed" localSheetId="44">#REF!</definedName>
    <definedName name="encajed" localSheetId="39">#REF!</definedName>
    <definedName name="encajed" localSheetId="45">#REF!</definedName>
    <definedName name="encajed">#REF!</definedName>
    <definedName name="ENDA">#N/A</definedName>
    <definedName name="ENE" localSheetId="43">#REF!</definedName>
    <definedName name="ENE" localSheetId="44">#REF!</definedName>
    <definedName name="ENE" localSheetId="39">#REF!</definedName>
    <definedName name="ENE" localSheetId="45">#REF!</definedName>
    <definedName name="ENE">#REF!</definedName>
    <definedName name="est" localSheetId="43">#REF!</definedName>
    <definedName name="est" localSheetId="44">#REF!</definedName>
    <definedName name="est" localSheetId="39">#REF!</definedName>
    <definedName name="est" localSheetId="45">#REF!</definedName>
    <definedName name="est">#REF!</definedName>
    <definedName name="estacional" localSheetId="43">#REF!</definedName>
    <definedName name="estacional" localSheetId="44">#REF!</definedName>
    <definedName name="estacional" localSheetId="39">#REF!</definedName>
    <definedName name="estacional" localSheetId="45">#REF!</definedName>
    <definedName name="estacional">#REF!</definedName>
    <definedName name="ewqr" localSheetId="43" hidden="1">[8]Data!#REF!</definedName>
    <definedName name="ewqr" localSheetId="44" hidden="1">[8]Data!#REF!</definedName>
    <definedName name="ewqr" localSheetId="39" hidden="1">[8]Data!#REF!</definedName>
    <definedName name="ewqr" localSheetId="45" hidden="1">[8]Data!#REF!</definedName>
    <definedName name="ewqr" hidden="1">[8]Data!#REF!</definedName>
    <definedName name="EX_IMP" localSheetId="43">#REF!</definedName>
    <definedName name="EX_IMP" localSheetId="44">#REF!</definedName>
    <definedName name="EX_IMP" localSheetId="39">#REF!</definedName>
    <definedName name="EX_IMP" localSheetId="45">#REF!</definedName>
    <definedName name="EX_IMP">#REF!</definedName>
    <definedName name="ExitWRS">[42]Main!$AB$25</definedName>
    <definedName name="exports" localSheetId="43">#REF!</definedName>
    <definedName name="exports" localSheetId="44">#REF!</definedName>
    <definedName name="exports" localSheetId="39">#REF!</definedName>
    <definedName name="exports" localSheetId="45">#REF!</definedName>
    <definedName name="exports" localSheetId="32">#REF!</definedName>
    <definedName name="exports">#REF!</definedName>
    <definedName name="feb" localSheetId="43">[14]Programa!#REF!</definedName>
    <definedName name="feb" localSheetId="44">[14]Programa!#REF!</definedName>
    <definedName name="feb" localSheetId="39">[14]Programa!#REF!</definedName>
    <definedName name="feb" localSheetId="45">[14]Programa!#REF!</definedName>
    <definedName name="feb" localSheetId="32">[14]Programa!#REF!</definedName>
    <definedName name="feb">[14]Programa!#REF!</definedName>
    <definedName name="fecha" localSheetId="43">[14]Programa!#REF!</definedName>
    <definedName name="fecha" localSheetId="44">[14]Programa!#REF!</definedName>
    <definedName name="fecha" localSheetId="39">[14]Programa!#REF!</definedName>
    <definedName name="fecha" localSheetId="45">[14]Programa!#REF!</definedName>
    <definedName name="fecha">[14]Programa!#REF!</definedName>
    <definedName name="fecha1" localSheetId="43">#REF!</definedName>
    <definedName name="fecha1" localSheetId="44">#REF!</definedName>
    <definedName name="fecha1" localSheetId="39">#REF!</definedName>
    <definedName name="fecha1" localSheetId="45">#REF!</definedName>
    <definedName name="fecha1">#REF!</definedName>
    <definedName name="ffff" localSheetId="3">'[43]A Current Data'!$D$61</definedName>
    <definedName name="ffff" localSheetId="32">'[43]A Current Data'!$D$61</definedName>
    <definedName name="ffff">'[43]A Current Data'!$D$61</definedName>
    <definedName name="FFISCMON" localSheetId="43">#REF!</definedName>
    <definedName name="FFISCMON" localSheetId="44">#REF!</definedName>
    <definedName name="FFISCMON" localSheetId="39">#REF!</definedName>
    <definedName name="FFISCMON" localSheetId="45">#REF!</definedName>
    <definedName name="FFISCMON">#REF!</definedName>
    <definedName name="FIDR" localSheetId="43">[29]WETA!#REF!</definedName>
    <definedName name="FIDR" localSheetId="44">[29]WETA!#REF!</definedName>
    <definedName name="FIDR" localSheetId="39">[29]WETA!#REF!</definedName>
    <definedName name="FIDR" localSheetId="45">[29]WETA!#REF!</definedName>
    <definedName name="FIDR">[29]WETA!#REF!</definedName>
    <definedName name="fin" localSheetId="43">#REF!</definedName>
    <definedName name="fin" localSheetId="44">#REF!</definedName>
    <definedName name="fin" localSheetId="39">#REF!</definedName>
    <definedName name="fin" localSheetId="45">#REF!</definedName>
    <definedName name="fin">#REF!</definedName>
    <definedName name="finan" localSheetId="43">#REF!</definedName>
    <definedName name="finan" localSheetId="44">#REF!</definedName>
    <definedName name="finan" localSheetId="39">#REF!</definedName>
    <definedName name="finan" localSheetId="45">#REF!</definedName>
    <definedName name="finan">#REF!</definedName>
    <definedName name="finan1" localSheetId="43">#REF!</definedName>
    <definedName name="finan1" localSheetId="44">#REF!</definedName>
    <definedName name="finan1" localSheetId="39">#REF!</definedName>
    <definedName name="finan1" localSheetId="45">#REF!</definedName>
    <definedName name="finan1">#REF!</definedName>
    <definedName name="finan3_D" localSheetId="43">#REF!</definedName>
    <definedName name="finan3_D" localSheetId="44">#REF!</definedName>
    <definedName name="finan3_D" localSheetId="39">#REF!</definedName>
    <definedName name="finan3_D" localSheetId="45">#REF!</definedName>
    <definedName name="finan3_D">#REF!</definedName>
    <definedName name="FISINP">[27]fiscal!$B$6:$M$45</definedName>
    <definedName name="FISUM" localSheetId="43">#REF!</definedName>
    <definedName name="FISUM" localSheetId="44">#REF!</definedName>
    <definedName name="FISUM" localSheetId="39">#REF!</definedName>
    <definedName name="FISUM" localSheetId="45">#REF!</definedName>
    <definedName name="FISUM" localSheetId="32">#REF!</definedName>
    <definedName name="FISUM">#REF!</definedName>
    <definedName name="FLOPEC" localSheetId="43">#REF!</definedName>
    <definedName name="FLOPEC" localSheetId="44">#REF!</definedName>
    <definedName name="FLOPEC" localSheetId="39">#REF!</definedName>
    <definedName name="FLOPEC" localSheetId="45">#REF!</definedName>
    <definedName name="FLOPEC">#REF!</definedName>
    <definedName name="fluct" localSheetId="43">#REF!</definedName>
    <definedName name="fluct" localSheetId="44">#REF!</definedName>
    <definedName name="fluct" localSheetId="39">#REF!</definedName>
    <definedName name="fluct" localSheetId="45">#REF!</definedName>
    <definedName name="fluct">#REF!</definedName>
    <definedName name="flujo1">[13]FMI!$A$4:$CM$42</definedName>
    <definedName name="flujo2">[13]FMI!$A$44:$CM$80</definedName>
    <definedName name="FLUJO3">[13]FMI!$A$86:$CM$117</definedName>
    <definedName name="FLUJOS">[13]FMI!$A$5:$BV$77</definedName>
    <definedName name="FMB" localSheetId="43">#REF!</definedName>
    <definedName name="FMB" localSheetId="44">#REF!</definedName>
    <definedName name="FMB" localSheetId="39">#REF!</definedName>
    <definedName name="FMB" localSheetId="45">#REF!</definedName>
    <definedName name="FMB" localSheetId="32">#REF!</definedName>
    <definedName name="FMB">#REF!</definedName>
    <definedName name="FODESEC" localSheetId="43">#REF!</definedName>
    <definedName name="FODESEC" localSheetId="44">#REF!</definedName>
    <definedName name="FODESEC" localSheetId="39">#REF!</definedName>
    <definedName name="FODESEC" localSheetId="45">#REF!</definedName>
    <definedName name="FODESEC">#REF!</definedName>
    <definedName name="formato" localSheetId="43">#REF!</definedName>
    <definedName name="formato" localSheetId="44">#REF!</definedName>
    <definedName name="formato" localSheetId="39">#REF!</definedName>
    <definedName name="formato" localSheetId="45">#REF!</definedName>
    <definedName name="formato">#REF!</definedName>
    <definedName name="FORMATO_ABAJO" localSheetId="43">#REF!</definedName>
    <definedName name="FORMATO_ABAJO" localSheetId="44">#REF!</definedName>
    <definedName name="FORMATO_ABAJO" localSheetId="39">#REF!</definedName>
    <definedName name="FORMATO_ABAJO" localSheetId="45">#REF!</definedName>
    <definedName name="FORMATO_ABAJO">#REF!</definedName>
    <definedName name="fromyear">[44]Data!$B$24</definedName>
    <definedName name="fshrts" hidden="1">[2]WB!$Q$255:$AK$255</definedName>
    <definedName name="ftaref" localSheetId="43">#REF!</definedName>
    <definedName name="ftaref" localSheetId="44">#REF!</definedName>
    <definedName name="ftaref" localSheetId="39">#REF!</definedName>
    <definedName name="ftaref" localSheetId="45">#REF!</definedName>
    <definedName name="ftaref">#REF!</definedName>
    <definedName name="ftconf" localSheetId="43">#REF!</definedName>
    <definedName name="ftconf" localSheetId="44">#REF!</definedName>
    <definedName name="ftconf" localSheetId="39">#REF!</definedName>
    <definedName name="ftconf" localSheetId="45">#REF!</definedName>
    <definedName name="ftconf">#REF!</definedName>
    <definedName name="ftima" localSheetId="43">#REF!</definedName>
    <definedName name="ftima" localSheetId="44">#REF!</definedName>
    <definedName name="ftima" localSheetId="39">#REF!</definedName>
    <definedName name="ftima" localSheetId="45">#REF!</definedName>
    <definedName name="ftima">#REF!</definedName>
    <definedName name="ftimaf" localSheetId="43">#REF!</definedName>
    <definedName name="ftimaf" localSheetId="44">#REF!</definedName>
    <definedName name="ftimaf" localSheetId="39">#REF!</definedName>
    <definedName name="ftimaf" localSheetId="45">#REF!</definedName>
    <definedName name="ftimaf">#REF!</definedName>
    <definedName name="g" localSheetId="43">#REF!</definedName>
    <definedName name="g" localSheetId="44">#REF!</definedName>
    <definedName name="g" localSheetId="39">#REF!</definedName>
    <definedName name="g" localSheetId="45">#REF!</definedName>
    <definedName name="g">#REF!</definedName>
    <definedName name="GATO" localSheetId="43">#REF!</definedName>
    <definedName name="GATO" localSheetId="44">#REF!</definedName>
    <definedName name="GATO" localSheetId="39">#REF!</definedName>
    <definedName name="GATO" localSheetId="45">#REF!</definedName>
    <definedName name="GATO">#REF!</definedName>
    <definedName name="GCB" localSheetId="43">#REF!</definedName>
    <definedName name="GCB" localSheetId="44">#REF!</definedName>
    <definedName name="GCB" localSheetId="39">#REF!</definedName>
    <definedName name="GCB" localSheetId="45">#REF!</definedName>
    <definedName name="GCB">#REF!</definedName>
    <definedName name="GCB_NGDP" localSheetId="43">#REF!</definedName>
    <definedName name="GCB_NGDP" localSheetId="44">#REF!</definedName>
    <definedName name="GCB_NGDP" localSheetId="39">#REF!</definedName>
    <definedName name="GCB_NGDP" localSheetId="45">#REF!</definedName>
    <definedName name="GCB_NGDP">#REF!</definedName>
    <definedName name="GCD" localSheetId="43">#REF!</definedName>
    <definedName name="GCD" localSheetId="44">#REF!</definedName>
    <definedName name="GCD" localSheetId="39">#REF!</definedName>
    <definedName name="GCD" localSheetId="45">#REF!</definedName>
    <definedName name="GCD">#REF!</definedName>
    <definedName name="GCEC" localSheetId="43">[29]WETA!#REF!</definedName>
    <definedName name="GCEC" localSheetId="44">[29]WETA!#REF!</definedName>
    <definedName name="GCEC" localSheetId="39">[29]WETA!#REF!</definedName>
    <definedName name="GCEC" localSheetId="45">[29]WETA!#REF!</definedName>
    <definedName name="GCEC">[29]WETA!#REF!</definedName>
    <definedName name="GCED" localSheetId="43">[29]WETA!#REF!</definedName>
    <definedName name="GCED" localSheetId="44">[29]WETA!#REF!</definedName>
    <definedName name="GCED" localSheetId="39">[29]WETA!#REF!</definedName>
    <definedName name="GCED" localSheetId="45">[29]WETA!#REF!</definedName>
    <definedName name="GCED">[29]WETA!#REF!</definedName>
    <definedName name="GCEE" localSheetId="43">[29]WETA!#REF!</definedName>
    <definedName name="GCEE" localSheetId="44">[29]WETA!#REF!</definedName>
    <definedName name="GCEE" localSheetId="39">[29]WETA!#REF!</definedName>
    <definedName name="GCEE" localSheetId="45">[29]WETA!#REF!</definedName>
    <definedName name="GCEE">[29]WETA!#REF!</definedName>
    <definedName name="GCEEP" localSheetId="43">[29]WETA!#REF!</definedName>
    <definedName name="GCEEP" localSheetId="44">[29]WETA!#REF!</definedName>
    <definedName name="GCEEP" localSheetId="39">[29]WETA!#REF!</definedName>
    <definedName name="GCEEP" localSheetId="45">[29]WETA!#REF!</definedName>
    <definedName name="GCEEP">[29]WETA!#REF!</definedName>
    <definedName name="GCEES" localSheetId="43">[29]WETA!#REF!</definedName>
    <definedName name="GCEES" localSheetId="44">[29]WETA!#REF!</definedName>
    <definedName name="GCEES" localSheetId="39">[29]WETA!#REF!</definedName>
    <definedName name="GCEES" localSheetId="45">[29]WETA!#REF!</definedName>
    <definedName name="GCEES">[29]WETA!#REF!</definedName>
    <definedName name="GCEG" localSheetId="43">[29]WETA!#REF!</definedName>
    <definedName name="GCEG" localSheetId="44">[29]WETA!#REF!</definedName>
    <definedName name="GCEG" localSheetId="39">[29]WETA!#REF!</definedName>
    <definedName name="GCEG" localSheetId="45">[29]WETA!#REF!</definedName>
    <definedName name="GCEG">[29]WETA!#REF!</definedName>
    <definedName name="GCEH" localSheetId="43">[29]WETA!#REF!</definedName>
    <definedName name="GCEH" localSheetId="44">[29]WETA!#REF!</definedName>
    <definedName name="GCEH" localSheetId="39">[29]WETA!#REF!</definedName>
    <definedName name="GCEH" localSheetId="45">[29]WETA!#REF!</definedName>
    <definedName name="GCEH">[29]WETA!#REF!</definedName>
    <definedName name="GCEHP" localSheetId="43">[29]WETA!#REF!</definedName>
    <definedName name="GCEHP" localSheetId="44">[29]WETA!#REF!</definedName>
    <definedName name="GCEHP" localSheetId="39">[29]WETA!#REF!</definedName>
    <definedName name="GCEHP" localSheetId="45">[29]WETA!#REF!</definedName>
    <definedName name="GCEHP">[29]WETA!#REF!</definedName>
    <definedName name="GCEI" localSheetId="43">#REF!</definedName>
    <definedName name="GCEI" localSheetId="44">#REF!</definedName>
    <definedName name="GCEI" localSheetId="39">#REF!</definedName>
    <definedName name="GCEI" localSheetId="45">#REF!</definedName>
    <definedName name="GCEI">#REF!</definedName>
    <definedName name="GCEI_D" localSheetId="43">[29]WETA!#REF!</definedName>
    <definedName name="GCEI_D" localSheetId="44">[29]WETA!#REF!</definedName>
    <definedName name="GCEI_D" localSheetId="39">[29]WETA!#REF!</definedName>
    <definedName name="GCEI_D" localSheetId="45">[29]WETA!#REF!</definedName>
    <definedName name="GCEI_D">[29]WETA!#REF!</definedName>
    <definedName name="GCEI_F" localSheetId="43">[29]WETA!#REF!</definedName>
    <definedName name="GCEI_F" localSheetId="44">[29]WETA!#REF!</definedName>
    <definedName name="GCEI_F" localSheetId="39">[29]WETA!#REF!</definedName>
    <definedName name="GCEI_F" localSheetId="45">[29]WETA!#REF!</definedName>
    <definedName name="GCEI_F">[29]WETA!#REF!</definedName>
    <definedName name="GCENL" localSheetId="43">#REF!</definedName>
    <definedName name="GCENL" localSheetId="44">#REF!</definedName>
    <definedName name="GCENL" localSheetId="39">#REF!</definedName>
    <definedName name="GCENL" localSheetId="45">#REF!</definedName>
    <definedName name="GCENL">#REF!</definedName>
    <definedName name="GCEO" localSheetId="43">[29]WETA!#REF!</definedName>
    <definedName name="GCEO" localSheetId="44">[29]WETA!#REF!</definedName>
    <definedName name="GCEO" localSheetId="39">[29]WETA!#REF!</definedName>
    <definedName name="GCEO" localSheetId="45">[29]WETA!#REF!</definedName>
    <definedName name="GCEO">[29]WETA!#REF!</definedName>
    <definedName name="GCESWH" localSheetId="43">[29]WETA!#REF!</definedName>
    <definedName name="GCESWH" localSheetId="44">[29]WETA!#REF!</definedName>
    <definedName name="GCESWH" localSheetId="39">[29]WETA!#REF!</definedName>
    <definedName name="GCESWH" localSheetId="45">[29]WETA!#REF!</definedName>
    <definedName name="GCESWH">[29]WETA!#REF!</definedName>
    <definedName name="GCEW" localSheetId="43">[29]WETA!#REF!</definedName>
    <definedName name="GCEW" localSheetId="44">[29]WETA!#REF!</definedName>
    <definedName name="GCEW" localSheetId="39">[29]WETA!#REF!</definedName>
    <definedName name="GCEW" localSheetId="45">[29]WETA!#REF!</definedName>
    <definedName name="GCEW">[29]WETA!#REF!</definedName>
    <definedName name="GCG" localSheetId="43">[29]WETA!#REF!</definedName>
    <definedName name="GCG" localSheetId="44">[29]WETA!#REF!</definedName>
    <definedName name="GCG" localSheetId="39">[29]WETA!#REF!</definedName>
    <definedName name="GCG" localSheetId="45">[29]WETA!#REF!</definedName>
    <definedName name="GCG">[29]WETA!#REF!</definedName>
    <definedName name="GCGC" localSheetId="43">[29]WETA!#REF!</definedName>
    <definedName name="GCGC" localSheetId="44">[29]WETA!#REF!</definedName>
    <definedName name="GCGC" localSheetId="39">[29]WETA!#REF!</definedName>
    <definedName name="GCGC" localSheetId="45">[29]WETA!#REF!</definedName>
    <definedName name="GCGC">[29]WETA!#REF!</definedName>
    <definedName name="GCND" localSheetId="43">#REF!</definedName>
    <definedName name="GCND" localSheetId="44">#REF!</definedName>
    <definedName name="GCND" localSheetId="39">#REF!</definedName>
    <definedName name="GCND" localSheetId="45">#REF!</definedName>
    <definedName name="GCND">#REF!</definedName>
    <definedName name="GCND_NGDP" localSheetId="43">#REF!</definedName>
    <definedName name="GCND_NGDP" localSheetId="44">#REF!</definedName>
    <definedName name="GCND_NGDP" localSheetId="39">#REF!</definedName>
    <definedName name="GCND_NGDP" localSheetId="45">#REF!</definedName>
    <definedName name="GCND_NGDP">#REF!</definedName>
    <definedName name="GCRG" localSheetId="43">#REF!</definedName>
    <definedName name="GCRG" localSheetId="44">#REF!</definedName>
    <definedName name="GCRG" localSheetId="39">#REF!</definedName>
    <definedName name="GCRG" localSheetId="45">#REF!</definedName>
    <definedName name="GCRG">#REF!</definedName>
    <definedName name="GGB" localSheetId="43">#REF!</definedName>
    <definedName name="GGB" localSheetId="44">#REF!</definedName>
    <definedName name="GGB" localSheetId="39">#REF!</definedName>
    <definedName name="GGB" localSheetId="45">#REF!</definedName>
    <definedName name="GGB">#REF!</definedName>
    <definedName name="GGB_NGDP" localSheetId="43">#REF!</definedName>
    <definedName name="GGB_NGDP" localSheetId="44">#REF!</definedName>
    <definedName name="GGB_NGDP" localSheetId="39">#REF!</definedName>
    <definedName name="GGB_NGDP" localSheetId="45">#REF!</definedName>
    <definedName name="GGB_NGDP">#REF!</definedName>
    <definedName name="GGD" localSheetId="43">#REF!</definedName>
    <definedName name="GGD" localSheetId="44">#REF!</definedName>
    <definedName name="GGD" localSheetId="39">#REF!</definedName>
    <definedName name="GGD" localSheetId="45">#REF!</definedName>
    <definedName name="GGD">#REF!</definedName>
    <definedName name="GGEC" localSheetId="43">[29]WETA!#REF!</definedName>
    <definedName name="GGEC" localSheetId="44">[29]WETA!#REF!</definedName>
    <definedName name="GGEC" localSheetId="39">[29]WETA!#REF!</definedName>
    <definedName name="GGEC" localSheetId="45">[29]WETA!#REF!</definedName>
    <definedName name="GGEC">[29]WETA!#REF!</definedName>
    <definedName name="GGED" localSheetId="43">#REF!</definedName>
    <definedName name="GGED" localSheetId="44">#REF!</definedName>
    <definedName name="GGED" localSheetId="39">#REF!</definedName>
    <definedName name="GGED" localSheetId="45">#REF!</definedName>
    <definedName name="GGED">#REF!</definedName>
    <definedName name="GGEI" localSheetId="43">#REF!</definedName>
    <definedName name="GGEI" localSheetId="44">#REF!</definedName>
    <definedName name="GGEI" localSheetId="39">#REF!</definedName>
    <definedName name="GGEI" localSheetId="45">#REF!</definedName>
    <definedName name="GGEI">#REF!</definedName>
    <definedName name="GGENL" localSheetId="43">#REF!</definedName>
    <definedName name="GGENL" localSheetId="44">#REF!</definedName>
    <definedName name="GGENL" localSheetId="39">#REF!</definedName>
    <definedName name="GGENL" localSheetId="45">#REF!</definedName>
    <definedName name="GGENL">#REF!</definedName>
    <definedName name="ggggg" localSheetId="43" hidden="1">'[45]J(Priv.Cap)'!#REF!</definedName>
    <definedName name="ggggg" localSheetId="44" hidden="1">'[45]J(Priv.Cap)'!#REF!</definedName>
    <definedName name="ggggg" localSheetId="39" hidden="1">'[45]J(Priv.Cap)'!#REF!</definedName>
    <definedName name="ggggg" localSheetId="45" hidden="1">'[45]J(Priv.Cap)'!#REF!</definedName>
    <definedName name="ggggg" hidden="1">'[45]J(Priv.Cap)'!#REF!</definedName>
    <definedName name="gghh">#N/A</definedName>
    <definedName name="GGND" localSheetId="43">#REF!</definedName>
    <definedName name="GGND" localSheetId="44">#REF!</definedName>
    <definedName name="GGND" localSheetId="39">#REF!</definedName>
    <definedName name="GGND" localSheetId="45">#REF!</definedName>
    <definedName name="GGND">#REF!</definedName>
    <definedName name="GGRG" localSheetId="43">#REF!</definedName>
    <definedName name="GGRG" localSheetId="44">#REF!</definedName>
    <definedName name="GGRG" localSheetId="39">#REF!</definedName>
    <definedName name="GGRG" localSheetId="45">#REF!</definedName>
    <definedName name="GGRG">#REF!</definedName>
    <definedName name="_xlnm.Recorder" localSheetId="43">#REF!</definedName>
    <definedName name="_xlnm.Recorder" localSheetId="44">#REF!</definedName>
    <definedName name="_xlnm.Recorder" localSheetId="39">#REF!</definedName>
    <definedName name="_xlnm.Recorder" localSheetId="45">#REF!</definedName>
    <definedName name="_xlnm.Recorder">#REF!</definedName>
    <definedName name="Grace_NC" localSheetId="43">[41]NPV_base!#REF!</definedName>
    <definedName name="Grace_NC" localSheetId="44">[41]NPV_base!#REF!</definedName>
    <definedName name="Grace_NC" localSheetId="39">[41]NPV_base!#REF!</definedName>
    <definedName name="Grace_NC" localSheetId="45">[41]NPV_base!#REF!</definedName>
    <definedName name="Grace_NC">[41]NPV_base!#REF!</definedName>
    <definedName name="gz" localSheetId="43">[46]MD5!#REF!</definedName>
    <definedName name="gz" localSheetId="44">[46]MD5!#REF!</definedName>
    <definedName name="gz" localSheetId="39">[46]MD5!#REF!</definedName>
    <definedName name="gz" localSheetId="45">[46]MD5!#REF!</definedName>
    <definedName name="gz">[46]MD5!#REF!</definedName>
    <definedName name="hacienda1">[47]HACIENDA!$A$2:$M$28</definedName>
    <definedName name="hacienda2">[47]HACIENDA!$A$1:$N$28</definedName>
    <definedName name="Heading39" localSheetId="43">#REF!</definedName>
    <definedName name="Heading39" localSheetId="44">#REF!</definedName>
    <definedName name="Heading39" localSheetId="39">#REF!</definedName>
    <definedName name="Heading39" localSheetId="45">#REF!</definedName>
    <definedName name="Heading39" localSheetId="32">#REF!</definedName>
    <definedName name="Heading39">#REF!</definedName>
    <definedName name="hfrstes" localSheetId="43" hidden="1">[2]ER!#REF!</definedName>
    <definedName name="hfrstes" localSheetId="44" hidden="1">[2]ER!#REF!</definedName>
    <definedName name="hfrstes" localSheetId="39" hidden="1">[2]ER!#REF!</definedName>
    <definedName name="hfrstes" localSheetId="45" hidden="1">[2]ER!#REF!</definedName>
    <definedName name="hfrstes" localSheetId="32" hidden="1">[2]ER!#REF!</definedName>
    <definedName name="hfrstes" hidden="1">[2]ER!#REF!</definedName>
    <definedName name="hfshfrt" hidden="1">[2]WB!$Q$62:$AK$62</definedName>
    <definedName name="hhh" localSheetId="43" hidden="1">'[48]J(Priv.Cap)'!#REF!</definedName>
    <definedName name="hhh" localSheetId="44" hidden="1">'[48]J(Priv.Cap)'!#REF!</definedName>
    <definedName name="hhh" localSheetId="39" hidden="1">'[48]J(Priv.Cap)'!#REF!</definedName>
    <definedName name="hhh" localSheetId="45" hidden="1">'[48]J(Priv.Cap)'!#REF!</definedName>
    <definedName name="hhh" hidden="1">'[48]J(Priv.Cap)'!#REF!</definedName>
    <definedName name="hhhh">#N/A</definedName>
    <definedName name="hora" localSheetId="43">[14]Programa!#REF!</definedName>
    <definedName name="hora" localSheetId="44">[14]Programa!#REF!</definedName>
    <definedName name="hora" localSheetId="39">[14]Programa!#REF!</definedName>
    <definedName name="hora" localSheetId="45">[14]Programa!#REF!</definedName>
    <definedName name="hora">[14]Programa!#REF!</definedName>
    <definedName name="HUY" localSheetId="43">#REF!</definedName>
    <definedName name="HUY" localSheetId="44">#REF!</definedName>
    <definedName name="HUY" localSheetId="39">#REF!</definedName>
    <definedName name="HUY" localSheetId="45">#REF!</definedName>
    <definedName name="HUY">#REF!</definedName>
    <definedName name="i" localSheetId="43">#REF!</definedName>
    <definedName name="i" localSheetId="44">#REF!</definedName>
    <definedName name="i" localSheetId="39">#REF!</definedName>
    <definedName name="i" localSheetId="45">#REF!</definedName>
    <definedName name="i">#REF!</definedName>
    <definedName name="IESS" localSheetId="43">#REF!</definedName>
    <definedName name="IESS" localSheetId="44">#REF!</definedName>
    <definedName name="IESS" localSheetId="39">#REF!</definedName>
    <definedName name="IESS" localSheetId="45">#REF!</definedName>
    <definedName name="IESS">#REF!</definedName>
    <definedName name="ima" localSheetId="43">#REF!</definedName>
    <definedName name="ima" localSheetId="44">#REF!</definedName>
    <definedName name="ima" localSheetId="39">#REF!</definedName>
    <definedName name="ima" localSheetId="45">#REF!</definedName>
    <definedName name="ima">#REF!</definedName>
    <definedName name="imaor" localSheetId="43">#REF!</definedName>
    <definedName name="imaor" localSheetId="44">#REF!</definedName>
    <definedName name="imaor" localSheetId="39">#REF!</definedName>
    <definedName name="imaor" localSheetId="45">#REF!</definedName>
    <definedName name="imaor">#REF!</definedName>
    <definedName name="IMPORT" localSheetId="43">#REF!</definedName>
    <definedName name="IMPORT" localSheetId="44">#REF!</definedName>
    <definedName name="IMPORT" localSheetId="39">#REF!</definedName>
    <definedName name="IMPORT" localSheetId="45">#REF!</definedName>
    <definedName name="IMPORT">#REF!</definedName>
    <definedName name="imports" localSheetId="43">#REF!</definedName>
    <definedName name="imports" localSheetId="44">#REF!</definedName>
    <definedName name="imports" localSheetId="39">#REF!</definedName>
    <definedName name="imports" localSheetId="45">#REF!</definedName>
    <definedName name="imports">#REF!</definedName>
    <definedName name="imprima" localSheetId="43">#REF!</definedName>
    <definedName name="imprima" localSheetId="44">#REF!</definedName>
    <definedName name="imprima" localSheetId="39">#REF!</definedName>
    <definedName name="imprima" localSheetId="45">#REF!</definedName>
    <definedName name="imprima">#REF!</definedName>
    <definedName name="Imprimir_área_IM" localSheetId="43">#REF!</definedName>
    <definedName name="Imprimir_área_IM" localSheetId="44">#REF!</definedName>
    <definedName name="Imprimir_área_IM" localSheetId="39">#REF!</definedName>
    <definedName name="Imprimir_área_IM" localSheetId="45">#REF!</definedName>
    <definedName name="Imprimir_área_IM">#REF!</definedName>
    <definedName name="IN_OUT" localSheetId="43">#REF!</definedName>
    <definedName name="IN_OUT" localSheetId="44">#REF!</definedName>
    <definedName name="IN_OUT" localSheetId="39">#REF!</definedName>
    <definedName name="IN_OUT" localSheetId="45">#REF!</definedName>
    <definedName name="IN_OUT">#REF!</definedName>
    <definedName name="ind" localSheetId="43">#REF!</definedName>
    <definedName name="ind" localSheetId="44">#REF!</definedName>
    <definedName name="ind" localSheetId="39">#REF!</definedName>
    <definedName name="ind" localSheetId="45">#REF!</definedName>
    <definedName name="ind">#REF!</definedName>
    <definedName name="INDICE" localSheetId="43">[14]Programa!#REF!</definedName>
    <definedName name="INDICE" localSheetId="44">[14]Programa!#REF!</definedName>
    <definedName name="INDICE" localSheetId="39">[14]Programa!#REF!</definedName>
    <definedName name="INDICE" localSheetId="45">[14]Programa!#REF!</definedName>
    <definedName name="INDICE">[14]Programa!#REF!</definedName>
    <definedName name="INE" localSheetId="43">#REF!</definedName>
    <definedName name="INE" localSheetId="44">#REF!</definedName>
    <definedName name="INE" localSheetId="39">#REF!</definedName>
    <definedName name="INE" localSheetId="45">#REF!</definedName>
    <definedName name="INE">#REF!</definedName>
    <definedName name="INECEL" localSheetId="43">#REF!</definedName>
    <definedName name="INECEL" localSheetId="44">#REF!</definedName>
    <definedName name="INECEL" localSheetId="39">#REF!</definedName>
    <definedName name="INECEL" localSheetId="45">#REF!</definedName>
    <definedName name="INECEL">#REF!</definedName>
    <definedName name="INF">[36]SUPUESTOS!A$21</definedName>
    <definedName name="infcom" localSheetId="43">#REF!</definedName>
    <definedName name="infcom" localSheetId="44">#REF!</definedName>
    <definedName name="infcom" localSheetId="39">#REF!</definedName>
    <definedName name="infcom" localSheetId="45">#REF!</definedName>
    <definedName name="infcom" localSheetId="32">#REF!</definedName>
    <definedName name="infcom">#REF!</definedName>
    <definedName name="infest" localSheetId="43">#REF!</definedName>
    <definedName name="infest" localSheetId="44">#REF!</definedName>
    <definedName name="infest" localSheetId="39">#REF!</definedName>
    <definedName name="infest" localSheetId="45">#REF!</definedName>
    <definedName name="infest">#REF!</definedName>
    <definedName name="info" localSheetId="43">[29]WETA!#REF!</definedName>
    <definedName name="info" localSheetId="44">[29]WETA!#REF!</definedName>
    <definedName name="info" localSheetId="39">[29]WETA!#REF!</definedName>
    <definedName name="info" localSheetId="45">[29]WETA!#REF!</definedName>
    <definedName name="info">[29]WETA!#REF!</definedName>
    <definedName name="infobs" localSheetId="43">#REF!</definedName>
    <definedName name="infobs" localSheetId="44">#REF!</definedName>
    <definedName name="infobs" localSheetId="39">#REF!</definedName>
    <definedName name="infobs" localSheetId="45">#REF!</definedName>
    <definedName name="infobs">#REF!</definedName>
    <definedName name="INGRE" localSheetId="43">#REF!</definedName>
    <definedName name="INGRE" localSheetId="44">#REF!</definedName>
    <definedName name="INGRE" localSheetId="39">#REF!</definedName>
    <definedName name="INGRE" localSheetId="45">#REF!</definedName>
    <definedName name="INGRE">#REF!</definedName>
    <definedName name="INPUT_2" localSheetId="43">[15]Input!#REF!</definedName>
    <definedName name="INPUT_2" localSheetId="44">[15]Input!#REF!</definedName>
    <definedName name="INPUT_2" localSheetId="39">[15]Input!#REF!</definedName>
    <definedName name="INPUT_2" localSheetId="45">[15]Input!#REF!</definedName>
    <definedName name="INPUT_2">[15]Input!#REF!</definedName>
    <definedName name="INPUT_4" localSheetId="43">[15]Input!#REF!</definedName>
    <definedName name="INPUT_4" localSheetId="44">[15]Input!#REF!</definedName>
    <definedName name="INPUT_4" localSheetId="39">[15]Input!#REF!</definedName>
    <definedName name="INPUT_4" localSheetId="45">[15]Input!#REF!</definedName>
    <definedName name="INPUT_4">[15]Input!#REF!</definedName>
    <definedName name="Interest_NC" localSheetId="43">[41]NPV_base!#REF!</definedName>
    <definedName name="Interest_NC" localSheetId="44">[41]NPV_base!#REF!</definedName>
    <definedName name="Interest_NC" localSheetId="39">[41]NPV_base!#REF!</definedName>
    <definedName name="Interest_NC" localSheetId="45">[41]NPV_base!#REF!</definedName>
    <definedName name="Interest_NC">[41]NPV_base!#REF!</definedName>
    <definedName name="InterestRate" localSheetId="43">#REF!</definedName>
    <definedName name="InterestRate" localSheetId="44">#REF!</definedName>
    <definedName name="InterestRate" localSheetId="39">#REF!</definedName>
    <definedName name="InterestRate" localSheetId="45">#REF!</definedName>
    <definedName name="InterestRate" localSheetId="32">#REF!</definedName>
    <definedName name="InterestRate">#REF!</definedName>
    <definedName name="ipc" localSheetId="43">#REF!</definedName>
    <definedName name="ipc" localSheetId="44">#REF!</definedName>
    <definedName name="ipc" localSheetId="39">#REF!</definedName>
    <definedName name="ipc" localSheetId="45">#REF!</definedName>
    <definedName name="ipc">#REF!</definedName>
    <definedName name="ipc98j" localSheetId="43">[14]Programa!#REF!</definedName>
    <definedName name="ipc98j" localSheetId="44">[14]Programa!#REF!</definedName>
    <definedName name="ipc98j" localSheetId="39">[14]Programa!#REF!</definedName>
    <definedName name="ipc98j" localSheetId="45">[14]Programa!#REF!</definedName>
    <definedName name="ipc98j">[14]Programa!#REF!</definedName>
    <definedName name="ipc98s" localSheetId="43">#REF!</definedName>
    <definedName name="ipc98s" localSheetId="44">#REF!</definedName>
    <definedName name="ipc98s" localSheetId="39">#REF!</definedName>
    <definedName name="ipc98s" localSheetId="45">#REF!</definedName>
    <definedName name="ipc98s">#REF!</definedName>
    <definedName name="istasap" localSheetId="43">#REF!</definedName>
    <definedName name="istasap" localSheetId="44">#REF!</definedName>
    <definedName name="istasap" localSheetId="39">#REF!</definedName>
    <definedName name="istasap" localSheetId="45">#REF!</definedName>
    <definedName name="istasap">#REF!</definedName>
    <definedName name="istasasa" localSheetId="43">#REF!</definedName>
    <definedName name="istasasa" localSheetId="44">#REF!</definedName>
    <definedName name="istasasa" localSheetId="39">#REF!</definedName>
    <definedName name="istasasa" localSheetId="45">#REF!</definedName>
    <definedName name="istasasa">#REF!</definedName>
    <definedName name="istasasp" localSheetId="43">#REF!</definedName>
    <definedName name="istasasp" localSheetId="44">#REF!</definedName>
    <definedName name="istasasp" localSheetId="39">#REF!</definedName>
    <definedName name="istasasp" localSheetId="45">#REF!</definedName>
    <definedName name="istasasp">#REF!</definedName>
    <definedName name="J" localSheetId="43">#REF!</definedName>
    <definedName name="J" localSheetId="44">#REF!</definedName>
    <definedName name="J" localSheetId="39">#REF!</definedName>
    <definedName name="J" localSheetId="45">#REF!</definedName>
    <definedName name="J">#REF!</definedName>
    <definedName name="jjj" localSheetId="43" hidden="1">[49]M!#REF!</definedName>
    <definedName name="jjj" localSheetId="44" hidden="1">[49]M!#REF!</definedName>
    <definedName name="jjj" localSheetId="39" hidden="1">[49]M!#REF!</definedName>
    <definedName name="jjj" localSheetId="45" hidden="1">[49]M!#REF!</definedName>
    <definedName name="jjj" hidden="1">[49]M!#REF!</definedName>
    <definedName name="jjjjjj" localSheetId="43" hidden="1">'[45]J(Priv.Cap)'!#REF!</definedName>
    <definedName name="jjjjjj" localSheetId="44" hidden="1">'[45]J(Priv.Cap)'!#REF!</definedName>
    <definedName name="jjjjjj" localSheetId="39" hidden="1">'[45]J(Priv.Cap)'!#REF!</definedName>
    <definedName name="jjjjjj" localSheetId="45" hidden="1">'[45]J(Priv.Cap)'!#REF!</definedName>
    <definedName name="jjjjjj" hidden="1">'[45]J(Priv.Cap)'!#REF!</definedName>
    <definedName name="JUL" localSheetId="43">#REF!</definedName>
    <definedName name="JUL" localSheetId="44">#REF!</definedName>
    <definedName name="JUL" localSheetId="39">#REF!</definedName>
    <definedName name="JUL" localSheetId="45">#REF!</definedName>
    <definedName name="JUL">#REF!</definedName>
    <definedName name="JUL.MD5.S" localSheetId="43">[46]MD5!#REF!</definedName>
    <definedName name="JUL.MD5.S" localSheetId="44">[46]MD5!#REF!</definedName>
    <definedName name="JUL.MD5.S" localSheetId="39">[46]MD5!#REF!</definedName>
    <definedName name="JUL.MD5.S" localSheetId="45">[46]MD5!#REF!</definedName>
    <definedName name="JUL.MD5.S">[46]MD5!#REF!</definedName>
    <definedName name="JUN" localSheetId="43">#REF!</definedName>
    <definedName name="JUN" localSheetId="44">#REF!</definedName>
    <definedName name="JUN" localSheetId="39">#REF!</definedName>
    <definedName name="JUN" localSheetId="45">#REF!</definedName>
    <definedName name="JUN" localSheetId="32">#REF!</definedName>
    <definedName name="JUN">#REF!</definedName>
    <definedName name="kkkk" localSheetId="43" hidden="1">[50]M!#REF!</definedName>
    <definedName name="kkkk" localSheetId="44" hidden="1">[50]M!#REF!</definedName>
    <definedName name="kkkk" localSheetId="39" hidden="1">[50]M!#REF!</definedName>
    <definedName name="kkkk" localSheetId="45" hidden="1">[50]M!#REF!</definedName>
    <definedName name="kkkk" hidden="1">[50]M!#REF!</definedName>
    <definedName name="kkkkk" localSheetId="43" hidden="1">'[48]J(Priv.Cap)'!#REF!</definedName>
    <definedName name="kkkkk" localSheetId="44" hidden="1">'[48]J(Priv.Cap)'!#REF!</definedName>
    <definedName name="kkkkk" localSheetId="39" hidden="1">'[48]J(Priv.Cap)'!#REF!</definedName>
    <definedName name="kkkkk" localSheetId="45" hidden="1">'[48]J(Priv.Cap)'!#REF!</definedName>
    <definedName name="kkkkk" hidden="1">'[48]J(Priv.Cap)'!#REF!</definedName>
    <definedName name="l" localSheetId="43">#REF!</definedName>
    <definedName name="l" localSheetId="44">#REF!</definedName>
    <definedName name="l" localSheetId="39">#REF!</definedName>
    <definedName name="l" localSheetId="45">#REF!</definedName>
    <definedName name="l">#REF!</definedName>
    <definedName name="LE" localSheetId="43">[29]WETA!#REF!</definedName>
    <definedName name="LE" localSheetId="44">[29]WETA!#REF!</definedName>
    <definedName name="LE" localSheetId="39">[29]WETA!#REF!</definedName>
    <definedName name="LE" localSheetId="45">[29]WETA!#REF!</definedName>
    <definedName name="LE">[29]WETA!#REF!</definedName>
    <definedName name="LEGC" localSheetId="43">[29]WETA!#REF!</definedName>
    <definedName name="LEGC" localSheetId="44">[29]WETA!#REF!</definedName>
    <definedName name="LEGC" localSheetId="39">[29]WETA!#REF!</definedName>
    <definedName name="LEGC" localSheetId="45">[29]WETA!#REF!</definedName>
    <definedName name="LEGC">[29]WETA!#REF!</definedName>
    <definedName name="LIBOR3">[36]SUPUESTOS!$A$12:$IV$12</definedName>
    <definedName name="LIBOR6">[36]SUPUESTOS!A$11</definedName>
    <definedName name="liqc" localSheetId="43">[14]Programa!#REF!</definedName>
    <definedName name="liqc" localSheetId="44">[14]Programa!#REF!</definedName>
    <definedName name="liqc" localSheetId="39">[14]Programa!#REF!</definedName>
    <definedName name="liqc" localSheetId="45">[14]Programa!#REF!</definedName>
    <definedName name="liqc">[14]Programa!#REF!</definedName>
    <definedName name="liqd" localSheetId="43">[14]Programa!#REF!</definedName>
    <definedName name="liqd" localSheetId="44">[14]Programa!#REF!</definedName>
    <definedName name="liqd" localSheetId="39">[14]Programa!#REF!</definedName>
    <definedName name="liqd" localSheetId="45">[14]Programa!#REF!</definedName>
    <definedName name="liqd">[14]Programa!#REF!</definedName>
    <definedName name="List" localSheetId="41">#REF!</definedName>
    <definedName name="List" localSheetId="43">#REF!</definedName>
    <definedName name="List" localSheetId="44">#REF!</definedName>
    <definedName name="List" localSheetId="39">#REF!</definedName>
    <definedName name="List" localSheetId="40">#REF!</definedName>
    <definedName name="List" localSheetId="13">#REF!</definedName>
    <definedName name="List" localSheetId="5">#REF!</definedName>
    <definedName name="List" localSheetId="45">#REF!</definedName>
    <definedName name="List" localSheetId="32">#REF!</definedName>
    <definedName name="List">#REF!</definedName>
    <definedName name="List2" localSheetId="41">#REF!</definedName>
    <definedName name="List2" localSheetId="43">#REF!</definedName>
    <definedName name="List2" localSheetId="44">#REF!</definedName>
    <definedName name="List2" localSheetId="39">#REF!</definedName>
    <definedName name="List2" localSheetId="40">#REF!</definedName>
    <definedName name="List2" localSheetId="13">#REF!</definedName>
    <definedName name="List2" localSheetId="5">#REF!</definedName>
    <definedName name="List2" localSheetId="45">#REF!</definedName>
    <definedName name="List2" localSheetId="32">#REF!</definedName>
    <definedName name="List2">#REF!</definedName>
    <definedName name="llll" localSheetId="43" hidden="1">[49]M!#REF!</definedName>
    <definedName name="llll" localSheetId="44" hidden="1">[49]M!#REF!</definedName>
    <definedName name="llll" localSheetId="39" hidden="1">[49]M!#REF!</definedName>
    <definedName name="llll" localSheetId="45" hidden="1">[49]M!#REF!</definedName>
    <definedName name="llll" hidden="1">[49]M!#REF!</definedName>
    <definedName name="LP" localSheetId="43">[29]WETA!#REF!</definedName>
    <definedName name="LP" localSheetId="44">[29]WETA!#REF!</definedName>
    <definedName name="LP" localSheetId="39">[29]WETA!#REF!</definedName>
    <definedName name="LP" localSheetId="45">[29]WETA!#REF!</definedName>
    <definedName name="LP">[29]WETA!#REF!</definedName>
    <definedName name="LUR">#N/A</definedName>
    <definedName name="m">#N/A</definedName>
    <definedName name="MACRO" localSheetId="43">#REF!</definedName>
    <definedName name="MACRO" localSheetId="44">#REF!</definedName>
    <definedName name="MACRO" localSheetId="39">#REF!</definedName>
    <definedName name="MACRO" localSheetId="45">#REF!</definedName>
    <definedName name="MACRO">#REF!</definedName>
    <definedName name="MACROINPUT" localSheetId="43">#REF!</definedName>
    <definedName name="MACROINPUT" localSheetId="44">#REF!</definedName>
    <definedName name="MACROINPUT" localSheetId="39">#REF!</definedName>
    <definedName name="MACROINPUT" localSheetId="45">#REF!</definedName>
    <definedName name="MACROINPUT">#REF!</definedName>
    <definedName name="MACROS">[27]contents!$A$114</definedName>
    <definedName name="Malaysia" localSheetId="43">#REF!</definedName>
    <definedName name="Malaysia" localSheetId="44">#REF!</definedName>
    <definedName name="Malaysia" localSheetId="39">#REF!</definedName>
    <definedName name="Malaysia" localSheetId="45">#REF!</definedName>
    <definedName name="Malaysia" localSheetId="32">#REF!</definedName>
    <definedName name="Malaysia">#REF!</definedName>
    <definedName name="mar" localSheetId="43">[14]Programa!#REF!</definedName>
    <definedName name="mar" localSheetId="44">[14]Programa!#REF!</definedName>
    <definedName name="mar" localSheetId="39">[14]Programa!#REF!</definedName>
    <definedName name="mar" localSheetId="45">[14]Programa!#REF!</definedName>
    <definedName name="mar" localSheetId="32">[14]Programa!#REF!</definedName>
    <definedName name="mar">[14]Programa!#REF!</definedName>
    <definedName name="MARI" localSheetId="43">#REF!</definedName>
    <definedName name="MARI" localSheetId="44">#REF!</definedName>
    <definedName name="MARI" localSheetId="39">#REF!</definedName>
    <definedName name="MARI" localSheetId="45">#REF!</definedName>
    <definedName name="MARI" localSheetId="32">#REF!</definedName>
    <definedName name="MARI">#REF!</definedName>
    <definedName name="Maturity_NC" localSheetId="43">[41]NPV_base!#REF!</definedName>
    <definedName name="Maturity_NC" localSheetId="44">[41]NPV_base!#REF!</definedName>
    <definedName name="Maturity_NC" localSheetId="39">[41]NPV_base!#REF!</definedName>
    <definedName name="Maturity_NC" localSheetId="45">[41]NPV_base!#REF!</definedName>
    <definedName name="Maturity_NC" localSheetId="32">[41]NPV_base!#REF!</definedName>
    <definedName name="Maturity_NC">[41]NPV_base!#REF!</definedName>
    <definedName name="maxe1" localSheetId="43">#REF!</definedName>
    <definedName name="maxe1" localSheetId="44">#REF!</definedName>
    <definedName name="maxe1" localSheetId="39">#REF!</definedName>
    <definedName name="maxe1" localSheetId="45">#REF!</definedName>
    <definedName name="maxe1" localSheetId="32">#REF!</definedName>
    <definedName name="maxe1">#REF!</definedName>
    <definedName name="maxe2" localSheetId="43">#REF!</definedName>
    <definedName name="maxe2" localSheetId="44">#REF!</definedName>
    <definedName name="maxe2" localSheetId="39">#REF!</definedName>
    <definedName name="maxe2" localSheetId="45">#REF!</definedName>
    <definedName name="maxe2">#REF!</definedName>
    <definedName name="maxf1" localSheetId="43">#REF!</definedName>
    <definedName name="maxf1" localSheetId="44">#REF!</definedName>
    <definedName name="maxf1" localSheetId="39">#REF!</definedName>
    <definedName name="maxf1" localSheetId="45">#REF!</definedName>
    <definedName name="maxf1">#REF!</definedName>
    <definedName name="maxf2" localSheetId="43">#REF!</definedName>
    <definedName name="maxf2" localSheetId="44">#REF!</definedName>
    <definedName name="maxf2" localSheetId="39">#REF!</definedName>
    <definedName name="maxf2" localSheetId="45">#REF!</definedName>
    <definedName name="maxf2">#REF!</definedName>
    <definedName name="maxp1" localSheetId="43">#REF!</definedName>
    <definedName name="maxp1" localSheetId="44">#REF!</definedName>
    <definedName name="maxp1" localSheetId="39">#REF!</definedName>
    <definedName name="maxp1" localSheetId="45">#REF!</definedName>
    <definedName name="maxp1">#REF!</definedName>
    <definedName name="maxp2" localSheetId="43">#REF!</definedName>
    <definedName name="maxp2" localSheetId="44">#REF!</definedName>
    <definedName name="maxp2" localSheetId="39">#REF!</definedName>
    <definedName name="maxp2" localSheetId="45">#REF!</definedName>
    <definedName name="maxp2">#REF!</definedName>
    <definedName name="may" localSheetId="43">[14]Programa!#REF!</definedName>
    <definedName name="may" localSheetId="44">[14]Programa!#REF!</definedName>
    <definedName name="may" localSheetId="39">[14]Programa!#REF!</definedName>
    <definedName name="may" localSheetId="45">[14]Programa!#REF!</definedName>
    <definedName name="may">[14]Programa!#REF!</definedName>
    <definedName name="MCV">[19]Q2!$E$63:$AH$63</definedName>
    <definedName name="MCV_B">#N/A</definedName>
    <definedName name="MCV_B1">[22]WEOQ6!$E$161:$AH$161</definedName>
    <definedName name="MCV_D">#N/A</definedName>
    <definedName name="MCV_D1">[22]WEOQ7!$E$59:$AH$59</definedName>
    <definedName name="MCV_N">#N/A</definedName>
    <definedName name="MCV_T">#N/A</definedName>
    <definedName name="MCV_T1">[22]WEOQ5!$E$104:$AH$104</definedName>
    <definedName name="MENORES" localSheetId="43">#REF!</definedName>
    <definedName name="MENORES" localSheetId="44">#REF!</definedName>
    <definedName name="MENORES" localSheetId="39">#REF!</definedName>
    <definedName name="MENORES" localSheetId="45">#REF!</definedName>
    <definedName name="MENORES" localSheetId="32">#REF!</definedName>
    <definedName name="MENORES">#REF!</definedName>
    <definedName name="mes" localSheetId="43">#REF!</definedName>
    <definedName name="mes" localSheetId="44">#REF!</definedName>
    <definedName name="mes" localSheetId="39">#REF!</definedName>
    <definedName name="mes" localSheetId="45">#REF!</definedName>
    <definedName name="mes">#REF!</definedName>
    <definedName name="meses_" localSheetId="43">#REF!</definedName>
    <definedName name="meses_" localSheetId="44">#REF!</definedName>
    <definedName name="meses_" localSheetId="39">#REF!</definedName>
    <definedName name="meses_" localSheetId="45">#REF!</definedName>
    <definedName name="meses_">#REF!</definedName>
    <definedName name="metas">[13]Metas!$A$2:$AU$57</definedName>
    <definedName name="MFISCAL" localSheetId="43">'[20]Annual Raw Data'!#REF!</definedName>
    <definedName name="MFISCAL" localSheetId="44">'[20]Annual Raw Data'!#REF!</definedName>
    <definedName name="MFISCAL" localSheetId="39">'[20]Annual Raw Data'!#REF!</definedName>
    <definedName name="MFISCAL" localSheetId="45">'[20]Annual Raw Data'!#REF!</definedName>
    <definedName name="MFISCAL">'[20]Annual Raw Data'!#REF!</definedName>
    <definedName name="mflowsa" localSheetId="43">[12]!mflowsa</definedName>
    <definedName name="mflowsa" localSheetId="44">[12]!mflowsa</definedName>
    <definedName name="mflowsa" localSheetId="39">[12]!mflowsa</definedName>
    <definedName name="mflowsa" localSheetId="45">[12]!mflowsa</definedName>
    <definedName name="mflowsa">[12]!mflowsa</definedName>
    <definedName name="mflowsq" localSheetId="43">[12]!mflowsq</definedName>
    <definedName name="mflowsq" localSheetId="44">[12]!mflowsq</definedName>
    <definedName name="mflowsq" localSheetId="39">[12]!mflowsq</definedName>
    <definedName name="mflowsq" localSheetId="45">[12]!mflowsq</definedName>
    <definedName name="mflowsq">[12]!mflowsq</definedName>
    <definedName name="MICRO" localSheetId="43">#REF!</definedName>
    <definedName name="MICRO" localSheetId="44">#REF!</definedName>
    <definedName name="MICRO" localSheetId="39">#REF!</definedName>
    <definedName name="MICRO" localSheetId="45">#REF!</definedName>
    <definedName name="MICRO">#REF!</definedName>
    <definedName name="MIDDLE" localSheetId="43">#REF!</definedName>
    <definedName name="MIDDLE" localSheetId="44">#REF!</definedName>
    <definedName name="MIDDLE" localSheetId="39">#REF!</definedName>
    <definedName name="MIDDLE" localSheetId="45">#REF!</definedName>
    <definedName name="MIDDLE">#REF!</definedName>
    <definedName name="MISC3" localSheetId="43">#REF!</definedName>
    <definedName name="MISC3" localSheetId="44">#REF!</definedName>
    <definedName name="MISC3" localSheetId="39">#REF!</definedName>
    <definedName name="MISC3" localSheetId="45">#REF!</definedName>
    <definedName name="MISC3">#REF!</definedName>
    <definedName name="MISC4" localSheetId="43">[15]OUTPUT!#REF!</definedName>
    <definedName name="MISC4" localSheetId="44">[15]OUTPUT!#REF!</definedName>
    <definedName name="MISC4" localSheetId="39">[15]OUTPUT!#REF!</definedName>
    <definedName name="MISC4" localSheetId="45">[15]OUTPUT!#REF!</definedName>
    <definedName name="MISC4">[15]OUTPUT!#REF!</definedName>
    <definedName name="Modality" localSheetId="42">#REF!</definedName>
    <definedName name="Modality" localSheetId="45">#REF!</definedName>
    <definedName name="Modality">#REF!</definedName>
    <definedName name="MON_SM" localSheetId="43">#REF!</definedName>
    <definedName name="MON_SM" localSheetId="44">#REF!</definedName>
    <definedName name="MON_SM" localSheetId="39">#REF!</definedName>
    <definedName name="MON_SM" localSheetId="45">#REF!</definedName>
    <definedName name="MON_SM">#REF!</definedName>
    <definedName name="MONF_SM" localSheetId="43">#REF!</definedName>
    <definedName name="MONF_SM" localSheetId="44">#REF!</definedName>
    <definedName name="MONF_SM" localSheetId="39">#REF!</definedName>
    <definedName name="MONF_SM" localSheetId="45">#REF!</definedName>
    <definedName name="MONF_SM">#REF!</definedName>
    <definedName name="mstocksa" localSheetId="43">[12]!mstocksa</definedName>
    <definedName name="mstocksa" localSheetId="44">[12]!mstocksa</definedName>
    <definedName name="mstocksa" localSheetId="39">[12]!mstocksa</definedName>
    <definedName name="mstocksa" localSheetId="45">[12]!mstocksa</definedName>
    <definedName name="mstocksa">[12]!mstocksa</definedName>
    <definedName name="mstocksq" localSheetId="43">[12]!mstocksq</definedName>
    <definedName name="mstocksq" localSheetId="44">[12]!mstocksq</definedName>
    <definedName name="mstocksq" localSheetId="39">[12]!mstocksq</definedName>
    <definedName name="mstocksq" localSheetId="45">[12]!mstocksq</definedName>
    <definedName name="mstocksq">[12]!mstocksq</definedName>
    <definedName name="Municipios" localSheetId="43">#REF!</definedName>
    <definedName name="Municipios" localSheetId="44">#REF!</definedName>
    <definedName name="Municipios" localSheetId="39">#REF!</definedName>
    <definedName name="Municipios" localSheetId="45">#REF!</definedName>
    <definedName name="Municipios">#REF!</definedName>
    <definedName name="names" localSheetId="43">#REF!</definedName>
    <definedName name="names" localSheetId="44">#REF!</definedName>
    <definedName name="names" localSheetId="39">#REF!</definedName>
    <definedName name="names" localSheetId="45">#REF!</definedName>
    <definedName name="names">#REF!</definedName>
    <definedName name="NAMES_A" localSheetId="43">#REF!</definedName>
    <definedName name="NAMES_A" localSheetId="44">#REF!</definedName>
    <definedName name="NAMES_A" localSheetId="39">#REF!</definedName>
    <definedName name="NAMES_A" localSheetId="45">#REF!</definedName>
    <definedName name="NAMES_A">#REF!</definedName>
    <definedName name="names_w" localSheetId="43">#REF!</definedName>
    <definedName name="names_w" localSheetId="44">#REF!</definedName>
    <definedName name="names_w" localSheetId="39">#REF!</definedName>
    <definedName name="names_w" localSheetId="45">#REF!</definedName>
    <definedName name="names_w">#REF!</definedName>
    <definedName name="NCG">#N/A</definedName>
    <definedName name="NCG_R">#N/A</definedName>
    <definedName name="NCP">#N/A</definedName>
    <definedName name="NCP_R">#N/A</definedName>
    <definedName name="NFI">#N/A</definedName>
    <definedName name="NFI_R">#N/A</definedName>
    <definedName name="NFIP" localSheetId="43">[29]WETA!#REF!</definedName>
    <definedName name="NFIP" localSheetId="44">[29]WETA!#REF!</definedName>
    <definedName name="NFIP" localSheetId="39">[29]WETA!#REF!</definedName>
    <definedName name="NFIP" localSheetId="45">[29]WETA!#REF!</definedName>
    <definedName name="NFIP">[29]WETA!#REF!</definedName>
    <definedName name="nfrtrs" hidden="1">[2]WB!$Q$257:$AK$257</definedName>
    <definedName name="NGDP">[19]Q2!$E$47:$AH$47</definedName>
    <definedName name="NGDP_DG">#N/A</definedName>
    <definedName name="NGDP_R">#N/A</definedName>
    <definedName name="NGDP_RG">#N/A</definedName>
    <definedName name="NGDPA" localSheetId="43">#REF!</definedName>
    <definedName name="NGDPA" localSheetId="44">#REF!</definedName>
    <definedName name="NGDPA" localSheetId="39">#REF!</definedName>
    <definedName name="NGDPA" localSheetId="45">#REF!</definedName>
    <definedName name="NGDPA">#REF!</definedName>
    <definedName name="NGNI" localSheetId="43">[29]WETA!#REF!</definedName>
    <definedName name="NGNI" localSheetId="44">[29]WETA!#REF!</definedName>
    <definedName name="NGNI" localSheetId="39">[29]WETA!#REF!</definedName>
    <definedName name="NGNI" localSheetId="45">[29]WETA!#REF!</definedName>
    <definedName name="NGNI">[29]WETA!#REF!</definedName>
    <definedName name="NGPXO" localSheetId="43">[29]WETA!#REF!</definedName>
    <definedName name="NGPXO" localSheetId="44">[29]WETA!#REF!</definedName>
    <definedName name="NGPXO" localSheetId="39">[29]WETA!#REF!</definedName>
    <definedName name="NGPXO" localSheetId="45">[29]WETA!#REF!</definedName>
    <definedName name="NGPXO">[29]WETA!#REF!</definedName>
    <definedName name="NGPXO_R" localSheetId="43">[29]WETA!#REF!</definedName>
    <definedName name="NGPXO_R" localSheetId="44">[29]WETA!#REF!</definedName>
    <definedName name="NGPXO_R" localSheetId="39">[29]WETA!#REF!</definedName>
    <definedName name="NGPXO_R" localSheetId="45">[29]WETA!#REF!</definedName>
    <definedName name="NGPXO_R">[29]WETA!#REF!</definedName>
    <definedName name="NGS_NGDP">#N/A</definedName>
    <definedName name="NINV">#N/A</definedName>
    <definedName name="NINV_R">#N/A</definedName>
    <definedName name="NM">#N/A</definedName>
    <definedName name="NM_R">#N/A</definedName>
    <definedName name="NMG" localSheetId="43">[29]WETA!#REF!</definedName>
    <definedName name="NMG" localSheetId="44">[29]WETA!#REF!</definedName>
    <definedName name="NMG" localSheetId="39">[29]WETA!#REF!</definedName>
    <definedName name="NMG" localSheetId="45">[29]WETA!#REF!</definedName>
    <definedName name="NMG">[29]WETA!#REF!</definedName>
    <definedName name="NMG_R" localSheetId="43">[29]WETA!#REF!</definedName>
    <definedName name="NMG_R" localSheetId="44">[29]WETA!#REF!</definedName>
    <definedName name="NMG_R" localSheetId="39">[29]WETA!#REF!</definedName>
    <definedName name="NMG_R" localSheetId="45">[29]WETA!#REF!</definedName>
    <definedName name="NMG_R">[29]WETA!#REF!</definedName>
    <definedName name="NMG_RG">#N/A</definedName>
    <definedName name="nn" localSheetId="3">[43]Codes!$A$2</definedName>
    <definedName name="nn" localSheetId="32">[43]Codes!$A$2</definedName>
    <definedName name="nn">[43]Codes!$A$2</definedName>
    <definedName name="NNAMES" localSheetId="43">[29]WETA!#REF!</definedName>
    <definedName name="NNAMES" localSheetId="44">[29]WETA!#REF!</definedName>
    <definedName name="NNAMES" localSheetId="39">[29]WETA!#REF!</definedName>
    <definedName name="NNAMES" localSheetId="45">[29]WETA!#REF!</definedName>
    <definedName name="NNAMES">[29]WETA!#REF!</definedName>
    <definedName name="nnnnn">#N/A</definedName>
    <definedName name="NORMAL">[51]normal!$A$1:$O$125,[51]normal!$A$125:$O$131</definedName>
    <definedName name="NOTAS" localSheetId="43">#REF!</definedName>
    <definedName name="NOTAS" localSheetId="44">#REF!</definedName>
    <definedName name="NOTAS" localSheetId="39">#REF!</definedName>
    <definedName name="NOTAS" localSheetId="45">#REF!</definedName>
    <definedName name="NOTAS" localSheetId="32">#REF!</definedName>
    <definedName name="NOTAS">#REF!</definedName>
    <definedName name="NOV" localSheetId="43">#REF!</definedName>
    <definedName name="NOV" localSheetId="44">#REF!</definedName>
    <definedName name="NOV" localSheetId="39">#REF!</definedName>
    <definedName name="NOV" localSheetId="45">#REF!</definedName>
    <definedName name="NOV">#REF!</definedName>
    <definedName name="NTDD_RG">#N/A</definedName>
    <definedName name="NX">#N/A</definedName>
    <definedName name="NX_R">#N/A</definedName>
    <definedName name="NXG" localSheetId="43">[29]WETA!#REF!</definedName>
    <definedName name="NXG" localSheetId="44">[29]WETA!#REF!</definedName>
    <definedName name="NXG" localSheetId="39">[29]WETA!#REF!</definedName>
    <definedName name="NXG" localSheetId="45">[29]WETA!#REF!</definedName>
    <definedName name="NXG">[29]WETA!#REF!</definedName>
    <definedName name="NXG_R" localSheetId="43">[29]WETA!#REF!</definedName>
    <definedName name="NXG_R" localSheetId="44">[29]WETA!#REF!</definedName>
    <definedName name="NXG_R" localSheetId="39">[29]WETA!#REF!</definedName>
    <definedName name="NXG_R" localSheetId="45">[29]WETA!#REF!</definedName>
    <definedName name="NXG_R">[29]WETA!#REF!</definedName>
    <definedName name="NXG_RG">#N/A</definedName>
    <definedName name="OCT" localSheetId="43">#REF!</definedName>
    <definedName name="OCT" localSheetId="44">#REF!</definedName>
    <definedName name="OCT" localSheetId="39">#REF!</definedName>
    <definedName name="OCT" localSheetId="45">#REF!</definedName>
    <definedName name="OCT">#REF!</definedName>
    <definedName name="OnShow">#N/A</definedName>
    <definedName name="ORIG" localSheetId="43">[24]Sum1!#REF!</definedName>
    <definedName name="ORIG" localSheetId="44">[24]Sum1!#REF!</definedName>
    <definedName name="ORIG" localSheetId="39">[24]Sum1!#REF!</definedName>
    <definedName name="ORIG" localSheetId="45">[24]Sum1!#REF!</definedName>
    <definedName name="ORIG">[24]Sum1!#REF!</definedName>
    <definedName name="Otras_Residuales" localSheetId="43">#REF!</definedName>
    <definedName name="Otras_Residuales" localSheetId="44">#REF!</definedName>
    <definedName name="Otras_Residuales" localSheetId="39">#REF!</definedName>
    <definedName name="Otras_Residuales" localSheetId="45">#REF!</definedName>
    <definedName name="Otras_Residuales">#REF!</definedName>
    <definedName name="otros2000" localSheetId="43">#REF!</definedName>
    <definedName name="otros2000" localSheetId="44">#REF!</definedName>
    <definedName name="otros2000" localSheetId="39">#REF!</definedName>
    <definedName name="otros2000" localSheetId="45">#REF!</definedName>
    <definedName name="otros2000">#REF!</definedName>
    <definedName name="otros2001" localSheetId="43">#REF!</definedName>
    <definedName name="otros2001" localSheetId="44">#REF!</definedName>
    <definedName name="otros2001" localSheetId="39">#REF!</definedName>
    <definedName name="otros2001" localSheetId="45">#REF!</definedName>
    <definedName name="otros2001">#REF!</definedName>
    <definedName name="otros2002" localSheetId="43">#REF!</definedName>
    <definedName name="otros2002" localSheetId="44">#REF!</definedName>
    <definedName name="otros2002" localSheetId="39">#REF!</definedName>
    <definedName name="otros2002" localSheetId="45">#REF!</definedName>
    <definedName name="otros2002">#REF!</definedName>
    <definedName name="otros2003" localSheetId="43">#REF!</definedName>
    <definedName name="otros2003" localSheetId="44">#REF!</definedName>
    <definedName name="otros2003" localSheetId="39">#REF!</definedName>
    <definedName name="otros2003" localSheetId="45">#REF!</definedName>
    <definedName name="otros2003">#REF!</definedName>
    <definedName name="otros2004" localSheetId="43">[16]Programa!#REF!</definedName>
    <definedName name="otros2004" localSheetId="44">[16]Programa!#REF!</definedName>
    <definedName name="otros2004" localSheetId="39">[16]Programa!#REF!</definedName>
    <definedName name="otros2004" localSheetId="45">[16]Programa!#REF!</definedName>
    <definedName name="otros2004">[16]Programa!#REF!</definedName>
    <definedName name="otros2005" localSheetId="43">[16]Programa!#REF!</definedName>
    <definedName name="otros2005" localSheetId="44">[16]Programa!#REF!</definedName>
    <definedName name="otros2005" localSheetId="39">[16]Programa!#REF!</definedName>
    <definedName name="otros2005" localSheetId="45">[16]Programa!#REF!</definedName>
    <definedName name="otros2005">[16]Programa!#REF!</definedName>
    <definedName name="otros98" localSheetId="43">[14]Programa!#REF!</definedName>
    <definedName name="otros98" localSheetId="44">[14]Programa!#REF!</definedName>
    <definedName name="otros98" localSheetId="39">[14]Programa!#REF!</definedName>
    <definedName name="otros98" localSheetId="45">[14]Programa!#REF!</definedName>
    <definedName name="otros98">[14]Programa!#REF!</definedName>
    <definedName name="otros98j" localSheetId="43">[14]Programa!#REF!</definedName>
    <definedName name="otros98j" localSheetId="44">[14]Programa!#REF!</definedName>
    <definedName name="otros98j" localSheetId="39">[14]Programa!#REF!</definedName>
    <definedName name="otros98j" localSheetId="45">[14]Programa!#REF!</definedName>
    <definedName name="otros98j">[14]Programa!#REF!</definedName>
    <definedName name="otros98s" localSheetId="43">#REF!</definedName>
    <definedName name="otros98s" localSheetId="44">#REF!</definedName>
    <definedName name="otros98s" localSheetId="39">#REF!</definedName>
    <definedName name="otros98s" localSheetId="45">#REF!</definedName>
    <definedName name="otros98s">#REF!</definedName>
    <definedName name="otros99" localSheetId="43">#REF!</definedName>
    <definedName name="otros99" localSheetId="44">#REF!</definedName>
    <definedName name="otros99" localSheetId="39">#REF!</definedName>
    <definedName name="otros99" localSheetId="45">#REF!</definedName>
    <definedName name="otros99">#REF!</definedName>
    <definedName name="pared" localSheetId="43">#REF!</definedName>
    <definedName name="pared" localSheetId="44">#REF!</definedName>
    <definedName name="pared" localSheetId="39">#REF!</definedName>
    <definedName name="pared" localSheetId="45">#REF!</definedName>
    <definedName name="pared">#REF!</definedName>
    <definedName name="PASA" localSheetId="43">#REF!</definedName>
    <definedName name="PASA" localSheetId="44">#REF!</definedName>
    <definedName name="PASA" localSheetId="39">#REF!</definedName>
    <definedName name="PASA" localSheetId="45">#REF!</definedName>
    <definedName name="PASA">#REF!</definedName>
    <definedName name="pase" localSheetId="43">#REF!</definedName>
    <definedName name="pase" localSheetId="44">#REF!</definedName>
    <definedName name="pase" localSheetId="39">#REF!</definedName>
    <definedName name="pase" localSheetId="45">#REF!</definedName>
    <definedName name="pase">#REF!</definedName>
    <definedName name="pasfcoma" localSheetId="43">#REF!</definedName>
    <definedName name="pasfcoma" localSheetId="44">#REF!</definedName>
    <definedName name="pasfcoma" localSheetId="39">#REF!</definedName>
    <definedName name="pasfcoma" localSheetId="45">#REF!</definedName>
    <definedName name="pasfcoma">#REF!</definedName>
    <definedName name="pasivas" localSheetId="43">#REF!</definedName>
    <definedName name="pasivas" localSheetId="44">#REF!</definedName>
    <definedName name="pasivas" localSheetId="39">#REF!</definedName>
    <definedName name="pasivas" localSheetId="45">#REF!</definedName>
    <definedName name="pasivas">#REF!</definedName>
    <definedName name="Path_Data" localSheetId="43">#REF!</definedName>
    <definedName name="Path_Data" localSheetId="44">#REF!</definedName>
    <definedName name="Path_Data" localSheetId="39">#REF!</definedName>
    <definedName name="Path_Data" localSheetId="45">#REF!</definedName>
    <definedName name="Path_Data">#REF!</definedName>
    <definedName name="Path_System" localSheetId="43">#REF!</definedName>
    <definedName name="Path_System" localSheetId="44">#REF!</definedName>
    <definedName name="Path_System" localSheetId="39">#REF!</definedName>
    <definedName name="Path_System" localSheetId="45">#REF!</definedName>
    <definedName name="Path_System">#REF!</definedName>
    <definedName name="pchBMG">[22]WEOQ6!$E$28:$AH$28</definedName>
    <definedName name="pchBXG">[22]WEOQ6!$E$20:$AH$20</definedName>
    <definedName name="PCPI" localSheetId="43">[29]WETA!#REF!</definedName>
    <definedName name="PCPI" localSheetId="44">[29]WETA!#REF!</definedName>
    <definedName name="PCPI" localSheetId="39">[29]WETA!#REF!</definedName>
    <definedName name="PCPI" localSheetId="45">[29]WETA!#REF!</definedName>
    <definedName name="PCPI">[29]WETA!#REF!</definedName>
    <definedName name="PCPIE" localSheetId="43">[29]WETA!#REF!</definedName>
    <definedName name="PCPIE" localSheetId="44">[29]WETA!#REF!</definedName>
    <definedName name="PCPIE" localSheetId="39">[29]WETA!#REF!</definedName>
    <definedName name="PCPIE" localSheetId="45">[29]WETA!#REF!</definedName>
    <definedName name="PCPIE">[29]WETA!#REF!</definedName>
    <definedName name="PCPIG">#N/A</definedName>
    <definedName name="Petroecuador" localSheetId="43">#REF!</definedName>
    <definedName name="Petroecuador" localSheetId="44">#REF!</definedName>
    <definedName name="Petroecuador" localSheetId="39">#REF!</definedName>
    <definedName name="Petroecuador" localSheetId="45">#REF!</definedName>
    <definedName name="Petroecuador">#REF!</definedName>
    <definedName name="PEX">[36]SUPUESTOS!A$14</definedName>
    <definedName name="pib" localSheetId="43">'[52]GC-SPCR_MEFP1986(Fuente)'!#REF!</definedName>
    <definedName name="pib" localSheetId="44">'[52]GC-SPCR_MEFP1986(Fuente)'!#REF!</definedName>
    <definedName name="pib" localSheetId="39">'[52]GC-SPCR_MEFP1986(Fuente)'!#REF!</definedName>
    <definedName name="pib" localSheetId="45">'[52]GC-SPCR_MEFP1986(Fuente)'!#REF!</definedName>
    <definedName name="pib">'[52]GC-SPCR_MEFP1986(Fuente)'!#REF!</definedName>
    <definedName name="pib_int" localSheetId="43">#REF!</definedName>
    <definedName name="pib_int" localSheetId="44">#REF!</definedName>
    <definedName name="pib_int" localSheetId="39">#REF!</definedName>
    <definedName name="pib_int" localSheetId="45">#REF!</definedName>
    <definedName name="pib_int" localSheetId="32">#REF!</definedName>
    <definedName name="pib_int">#REF!</definedName>
    <definedName name="pib98j" localSheetId="43">[14]Programa!#REF!</definedName>
    <definedName name="pib98j" localSheetId="44">[14]Programa!#REF!</definedName>
    <definedName name="pib98j" localSheetId="39">[14]Programa!#REF!</definedName>
    <definedName name="pib98j" localSheetId="45">[14]Programa!#REF!</definedName>
    <definedName name="pib98j" localSheetId="32">[14]Programa!#REF!</definedName>
    <definedName name="pib98j">[14]Programa!#REF!</definedName>
    <definedName name="pib98s" localSheetId="43">[14]Programa!#REF!</definedName>
    <definedName name="pib98s" localSheetId="44">[14]Programa!#REF!</definedName>
    <definedName name="pib98s" localSheetId="39">[14]Programa!#REF!</definedName>
    <definedName name="pib98s" localSheetId="45">[14]Programa!#REF!</definedName>
    <definedName name="pib98s">[14]Programa!#REF!</definedName>
    <definedName name="PIBporSECT" localSheetId="43">#REF!</definedName>
    <definedName name="PIBporSECT" localSheetId="44">#REF!</definedName>
    <definedName name="PIBporSECT" localSheetId="39">#REF!</definedName>
    <definedName name="PIBporSECT" localSheetId="45">#REF!</definedName>
    <definedName name="PIBporSECT">#REF!</definedName>
    <definedName name="plame" localSheetId="43">#REF!</definedName>
    <definedName name="plame" localSheetId="44">#REF!</definedName>
    <definedName name="plame" localSheetId="39">#REF!</definedName>
    <definedName name="plame" localSheetId="45">#REF!</definedName>
    <definedName name="plame">#REF!</definedName>
    <definedName name="plame2000" localSheetId="43">#REF!</definedName>
    <definedName name="plame2000" localSheetId="44">#REF!</definedName>
    <definedName name="plame2000" localSheetId="39">#REF!</definedName>
    <definedName name="plame2000" localSheetId="45">#REF!</definedName>
    <definedName name="plame2000">#REF!</definedName>
    <definedName name="plame2001" localSheetId="43">#REF!</definedName>
    <definedName name="plame2001" localSheetId="44">#REF!</definedName>
    <definedName name="plame2001" localSheetId="39">#REF!</definedName>
    <definedName name="plame2001" localSheetId="45">#REF!</definedName>
    <definedName name="plame2001">#REF!</definedName>
    <definedName name="plame2002" localSheetId="43">#REF!</definedName>
    <definedName name="plame2002" localSheetId="44">#REF!</definedName>
    <definedName name="plame2002" localSheetId="39">#REF!</definedName>
    <definedName name="plame2002" localSheetId="45">#REF!</definedName>
    <definedName name="plame2002">#REF!</definedName>
    <definedName name="plame2003" localSheetId="43">#REF!</definedName>
    <definedName name="plame2003" localSheetId="44">#REF!</definedName>
    <definedName name="plame2003" localSheetId="39">#REF!</definedName>
    <definedName name="plame2003" localSheetId="45">#REF!</definedName>
    <definedName name="plame2003">#REF!</definedName>
    <definedName name="plame2004" localSheetId="43">[16]Programa!#REF!</definedName>
    <definedName name="plame2004" localSheetId="44">[16]Programa!#REF!</definedName>
    <definedName name="plame2004" localSheetId="39">[16]Programa!#REF!</definedName>
    <definedName name="plame2004" localSheetId="45">[16]Programa!#REF!</definedName>
    <definedName name="plame2004">[16]Programa!#REF!</definedName>
    <definedName name="plame2005" localSheetId="43">[16]Programa!#REF!</definedName>
    <definedName name="plame2005" localSheetId="44">[16]Programa!#REF!</definedName>
    <definedName name="plame2005" localSheetId="39">[16]Programa!#REF!</definedName>
    <definedName name="plame2005" localSheetId="45">[16]Programa!#REF!</definedName>
    <definedName name="plame2005">[16]Programa!#REF!</definedName>
    <definedName name="plame98" localSheetId="43">[14]Programa!#REF!</definedName>
    <definedName name="plame98" localSheetId="44">[14]Programa!#REF!</definedName>
    <definedName name="plame98" localSheetId="39">[14]Programa!#REF!</definedName>
    <definedName name="plame98" localSheetId="45">[14]Programa!#REF!</definedName>
    <definedName name="plame98">[14]Programa!#REF!</definedName>
    <definedName name="plame98j" localSheetId="43">[14]Programa!#REF!</definedName>
    <definedName name="plame98j" localSheetId="44">[14]Programa!#REF!</definedName>
    <definedName name="plame98j" localSheetId="39">[14]Programa!#REF!</definedName>
    <definedName name="plame98j" localSheetId="45">[14]Programa!#REF!</definedName>
    <definedName name="plame98j">[14]Programa!#REF!</definedName>
    <definedName name="plame98s" localSheetId="43">#REF!</definedName>
    <definedName name="plame98s" localSheetId="44">#REF!</definedName>
    <definedName name="plame98s" localSheetId="39">#REF!</definedName>
    <definedName name="plame98s" localSheetId="45">#REF!</definedName>
    <definedName name="plame98s">#REF!</definedName>
    <definedName name="plame99" localSheetId="43">#REF!</definedName>
    <definedName name="plame99" localSheetId="44">#REF!</definedName>
    <definedName name="plame99" localSheetId="39">#REF!</definedName>
    <definedName name="plame99" localSheetId="45">#REF!</definedName>
    <definedName name="plame99">#REF!</definedName>
    <definedName name="plazo" localSheetId="43">#REF!</definedName>
    <definedName name="plazo" localSheetId="44">#REF!</definedName>
    <definedName name="plazo" localSheetId="39">#REF!</definedName>
    <definedName name="plazo" localSheetId="45">#REF!</definedName>
    <definedName name="plazo">#REF!</definedName>
    <definedName name="plazo2000" localSheetId="43">#REF!</definedName>
    <definedName name="plazo2000" localSheetId="44">#REF!</definedName>
    <definedName name="plazo2000" localSheetId="39">#REF!</definedName>
    <definedName name="plazo2000" localSheetId="45">#REF!</definedName>
    <definedName name="plazo2000">#REF!</definedName>
    <definedName name="plazo2001" localSheetId="43">#REF!</definedName>
    <definedName name="plazo2001" localSheetId="44">#REF!</definedName>
    <definedName name="plazo2001" localSheetId="39">#REF!</definedName>
    <definedName name="plazo2001" localSheetId="45">#REF!</definedName>
    <definedName name="plazo2001">#REF!</definedName>
    <definedName name="plazo2002" localSheetId="43">#REF!</definedName>
    <definedName name="plazo2002" localSheetId="44">#REF!</definedName>
    <definedName name="plazo2002" localSheetId="39">#REF!</definedName>
    <definedName name="plazo2002" localSheetId="45">#REF!</definedName>
    <definedName name="plazo2002">#REF!</definedName>
    <definedName name="plazo2003" localSheetId="43">#REF!</definedName>
    <definedName name="plazo2003" localSheetId="44">#REF!</definedName>
    <definedName name="plazo2003" localSheetId="39">#REF!</definedName>
    <definedName name="plazo2003" localSheetId="45">#REF!</definedName>
    <definedName name="plazo2003">#REF!</definedName>
    <definedName name="plazo2004" localSheetId="43">[16]Programa!#REF!</definedName>
    <definedName name="plazo2004" localSheetId="44">[16]Programa!#REF!</definedName>
    <definedName name="plazo2004" localSheetId="39">[16]Programa!#REF!</definedName>
    <definedName name="plazo2004" localSheetId="45">[16]Programa!#REF!</definedName>
    <definedName name="plazo2004">[16]Programa!#REF!</definedName>
    <definedName name="plazo2005" localSheetId="43">[16]Programa!#REF!</definedName>
    <definedName name="plazo2005" localSheetId="44">[16]Programa!#REF!</definedName>
    <definedName name="plazo2005" localSheetId="39">[16]Programa!#REF!</definedName>
    <definedName name="plazo2005" localSheetId="45">[16]Programa!#REF!</definedName>
    <definedName name="plazo2005">[16]Programa!#REF!</definedName>
    <definedName name="plazo98" localSheetId="43">[14]Programa!#REF!</definedName>
    <definedName name="plazo98" localSheetId="44">[14]Programa!#REF!</definedName>
    <definedName name="plazo98" localSheetId="39">[14]Programa!#REF!</definedName>
    <definedName name="plazo98" localSheetId="45">[14]Programa!#REF!</definedName>
    <definedName name="plazo98">[14]Programa!#REF!</definedName>
    <definedName name="plazo98j" localSheetId="43">[14]Programa!#REF!</definedName>
    <definedName name="plazo98j" localSheetId="44">[14]Programa!#REF!</definedName>
    <definedName name="plazo98j" localSheetId="39">[14]Programa!#REF!</definedName>
    <definedName name="plazo98j" localSheetId="45">[14]Programa!#REF!</definedName>
    <definedName name="plazo98j">[14]Programa!#REF!</definedName>
    <definedName name="plazo98s" localSheetId="43">#REF!</definedName>
    <definedName name="plazo98s" localSheetId="44">#REF!</definedName>
    <definedName name="plazo98s" localSheetId="39">#REF!</definedName>
    <definedName name="plazo98s" localSheetId="45">#REF!</definedName>
    <definedName name="plazo98s">#REF!</definedName>
    <definedName name="plazo99" localSheetId="43">#REF!</definedName>
    <definedName name="plazo99" localSheetId="44">#REF!</definedName>
    <definedName name="plazo99" localSheetId="39">#REF!</definedName>
    <definedName name="plazo99" localSheetId="45">#REF!</definedName>
    <definedName name="plazo99">#REF!</definedName>
    <definedName name="Policy">#REF!</definedName>
    <definedName name="Ports" localSheetId="43">#REF!</definedName>
    <definedName name="Ports" localSheetId="44">#REF!</definedName>
    <definedName name="Ports" localSheetId="39">#REF!</definedName>
    <definedName name="Ports" localSheetId="45">#REF!</definedName>
    <definedName name="Ports">#REF!</definedName>
    <definedName name="posnet2" localSheetId="43">#REF!</definedName>
    <definedName name="posnet2" localSheetId="44">#REF!</definedName>
    <definedName name="posnet2" localSheetId="39">#REF!</definedName>
    <definedName name="posnet2" localSheetId="45">#REF!</definedName>
    <definedName name="posnet2">#REF!</definedName>
    <definedName name="PPPWGT">#N/A</definedName>
    <definedName name="PrevVintage" localSheetId="3">'[33]A Previous Data'!$D$60</definedName>
    <definedName name="PrevVintage" localSheetId="32">'[33]A Previous Data'!$D$60</definedName>
    <definedName name="PrevVintage">'[33]A Previous Data'!$D$60</definedName>
    <definedName name="pri" localSheetId="43">#REF!</definedName>
    <definedName name="pri" localSheetId="44">#REF!</definedName>
    <definedName name="pri" localSheetId="39">#REF!</definedName>
    <definedName name="pri" localSheetId="45">#REF!</definedName>
    <definedName name="pri" localSheetId="32">#REF!</definedName>
    <definedName name="pri">#REF!</definedName>
    <definedName name="PRICES" localSheetId="43">#REF!</definedName>
    <definedName name="PRICES" localSheetId="44">#REF!</definedName>
    <definedName name="PRICES" localSheetId="39">#REF!</definedName>
    <definedName name="PRICES" localSheetId="45">#REF!</definedName>
    <definedName name="PRICES">#REF!</definedName>
    <definedName name="primero" localSheetId="43">#REF!</definedName>
    <definedName name="primero" localSheetId="44">#REF!</definedName>
    <definedName name="primero" localSheetId="39">#REF!</definedName>
    <definedName name="primero" localSheetId="45">#REF!</definedName>
    <definedName name="primero">#REF!</definedName>
    <definedName name="PrintThis_Links">[42]Links!$A$1:$F$33</definedName>
    <definedName name="PRIV0" localSheetId="43">[53]ASSUMPTIONS!#REF!</definedName>
    <definedName name="PRIV0" localSheetId="44">[53]ASSUMPTIONS!#REF!</definedName>
    <definedName name="PRIV0" localSheetId="39">[53]ASSUMPTIONS!#REF!</definedName>
    <definedName name="PRIV0" localSheetId="45">[53]ASSUMPTIONS!#REF!</definedName>
    <definedName name="PRIV0">[53]ASSUMPTIONS!#REF!</definedName>
    <definedName name="PRIV00" localSheetId="43">[53]ASSUMPTIONS!#REF!</definedName>
    <definedName name="PRIV00" localSheetId="44">[53]ASSUMPTIONS!#REF!</definedName>
    <definedName name="PRIV00" localSheetId="39">[53]ASSUMPTIONS!#REF!</definedName>
    <definedName name="PRIV00" localSheetId="45">[53]ASSUMPTIONS!#REF!</definedName>
    <definedName name="PRIV00">[53]ASSUMPTIONS!#REF!</definedName>
    <definedName name="priv1" localSheetId="43">#REF!</definedName>
    <definedName name="priv1" localSheetId="44">#REF!</definedName>
    <definedName name="priv1" localSheetId="39">#REF!</definedName>
    <definedName name="priv1" localSheetId="45">#REF!</definedName>
    <definedName name="priv1" localSheetId="32">#REF!</definedName>
    <definedName name="priv1">#REF!</definedName>
    <definedName name="PRIV11" localSheetId="43">[53]ASSUMPTIONS!#REF!</definedName>
    <definedName name="PRIV11" localSheetId="44">[53]ASSUMPTIONS!#REF!</definedName>
    <definedName name="PRIV11" localSheetId="39">[53]ASSUMPTIONS!#REF!</definedName>
    <definedName name="PRIV11" localSheetId="45">[53]ASSUMPTIONS!#REF!</definedName>
    <definedName name="PRIV11" localSheetId="32">[53]ASSUMPTIONS!#REF!</definedName>
    <definedName name="PRIV11">[53]ASSUMPTIONS!#REF!</definedName>
    <definedName name="priv2" localSheetId="43">#REF!</definedName>
    <definedName name="priv2" localSheetId="44">#REF!</definedName>
    <definedName name="priv2" localSheetId="39">#REF!</definedName>
    <definedName name="priv2" localSheetId="45">#REF!</definedName>
    <definedName name="priv2" localSheetId="32">#REF!</definedName>
    <definedName name="priv2">#REF!</definedName>
    <definedName name="PRIV22" localSheetId="43">[53]ASSUMPTIONS!#REF!</definedName>
    <definedName name="PRIV22" localSheetId="44">[53]ASSUMPTIONS!#REF!</definedName>
    <definedName name="PRIV22" localSheetId="39">[53]ASSUMPTIONS!#REF!</definedName>
    <definedName name="PRIV22" localSheetId="45">[53]ASSUMPTIONS!#REF!</definedName>
    <definedName name="PRIV22" localSheetId="32">[53]ASSUMPTIONS!#REF!</definedName>
    <definedName name="PRIV22">[53]ASSUMPTIONS!#REF!</definedName>
    <definedName name="PRIV3" localSheetId="43">[53]ASSUMPTIONS!#REF!</definedName>
    <definedName name="PRIV3" localSheetId="44">[53]ASSUMPTIONS!#REF!</definedName>
    <definedName name="PRIV3" localSheetId="39">[53]ASSUMPTIONS!#REF!</definedName>
    <definedName name="PRIV3" localSheetId="45">[53]ASSUMPTIONS!#REF!</definedName>
    <definedName name="PRIV3" localSheetId="32">[53]ASSUMPTIONS!#REF!</definedName>
    <definedName name="PRIV3">[53]ASSUMPTIONS!#REF!</definedName>
    <definedName name="PRIV33" localSheetId="43">[53]ASSUMPTIONS!#REF!</definedName>
    <definedName name="PRIV33" localSheetId="44">[53]ASSUMPTIONS!#REF!</definedName>
    <definedName name="PRIV33" localSheetId="39">[53]ASSUMPTIONS!#REF!</definedName>
    <definedName name="PRIV33" localSheetId="45">[53]ASSUMPTIONS!#REF!</definedName>
    <definedName name="PRIV33">[53]ASSUMPTIONS!#REF!</definedName>
    <definedName name="progra" localSheetId="43">#REF!</definedName>
    <definedName name="progra" localSheetId="44">#REF!</definedName>
    <definedName name="progra" localSheetId="39">#REF!</definedName>
    <definedName name="progra" localSheetId="45">#REF!</definedName>
    <definedName name="progra" localSheetId="32">#REF!</definedName>
    <definedName name="progra">#REF!</definedName>
    <definedName name="promedio">[54]PROMEDIO!$A$97:$G$121,[54]PROMEDIO!$A$248:$G$272</definedName>
    <definedName name="PSECTOR" localSheetId="43">#REF!</definedName>
    <definedName name="PSECTOR" localSheetId="44">#REF!</definedName>
    <definedName name="PSECTOR" localSheetId="39">#REF!</definedName>
    <definedName name="PSECTOR" localSheetId="45">#REF!</definedName>
    <definedName name="PSECTOR" localSheetId="32">#REF!</definedName>
    <definedName name="PSECTOR">#REF!</definedName>
    <definedName name="PUBL00" localSheetId="43">[53]ASSUMPTIONS!#REF!</definedName>
    <definedName name="PUBL00" localSheetId="44">[53]ASSUMPTIONS!#REF!</definedName>
    <definedName name="PUBL00" localSheetId="39">[53]ASSUMPTIONS!#REF!</definedName>
    <definedName name="PUBL00" localSheetId="45">[53]ASSUMPTIONS!#REF!</definedName>
    <definedName name="PUBL00" localSheetId="32">[53]ASSUMPTIONS!#REF!</definedName>
    <definedName name="PUBL00">[53]ASSUMPTIONS!#REF!</definedName>
    <definedName name="PUBL11" localSheetId="43">[53]ASSUMPTIONS!#REF!</definedName>
    <definedName name="PUBL11" localSheetId="44">[53]ASSUMPTIONS!#REF!</definedName>
    <definedName name="PUBL11" localSheetId="39">[53]ASSUMPTIONS!#REF!</definedName>
    <definedName name="PUBL11" localSheetId="45">[53]ASSUMPTIONS!#REF!</definedName>
    <definedName name="PUBL11" localSheetId="32">[53]ASSUMPTIONS!#REF!</definedName>
    <definedName name="PUBL11">[53]ASSUMPTIONS!#REF!</definedName>
    <definedName name="PUBL2" localSheetId="43">[53]ASSUMPTIONS!#REF!</definedName>
    <definedName name="PUBL2" localSheetId="44">[53]ASSUMPTIONS!#REF!</definedName>
    <definedName name="PUBL2" localSheetId="39">[53]ASSUMPTIONS!#REF!</definedName>
    <definedName name="PUBL2" localSheetId="45">[53]ASSUMPTIONS!#REF!</definedName>
    <definedName name="PUBL2">[53]ASSUMPTIONS!#REF!</definedName>
    <definedName name="PUBL22" localSheetId="43">[53]ASSUMPTIONS!#REF!</definedName>
    <definedName name="PUBL22" localSheetId="44">[53]ASSUMPTIONS!#REF!</definedName>
    <definedName name="PUBL22" localSheetId="39">[53]ASSUMPTIONS!#REF!</definedName>
    <definedName name="PUBL22" localSheetId="45">[53]ASSUMPTIONS!#REF!</definedName>
    <definedName name="PUBL22">[53]ASSUMPTIONS!#REF!</definedName>
    <definedName name="PUBL33" localSheetId="43">[53]ASSUMPTIONS!#REF!</definedName>
    <definedName name="PUBL33" localSheetId="44">[53]ASSUMPTIONS!#REF!</definedName>
    <definedName name="PUBL33" localSheetId="39">[53]ASSUMPTIONS!#REF!</definedName>
    <definedName name="PUBL33" localSheetId="45">[53]ASSUMPTIONS!#REF!</definedName>
    <definedName name="PUBL33">[53]ASSUMPTIONS!#REF!</definedName>
    <definedName name="PUBL5" localSheetId="43">[53]ASSUMPTIONS!#REF!</definedName>
    <definedName name="PUBL5" localSheetId="44">[53]ASSUMPTIONS!#REF!</definedName>
    <definedName name="PUBL5" localSheetId="39">[53]ASSUMPTIONS!#REF!</definedName>
    <definedName name="PUBL5" localSheetId="45">[53]ASSUMPTIONS!#REF!</definedName>
    <definedName name="PUBL5">[53]ASSUMPTIONS!#REF!</definedName>
    <definedName name="PUBL55" localSheetId="43">[53]ASSUMPTIONS!#REF!</definedName>
    <definedName name="PUBL55" localSheetId="44">[53]ASSUMPTIONS!#REF!</definedName>
    <definedName name="PUBL55" localSheetId="39">[53]ASSUMPTIONS!#REF!</definedName>
    <definedName name="PUBL55" localSheetId="45">[53]ASSUMPTIONS!#REF!</definedName>
    <definedName name="PUBL55">[53]ASSUMPTIONS!#REF!</definedName>
    <definedName name="PUBL6" localSheetId="43">[53]ASSUMPTIONS!#REF!</definedName>
    <definedName name="PUBL6" localSheetId="44">[53]ASSUMPTIONS!#REF!</definedName>
    <definedName name="PUBL6" localSheetId="39">[53]ASSUMPTIONS!#REF!</definedName>
    <definedName name="PUBL6" localSheetId="45">[53]ASSUMPTIONS!#REF!</definedName>
    <definedName name="PUBL6">[53]ASSUMPTIONS!#REF!</definedName>
    <definedName name="PUBL66" localSheetId="43">[53]ASSUMPTIONS!#REF!</definedName>
    <definedName name="PUBL66" localSheetId="44">[53]ASSUMPTIONS!#REF!</definedName>
    <definedName name="PUBL66" localSheetId="39">[53]ASSUMPTIONS!#REF!</definedName>
    <definedName name="PUBL66" localSheetId="45">[53]ASSUMPTIONS!#REF!</definedName>
    <definedName name="PUBL66">[53]ASSUMPTIONS!#REF!</definedName>
    <definedName name="Q6_" localSheetId="43">#REF!</definedName>
    <definedName name="Q6_" localSheetId="44">#REF!</definedName>
    <definedName name="Q6_" localSheetId="39">#REF!</definedName>
    <definedName name="Q6_" localSheetId="45">#REF!</definedName>
    <definedName name="Q6_" localSheetId="32">#REF!</definedName>
    <definedName name="Q6_">#REF!</definedName>
    <definedName name="qeryqeryf" localSheetId="43">#REF!</definedName>
    <definedName name="qeryqeryf" localSheetId="44">#REF!</definedName>
    <definedName name="qeryqeryf" localSheetId="39">#REF!</definedName>
    <definedName name="qeryqeryf" localSheetId="45">#REF!</definedName>
    <definedName name="qeryqeryf">#REF!</definedName>
    <definedName name="qeryrqy" localSheetId="43">#REF!</definedName>
    <definedName name="qeryrqy" localSheetId="44">#REF!</definedName>
    <definedName name="qeryrqy" localSheetId="39">#REF!</definedName>
    <definedName name="qeryrqy" localSheetId="45">#REF!</definedName>
    <definedName name="qeryrqy">#REF!</definedName>
    <definedName name="QFISCAL" localSheetId="43">'[20]Quarterly Raw Data'!#REF!</definedName>
    <definedName name="QFISCAL" localSheetId="44">'[20]Quarterly Raw Data'!#REF!</definedName>
    <definedName name="QFISCAL" localSheetId="39">'[20]Quarterly Raw Data'!#REF!</definedName>
    <definedName name="QFISCAL" localSheetId="45">'[20]Quarterly Raw Data'!#REF!</definedName>
    <definedName name="QFISCAL">'[20]Quarterly Raw Data'!#REF!</definedName>
    <definedName name="qq" localSheetId="43" hidden="1">'[48]J(Priv.Cap)'!#REF!</definedName>
    <definedName name="qq" localSheetId="44" hidden="1">'[48]J(Priv.Cap)'!#REF!</definedName>
    <definedName name="qq" localSheetId="39" hidden="1">'[48]J(Priv.Cap)'!#REF!</definedName>
    <definedName name="qq" localSheetId="45" hidden="1">'[48]J(Priv.Cap)'!#REF!</definedName>
    <definedName name="qq" hidden="1">'[48]J(Priv.Cap)'!#REF!</definedName>
    <definedName name="QTAB7" localSheetId="43">'[20]Quarterly MacroFlow'!#REF!</definedName>
    <definedName name="QTAB7" localSheetId="44">'[20]Quarterly MacroFlow'!#REF!</definedName>
    <definedName name="QTAB7" localSheetId="39">'[20]Quarterly MacroFlow'!#REF!</definedName>
    <definedName name="QTAB7" localSheetId="45">'[20]Quarterly MacroFlow'!#REF!</definedName>
    <definedName name="QTAB7">'[20]Quarterly MacroFlow'!#REF!</definedName>
    <definedName name="QTAB7A" localSheetId="43">'[20]Quarterly MacroFlow'!#REF!</definedName>
    <definedName name="QTAB7A" localSheetId="44">'[20]Quarterly MacroFlow'!#REF!</definedName>
    <definedName name="QTAB7A" localSheetId="39">'[20]Quarterly MacroFlow'!#REF!</definedName>
    <definedName name="QTAB7A" localSheetId="45">'[20]Quarterly MacroFlow'!#REF!</definedName>
    <definedName name="QTAB7A">'[20]Quarterly MacroFlow'!#REF!</definedName>
    <definedName name="re" hidden="1">#N/A</definedName>
    <definedName name="REDB1" localSheetId="43">#REF!</definedName>
    <definedName name="REDB1" localSheetId="44">#REF!</definedName>
    <definedName name="REDB1" localSheetId="39">#REF!</definedName>
    <definedName name="REDB1" localSheetId="45">#REF!</definedName>
    <definedName name="REDB1">#REF!</definedName>
    <definedName name="REDB2" localSheetId="43">#REF!</definedName>
    <definedName name="REDB2" localSheetId="44">#REF!</definedName>
    <definedName name="REDB2" localSheetId="39">#REF!</definedName>
    <definedName name="REDB2" localSheetId="45">#REF!</definedName>
    <definedName name="REDB2">#REF!</definedName>
    <definedName name="REDB3" localSheetId="43">#REF!</definedName>
    <definedName name="REDB3" localSheetId="44">#REF!</definedName>
    <definedName name="REDB3" localSheetId="39">#REF!</definedName>
    <definedName name="REDB3" localSheetId="45">#REF!</definedName>
    <definedName name="REDB3">#REF!</definedName>
    <definedName name="REDB4" localSheetId="43">#REF!</definedName>
    <definedName name="REDB4" localSheetId="44">#REF!</definedName>
    <definedName name="REDB4" localSheetId="39">#REF!</definedName>
    <definedName name="REDB4" localSheetId="45">#REF!</definedName>
    <definedName name="REDB4">#REF!</definedName>
    <definedName name="REDB5" localSheetId="43">#REF!</definedName>
    <definedName name="REDB5" localSheetId="44">#REF!</definedName>
    <definedName name="REDB5" localSheetId="39">#REF!</definedName>
    <definedName name="REDB5" localSheetId="45">#REF!</definedName>
    <definedName name="REDB5">#REF!</definedName>
    <definedName name="REDB6" localSheetId="43">#REF!</definedName>
    <definedName name="REDB6" localSheetId="44">#REF!</definedName>
    <definedName name="REDB6" localSheetId="39">#REF!</definedName>
    <definedName name="REDB6" localSheetId="45">#REF!</definedName>
    <definedName name="REDB6">#REF!</definedName>
    <definedName name="REDB7" localSheetId="43">#REF!</definedName>
    <definedName name="REDB7" localSheetId="44">#REF!</definedName>
    <definedName name="REDB7" localSheetId="39">#REF!</definedName>
    <definedName name="REDB7" localSheetId="45">#REF!</definedName>
    <definedName name="REDB7">#REF!</definedName>
    <definedName name="REDB8" localSheetId="43">#REF!</definedName>
    <definedName name="REDB8" localSheetId="44">#REF!</definedName>
    <definedName name="REDB8" localSheetId="39">#REF!</definedName>
    <definedName name="REDB8" localSheetId="45">#REF!</definedName>
    <definedName name="REDB8">#REF!</definedName>
    <definedName name="REDB9" localSheetId="43">#REF!</definedName>
    <definedName name="REDB9" localSheetId="44">#REF!</definedName>
    <definedName name="REDB9" localSheetId="39">#REF!</definedName>
    <definedName name="REDB9" localSheetId="45">#REF!</definedName>
    <definedName name="REDB9">#REF!</definedName>
    <definedName name="REDF1" localSheetId="43">#REF!</definedName>
    <definedName name="REDF1" localSheetId="44">#REF!</definedName>
    <definedName name="REDF1" localSheetId="39">#REF!</definedName>
    <definedName name="REDF1" localSheetId="45">#REF!</definedName>
    <definedName name="REDF1">#REF!</definedName>
    <definedName name="REDF2" localSheetId="43">#REF!</definedName>
    <definedName name="REDF2" localSheetId="44">#REF!</definedName>
    <definedName name="REDF2" localSheetId="39">#REF!</definedName>
    <definedName name="REDF2" localSheetId="45">#REF!</definedName>
    <definedName name="REDF2">#REF!</definedName>
    <definedName name="REDF3" localSheetId="43">#REF!</definedName>
    <definedName name="REDF3" localSheetId="44">#REF!</definedName>
    <definedName name="REDF3" localSheetId="39">#REF!</definedName>
    <definedName name="REDF3" localSheetId="45">#REF!</definedName>
    <definedName name="REDF3">#REF!</definedName>
    <definedName name="REDF4" localSheetId="43">#REF!</definedName>
    <definedName name="REDF4" localSheetId="44">#REF!</definedName>
    <definedName name="REDF4" localSheetId="39">#REF!</definedName>
    <definedName name="REDF4" localSheetId="45">#REF!</definedName>
    <definedName name="REDF4">#REF!</definedName>
    <definedName name="REDF5" localSheetId="43">#REF!</definedName>
    <definedName name="REDF5" localSheetId="44">#REF!</definedName>
    <definedName name="REDF5" localSheetId="39">#REF!</definedName>
    <definedName name="REDF5" localSheetId="45">#REF!</definedName>
    <definedName name="REDF5">#REF!</definedName>
    <definedName name="REDF6" localSheetId="43">#REF!</definedName>
    <definedName name="REDF6" localSheetId="44">#REF!</definedName>
    <definedName name="REDF6" localSheetId="39">#REF!</definedName>
    <definedName name="REDF6" localSheetId="45">#REF!</definedName>
    <definedName name="REDF6">#REF!</definedName>
    <definedName name="REDF7" localSheetId="43">#REF!</definedName>
    <definedName name="REDF7" localSheetId="44">#REF!</definedName>
    <definedName name="REDF7" localSheetId="39">#REF!</definedName>
    <definedName name="REDF7" localSheetId="45">#REF!</definedName>
    <definedName name="REDF7">#REF!</definedName>
    <definedName name="REDTab10">[55]Documents!$B$454:$H$501</definedName>
    <definedName name="REDTab35" localSheetId="43">[56]RED!#REF!</definedName>
    <definedName name="REDTab35" localSheetId="44">[56]RED!#REF!</definedName>
    <definedName name="REDTab35" localSheetId="39">[56]RED!#REF!</definedName>
    <definedName name="REDTab35" localSheetId="45">[56]RED!#REF!</definedName>
    <definedName name="REDTab35">[56]RED!#REF!</definedName>
    <definedName name="REDTab43a" localSheetId="43">#REF!</definedName>
    <definedName name="REDTab43a" localSheetId="44">#REF!</definedName>
    <definedName name="REDTab43a" localSheetId="39">#REF!</definedName>
    <definedName name="REDTab43a" localSheetId="45">#REF!</definedName>
    <definedName name="REDTab43a" localSheetId="32">#REF!</definedName>
    <definedName name="REDTab43a">#REF!</definedName>
    <definedName name="REDTab43b" localSheetId="43">#REF!</definedName>
    <definedName name="REDTab43b" localSheetId="44">#REF!</definedName>
    <definedName name="REDTab43b" localSheetId="39">#REF!</definedName>
    <definedName name="REDTab43b" localSheetId="45">#REF!</definedName>
    <definedName name="REDTab43b">#REF!</definedName>
    <definedName name="REDTab6">[55]Documents!$B$273:$G$320</definedName>
    <definedName name="REDTab8">[55]Documents!$B$349:$G$383</definedName>
    <definedName name="REDTbl3" localSheetId="43">#REF!</definedName>
    <definedName name="REDTbl3" localSheetId="44">#REF!</definedName>
    <definedName name="REDTbl3" localSheetId="39">#REF!</definedName>
    <definedName name="REDTbl3" localSheetId="45">#REF!</definedName>
    <definedName name="REDTbl3" localSheetId="32">#REF!</definedName>
    <definedName name="REDTbl3">#REF!</definedName>
    <definedName name="REDTbl4" localSheetId="43">#REF!</definedName>
    <definedName name="REDTbl4" localSheetId="44">#REF!</definedName>
    <definedName name="REDTbl4" localSheetId="39">#REF!</definedName>
    <definedName name="REDTbl4" localSheetId="45">#REF!</definedName>
    <definedName name="REDTbl4">#REF!</definedName>
    <definedName name="REDTbl5" localSheetId="43">#REF!</definedName>
    <definedName name="REDTbl5" localSheetId="44">#REF!</definedName>
    <definedName name="REDTbl5" localSheetId="39">#REF!</definedName>
    <definedName name="REDTbl5" localSheetId="45">#REF!</definedName>
    <definedName name="REDTbl5">#REF!</definedName>
    <definedName name="REDTbl6" localSheetId="43">#REF!</definedName>
    <definedName name="REDTbl6" localSheetId="44">#REF!</definedName>
    <definedName name="REDTbl6" localSheetId="39">#REF!</definedName>
    <definedName name="REDTbl6" localSheetId="45">#REF!</definedName>
    <definedName name="REDTbl6">#REF!</definedName>
    <definedName name="REDTbl7" localSheetId="43">#REF!</definedName>
    <definedName name="REDTbl7" localSheetId="44">#REF!</definedName>
    <definedName name="REDTbl7" localSheetId="39">#REF!</definedName>
    <definedName name="REDTbl7" localSheetId="45">#REF!</definedName>
    <definedName name="REDTbl7">#REF!</definedName>
    <definedName name="REES" localSheetId="43">#REF!</definedName>
    <definedName name="REES" localSheetId="44">#REF!</definedName>
    <definedName name="REES" localSheetId="39">#REF!</definedName>
    <definedName name="REES" localSheetId="45">#REF!</definedName>
    <definedName name="REES">#REF!</definedName>
    <definedName name="renegocia" localSheetId="43">[14]Programa!#REF!</definedName>
    <definedName name="renegocia" localSheetId="44">[14]Programa!#REF!</definedName>
    <definedName name="renegocia" localSheetId="39">[14]Programa!#REF!</definedName>
    <definedName name="renegocia" localSheetId="45">[14]Programa!#REF!</definedName>
    <definedName name="renegocia">[14]Programa!#REF!</definedName>
    <definedName name="rep_tasas" localSheetId="43">#REF!</definedName>
    <definedName name="rep_tasas" localSheetId="44">#REF!</definedName>
    <definedName name="rep_tasas" localSheetId="39">#REF!</definedName>
    <definedName name="rep_tasas" localSheetId="45">#REF!</definedName>
    <definedName name="rep_tasas">#REF!</definedName>
    <definedName name="RESU" localSheetId="43">#REF!</definedName>
    <definedName name="RESU" localSheetId="44">#REF!</definedName>
    <definedName name="RESU" localSheetId="39">#REF!</definedName>
    <definedName name="RESU" localSheetId="45">#REF!</definedName>
    <definedName name="RESU">#REF!</definedName>
    <definedName name="rf" localSheetId="43">[14]Programa!#REF!</definedName>
    <definedName name="rf" localSheetId="44">[14]Programa!#REF!</definedName>
    <definedName name="rf" localSheetId="39">[14]Programa!#REF!</definedName>
    <definedName name="rf" localSheetId="45">[14]Programa!#REF!</definedName>
    <definedName name="rf">[14]Programa!#REF!</definedName>
    <definedName name="RFSP" localSheetId="43">#REF!</definedName>
    <definedName name="RFSP" localSheetId="44">#REF!</definedName>
    <definedName name="RFSP" localSheetId="39">#REF!</definedName>
    <definedName name="RFSP" localSheetId="45">#REF!</definedName>
    <definedName name="RFSP">#REF!</definedName>
    <definedName name="RgCcode" localSheetId="43">#REF!</definedName>
    <definedName name="RgCcode" localSheetId="44">#REF!</definedName>
    <definedName name="RgCcode" localSheetId="39">#REF!</definedName>
    <definedName name="RgCcode" localSheetId="45">#REF!</definedName>
    <definedName name="RgCcode">#REF!</definedName>
    <definedName name="RgCName" localSheetId="43">#REF!</definedName>
    <definedName name="RgCName" localSheetId="44">#REF!</definedName>
    <definedName name="RgCName" localSheetId="39">#REF!</definedName>
    <definedName name="RgCName" localSheetId="45">#REF!</definedName>
    <definedName name="RgCName">#REF!</definedName>
    <definedName name="RGDPA" localSheetId="43">#REF!</definedName>
    <definedName name="RGDPA" localSheetId="44">#REF!</definedName>
    <definedName name="RGDPA" localSheetId="39">#REF!</definedName>
    <definedName name="RGDPA" localSheetId="45">#REF!</definedName>
    <definedName name="RGDPA">#REF!</definedName>
    <definedName name="RgFdBaseYr" localSheetId="43">#REF!</definedName>
    <definedName name="RgFdBaseYr" localSheetId="44">#REF!</definedName>
    <definedName name="RgFdBaseYr" localSheetId="39">#REF!</definedName>
    <definedName name="RgFdBaseYr" localSheetId="45">#REF!</definedName>
    <definedName name="RgFdBaseYr">#REF!</definedName>
    <definedName name="RgFdBper" localSheetId="43">#REF!</definedName>
    <definedName name="RgFdBper" localSheetId="44">#REF!</definedName>
    <definedName name="RgFdBper" localSheetId="39">#REF!</definedName>
    <definedName name="RgFdBper" localSheetId="45">#REF!</definedName>
    <definedName name="RgFdBper">#REF!</definedName>
    <definedName name="RgFdDefBaseYr" localSheetId="43">#REF!</definedName>
    <definedName name="RgFdDefBaseYr" localSheetId="44">#REF!</definedName>
    <definedName name="RgFdDefBaseYr" localSheetId="39">#REF!</definedName>
    <definedName name="RgFdDefBaseYr" localSheetId="45">#REF!</definedName>
    <definedName name="RgFdDefBaseYr">#REF!</definedName>
    <definedName name="RgFdEper" localSheetId="43">#REF!</definedName>
    <definedName name="RgFdEper" localSheetId="44">#REF!</definedName>
    <definedName name="RgFdEper" localSheetId="39">#REF!</definedName>
    <definedName name="RgFdEper" localSheetId="45">#REF!</definedName>
    <definedName name="RgFdEper">#REF!</definedName>
    <definedName name="RgFdGrFoot" localSheetId="43">#REF!</definedName>
    <definedName name="RgFdGrFoot" localSheetId="44">#REF!</definedName>
    <definedName name="RgFdGrFoot" localSheetId="39">#REF!</definedName>
    <definedName name="RgFdGrFoot" localSheetId="45">#REF!</definedName>
    <definedName name="RgFdGrFoot">#REF!</definedName>
    <definedName name="RgFdGrSeries" localSheetId="43">#REF!</definedName>
    <definedName name="RgFdGrSeries" localSheetId="44">#REF!</definedName>
    <definedName name="RgFdGrSeries" localSheetId="39">#REF!</definedName>
    <definedName name="RgFdGrSeries" localSheetId="45">#REF!</definedName>
    <definedName name="RgFdGrSeries">#REF!</definedName>
    <definedName name="RgFdGrSeriesVal" localSheetId="43">#REF!</definedName>
    <definedName name="RgFdGrSeriesVal" localSheetId="44">#REF!</definedName>
    <definedName name="RgFdGrSeriesVal" localSheetId="39">#REF!</definedName>
    <definedName name="RgFdGrSeriesVal" localSheetId="45">#REF!</definedName>
    <definedName name="RgFdGrSeriesVal">#REF!</definedName>
    <definedName name="RgFdGrType" localSheetId="43">#REF!</definedName>
    <definedName name="RgFdGrType" localSheetId="44">#REF!</definedName>
    <definedName name="RgFdGrType" localSheetId="39">#REF!</definedName>
    <definedName name="RgFdGrType" localSheetId="45">#REF!</definedName>
    <definedName name="RgFdGrType">#REF!</definedName>
    <definedName name="RgFdPartCseries" localSheetId="43">#REF!</definedName>
    <definedName name="RgFdPartCseries" localSheetId="44">#REF!</definedName>
    <definedName name="RgFdPartCseries" localSheetId="39">#REF!</definedName>
    <definedName name="RgFdPartCseries" localSheetId="45">#REF!</definedName>
    <definedName name="RgFdPartCseries">#REF!</definedName>
    <definedName name="RgFdPartCsource" localSheetId="43">#REF!</definedName>
    <definedName name="RgFdPartCsource" localSheetId="44">#REF!</definedName>
    <definedName name="RgFdPartCsource" localSheetId="39">#REF!</definedName>
    <definedName name="RgFdPartCsource" localSheetId="45">#REF!</definedName>
    <definedName name="RgFdPartCsource">#REF!</definedName>
    <definedName name="RgFdPartEseries" localSheetId="43">#REF!</definedName>
    <definedName name="RgFdPartEseries" localSheetId="44">#REF!</definedName>
    <definedName name="RgFdPartEseries" localSheetId="39">#REF!</definedName>
    <definedName name="RgFdPartEseries" localSheetId="45">#REF!</definedName>
    <definedName name="RgFdPartEseries">#REF!</definedName>
    <definedName name="RgFdPartEsource" localSheetId="43">#REF!</definedName>
    <definedName name="RgFdPartEsource" localSheetId="44">#REF!</definedName>
    <definedName name="RgFdPartEsource" localSheetId="39">#REF!</definedName>
    <definedName name="RgFdPartEsource" localSheetId="45">#REF!</definedName>
    <definedName name="RgFdPartEsource">#REF!</definedName>
    <definedName name="RgFdPartUserFile" localSheetId="43">#REF!</definedName>
    <definedName name="RgFdPartUserFile" localSheetId="44">#REF!</definedName>
    <definedName name="RgFdPartUserFile" localSheetId="39">#REF!</definedName>
    <definedName name="RgFdPartUserFile" localSheetId="45">#REF!</definedName>
    <definedName name="RgFdPartUserFile">#REF!</definedName>
    <definedName name="RgFdReptCSeries" localSheetId="43">#REF!</definedName>
    <definedName name="RgFdReptCSeries" localSheetId="44">#REF!</definedName>
    <definedName name="RgFdReptCSeries" localSheetId="39">#REF!</definedName>
    <definedName name="RgFdReptCSeries" localSheetId="45">#REF!</definedName>
    <definedName name="RgFdReptCSeries">#REF!</definedName>
    <definedName name="RgFdReptCsource" localSheetId="43">#REF!</definedName>
    <definedName name="RgFdReptCsource" localSheetId="44">#REF!</definedName>
    <definedName name="RgFdReptCsource" localSheetId="39">#REF!</definedName>
    <definedName name="RgFdReptCsource" localSheetId="45">#REF!</definedName>
    <definedName name="RgFdReptCsource">#REF!</definedName>
    <definedName name="RgFdReptEseries" localSheetId="43">#REF!</definedName>
    <definedName name="RgFdReptEseries" localSheetId="44">#REF!</definedName>
    <definedName name="RgFdReptEseries" localSheetId="39">#REF!</definedName>
    <definedName name="RgFdReptEseries" localSheetId="45">#REF!</definedName>
    <definedName name="RgFdReptEseries">#REF!</definedName>
    <definedName name="RgFdReptEsource" localSheetId="43">#REF!</definedName>
    <definedName name="RgFdReptEsource" localSheetId="44">#REF!</definedName>
    <definedName name="RgFdReptEsource" localSheetId="39">#REF!</definedName>
    <definedName name="RgFdReptEsource" localSheetId="45">#REF!</definedName>
    <definedName name="RgFdReptEsource">#REF!</definedName>
    <definedName name="RgFdReptUserFile" localSheetId="43">#REF!</definedName>
    <definedName name="RgFdReptUserFile" localSheetId="44">#REF!</definedName>
    <definedName name="RgFdReptUserFile" localSheetId="39">#REF!</definedName>
    <definedName name="RgFdReptUserFile" localSheetId="45">#REF!</definedName>
    <definedName name="RgFdReptUserFile">#REF!</definedName>
    <definedName name="RgFdSAMethod" localSheetId="43">#REF!</definedName>
    <definedName name="RgFdSAMethod" localSheetId="44">#REF!</definedName>
    <definedName name="RgFdSAMethod" localSheetId="39">#REF!</definedName>
    <definedName name="RgFdSAMethod" localSheetId="45">#REF!</definedName>
    <definedName name="RgFdSAMethod">#REF!</definedName>
    <definedName name="RgFdTbBper" localSheetId="43">#REF!</definedName>
    <definedName name="RgFdTbBper" localSheetId="44">#REF!</definedName>
    <definedName name="RgFdTbBper" localSheetId="39">#REF!</definedName>
    <definedName name="RgFdTbBper" localSheetId="45">#REF!</definedName>
    <definedName name="RgFdTbBper">#REF!</definedName>
    <definedName name="RgFdTbCreate" localSheetId="43">#REF!</definedName>
    <definedName name="RgFdTbCreate" localSheetId="44">#REF!</definedName>
    <definedName name="RgFdTbCreate" localSheetId="39">#REF!</definedName>
    <definedName name="RgFdTbCreate" localSheetId="45">#REF!</definedName>
    <definedName name="RgFdTbCreate">#REF!</definedName>
    <definedName name="RgFdTbEper" localSheetId="43">#REF!</definedName>
    <definedName name="RgFdTbEper" localSheetId="44">#REF!</definedName>
    <definedName name="RgFdTbEper" localSheetId="39">#REF!</definedName>
    <definedName name="RgFdTbEper" localSheetId="45">#REF!</definedName>
    <definedName name="RgFdTbEper">#REF!</definedName>
    <definedName name="RGFdTbFoot" localSheetId="43">#REF!</definedName>
    <definedName name="RGFdTbFoot" localSheetId="44">#REF!</definedName>
    <definedName name="RGFdTbFoot" localSheetId="39">#REF!</definedName>
    <definedName name="RGFdTbFoot" localSheetId="45">#REF!</definedName>
    <definedName name="RGFdTbFoot">#REF!</definedName>
    <definedName name="RgFdTbFreq" localSheetId="43">#REF!</definedName>
    <definedName name="RgFdTbFreq" localSheetId="44">#REF!</definedName>
    <definedName name="RgFdTbFreq" localSheetId="39">#REF!</definedName>
    <definedName name="RgFdTbFreq" localSheetId="45">#REF!</definedName>
    <definedName name="RgFdTbFreq">#REF!</definedName>
    <definedName name="RgFdTbFreqVal" localSheetId="43">#REF!</definedName>
    <definedName name="RgFdTbFreqVal" localSheetId="44">#REF!</definedName>
    <definedName name="RgFdTbFreqVal" localSheetId="39">#REF!</definedName>
    <definedName name="RgFdTbFreqVal" localSheetId="45">#REF!</definedName>
    <definedName name="RgFdTbFreqVal">#REF!</definedName>
    <definedName name="RgFdTbSendto" localSheetId="43">#REF!</definedName>
    <definedName name="RgFdTbSendto" localSheetId="44">#REF!</definedName>
    <definedName name="RgFdTbSendto" localSheetId="39">#REF!</definedName>
    <definedName name="RgFdTbSendto" localSheetId="45">#REF!</definedName>
    <definedName name="RgFdTbSendto">#REF!</definedName>
    <definedName name="RgFdWgtMethod" localSheetId="43">#REF!</definedName>
    <definedName name="RgFdWgtMethod" localSheetId="44">#REF!</definedName>
    <definedName name="RgFdWgtMethod" localSheetId="39">#REF!</definedName>
    <definedName name="RgFdWgtMethod" localSheetId="45">#REF!</definedName>
    <definedName name="RgFdWgtMethod">#REF!</definedName>
    <definedName name="RGSPA" localSheetId="43">#REF!</definedName>
    <definedName name="RGSPA" localSheetId="44">#REF!</definedName>
    <definedName name="RGSPA" localSheetId="39">#REF!</definedName>
    <definedName name="RGSPA" localSheetId="45">#REF!</definedName>
    <definedName name="RGSPA">#REF!</definedName>
    <definedName name="rinfinpriv" localSheetId="43">#REF!</definedName>
    <definedName name="rinfinpriv" localSheetId="44">#REF!</definedName>
    <definedName name="rinfinpriv" localSheetId="39">#REF!</definedName>
    <definedName name="rinfinpriv" localSheetId="45">#REF!</definedName>
    <definedName name="rinfinpriv">#REF!</definedName>
    <definedName name="RIQFIN" localSheetId="43">#REF!</definedName>
    <definedName name="RIQFIN" localSheetId="44">#REF!</definedName>
    <definedName name="RIQFIN" localSheetId="39">#REF!</definedName>
    <definedName name="RIQFIN" localSheetId="45">#REF!</definedName>
    <definedName name="RIQFIN">#REF!</definedName>
    <definedName name="riqueza1">[13]riqueza!$A$1:$AU$89</definedName>
    <definedName name="riqueza2">[13]riqueza!$A$93:$AU$123</definedName>
    <definedName name="rngErrorSort">[42]ErrCheck!$A$4</definedName>
    <definedName name="rngLastSave">[42]Main!$G$19</definedName>
    <definedName name="rngLastSent">[42]Main!$G$18</definedName>
    <definedName name="rngLastUpdate">[42]Links!$D$2</definedName>
    <definedName name="rngNeedsUpdate">[42]Links!$E$2</definedName>
    <definedName name="rngQuestChecked">[42]ErrCheck!$A$3</definedName>
    <definedName name="RR">[24]Projections:PDVSA!$B$2:$BH$531</definedName>
    <definedName name="rubros" localSheetId="43">#REF!</definedName>
    <definedName name="rubros" localSheetId="44">#REF!</definedName>
    <definedName name="rubros" localSheetId="39">#REF!</definedName>
    <definedName name="rubros" localSheetId="45">#REF!</definedName>
    <definedName name="rubros">#REF!</definedName>
    <definedName name="rubros1" localSheetId="43">#REF!</definedName>
    <definedName name="rubros1" localSheetId="44">#REF!</definedName>
    <definedName name="rubros1" localSheetId="39">#REF!</definedName>
    <definedName name="rubros1" localSheetId="45">#REF!</definedName>
    <definedName name="rubros1">#REF!</definedName>
    <definedName name="Rwvu.PLA2." localSheetId="43" hidden="1">'[25]COP FED'!#REF!</definedName>
    <definedName name="Rwvu.PLA2." localSheetId="44" hidden="1">'[25]COP FED'!#REF!</definedName>
    <definedName name="Rwvu.PLA2." localSheetId="39" hidden="1">'[25]COP FED'!#REF!</definedName>
    <definedName name="Rwvu.PLA2." localSheetId="45" hidden="1">'[25]COP FED'!#REF!</definedName>
    <definedName name="Rwvu.PLA2." hidden="1">'[25]COP FED'!#REF!</definedName>
    <definedName name="Rwvu.Print." hidden="1">#N/A</definedName>
    <definedName name="rx" localSheetId="43" hidden="1">#REF!</definedName>
    <definedName name="rx" localSheetId="44" hidden="1">#REF!</definedName>
    <definedName name="rx" localSheetId="39" hidden="1">#REF!</definedName>
    <definedName name="rx" localSheetId="45" hidden="1">#REF!</definedName>
    <definedName name="rx" hidden="1">#REF!</definedName>
    <definedName name="ry" localSheetId="43" hidden="1">#REF!</definedName>
    <definedName name="ry" localSheetId="44" hidden="1">#REF!</definedName>
    <definedName name="ry" localSheetId="39" hidden="1">#REF!</definedName>
    <definedName name="ry" localSheetId="45" hidden="1">#REF!</definedName>
    <definedName name="ry" hidden="1">#REF!</definedName>
    <definedName name="SALDOS">[13]FMI!$A$5:$T$77</definedName>
    <definedName name="SEI" localSheetId="43">#REF!</definedName>
    <definedName name="SEI" localSheetId="44">#REF!</definedName>
    <definedName name="SEI" localSheetId="39">#REF!</definedName>
    <definedName name="SEI" localSheetId="45">#REF!</definedName>
    <definedName name="SEI">#REF!</definedName>
    <definedName name="seitto98" localSheetId="43">'[57]Output data'!#REF!</definedName>
    <definedName name="seitto98" localSheetId="44">'[57]Output data'!#REF!</definedName>
    <definedName name="seitto98" localSheetId="39">'[57]Output data'!#REF!</definedName>
    <definedName name="seitto98" localSheetId="45">'[57]Output data'!#REF!</definedName>
    <definedName name="seitto98">'[57]Output data'!#REF!</definedName>
    <definedName name="SELECT" localSheetId="43">#REF!</definedName>
    <definedName name="SELECT" localSheetId="44">#REF!</definedName>
    <definedName name="SELECT" localSheetId="39">#REF!</definedName>
    <definedName name="SELECT" localSheetId="45">#REF!</definedName>
    <definedName name="SELECT" localSheetId="32">#REF!</definedName>
    <definedName name="SELECT">#REF!</definedName>
    <definedName name="SEMESTRE" localSheetId="43">#REF!</definedName>
    <definedName name="SEMESTRE" localSheetId="44">#REF!</definedName>
    <definedName name="SEMESTRE" localSheetId="39">#REF!</definedName>
    <definedName name="SEMESTRE" localSheetId="45">#REF!</definedName>
    <definedName name="SEMESTRE">#REF!</definedName>
    <definedName name="sencount" hidden="1">2</definedName>
    <definedName name="SERV" localSheetId="43">#REF!</definedName>
    <definedName name="SERV" localSheetId="44">#REF!</definedName>
    <definedName name="SERV" localSheetId="39">#REF!</definedName>
    <definedName name="SERV" localSheetId="45">#REF!</definedName>
    <definedName name="SERV">#REF!</definedName>
    <definedName name="SET" localSheetId="43">#REF!</definedName>
    <definedName name="SET" localSheetId="44">#REF!</definedName>
    <definedName name="SET" localSheetId="39">#REF!</definedName>
    <definedName name="SET" localSheetId="45">#REF!</definedName>
    <definedName name="SET">#REF!</definedName>
    <definedName name="SHEET_A._Contents_and_file_description" localSheetId="43">#REF!</definedName>
    <definedName name="SHEET_A._Contents_and_file_description" localSheetId="44">#REF!</definedName>
    <definedName name="SHEET_A._Contents_and_file_description" localSheetId="39">#REF!</definedName>
    <definedName name="SHEET_A._Contents_and_file_description" localSheetId="45">#REF!</definedName>
    <definedName name="SHEET_A._Contents_and_file_description">#REF!</definedName>
    <definedName name="SHEET_B._DATA_FROM_TO_OTHER_FILES" localSheetId="43">#REF!</definedName>
    <definedName name="SHEET_B._DATA_FROM_TO_OTHER_FILES" localSheetId="44">#REF!</definedName>
    <definedName name="SHEET_B._DATA_FROM_TO_OTHER_FILES" localSheetId="39">#REF!</definedName>
    <definedName name="SHEET_B._DATA_FROM_TO_OTHER_FILES" localSheetId="45">#REF!</definedName>
    <definedName name="SHEET_B._DATA_FROM_TO_OTHER_FILES">#REF!</definedName>
    <definedName name="SHEET_C._RAW_DATA1" localSheetId="43">#REF!</definedName>
    <definedName name="SHEET_C._RAW_DATA1" localSheetId="44">#REF!</definedName>
    <definedName name="SHEET_C._RAW_DATA1" localSheetId="39">#REF!</definedName>
    <definedName name="SHEET_C._RAW_DATA1" localSheetId="45">#REF!</definedName>
    <definedName name="SHEET_C._RAW_DATA1">#REF!</definedName>
    <definedName name="SHEET_C._RAW_DATA2" localSheetId="43">#REF!</definedName>
    <definedName name="SHEET_C._RAW_DATA2" localSheetId="44">#REF!</definedName>
    <definedName name="SHEET_C._RAW_DATA2" localSheetId="39">#REF!</definedName>
    <definedName name="SHEET_C._RAW_DATA2" localSheetId="45">#REF!</definedName>
    <definedName name="SHEET_C._RAW_DATA2">#REF!</definedName>
    <definedName name="SHEET_D._DATA_TRANSFORMATIONS" localSheetId="43">#REF!</definedName>
    <definedName name="SHEET_D._DATA_TRANSFORMATIONS" localSheetId="44">#REF!</definedName>
    <definedName name="SHEET_D._DATA_TRANSFORMATIONS" localSheetId="39">#REF!</definedName>
    <definedName name="SHEET_D._DATA_TRANSFORMATIONS" localSheetId="45">#REF!</definedName>
    <definedName name="SHEET_D._DATA_TRANSFORMATIONS">#REF!</definedName>
    <definedName name="SHEET_E._FINAL_TABLES" localSheetId="43">#REF!</definedName>
    <definedName name="SHEET_E._FINAL_TABLES" localSheetId="44">#REF!</definedName>
    <definedName name="SHEET_E._FINAL_TABLES" localSheetId="39">#REF!</definedName>
    <definedName name="SHEET_E._FINAL_TABLES" localSheetId="45">#REF!</definedName>
    <definedName name="SHEET_E._FINAL_TABLES">#REF!</definedName>
    <definedName name="Shocks">#REF!</definedName>
    <definedName name="SIDXGOB">'[36]SFISCAL-MOD'!$A$146:$IV$146</definedName>
    <definedName name="sisfin2" localSheetId="43">#REF!</definedName>
    <definedName name="sisfin2" localSheetId="44">#REF!</definedName>
    <definedName name="sisfin2" localSheetId="39">#REF!</definedName>
    <definedName name="sisfin2" localSheetId="45">#REF!</definedName>
    <definedName name="sisfin2" localSheetId="32">#REF!</definedName>
    <definedName name="sisfin2">#REF!</definedName>
    <definedName name="SISTEMA_BANCARIO_NACIONAL" localSheetId="43">#REF!</definedName>
    <definedName name="SISTEMA_BANCARIO_NACIONAL" localSheetId="44">#REF!</definedName>
    <definedName name="SISTEMA_BANCARIO_NACIONAL" localSheetId="39">#REF!</definedName>
    <definedName name="SISTEMA_BANCARIO_NACIONAL" localSheetId="45">#REF!</definedName>
    <definedName name="SISTEMA_BANCARIO_NACIONAL">#REF!</definedName>
    <definedName name="solver_adj" localSheetId="3" hidden="1">'Cuadro PIB'!$I$11,'[58]GDP table'!$J$16</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0</definedName>
    <definedName name="solver_nwt" localSheetId="3" hidden="1">1</definedName>
    <definedName name="solver_opt" localSheetId="3" hidden="1">'Cuadro PIB'!#REF!</definedName>
    <definedName name="solver_pre" localSheetId="3" hidden="1">0.000001</definedName>
    <definedName name="solver_rbv" localSheetId="3" hidden="1">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 name="SRTab1" localSheetId="43">#REF!</definedName>
    <definedName name="SRTab1" localSheetId="44">#REF!</definedName>
    <definedName name="SRTab1" localSheetId="39">#REF!</definedName>
    <definedName name="SRTab1" localSheetId="45">#REF!</definedName>
    <definedName name="SRTab1">#REF!</definedName>
    <definedName name="SRTab11" localSheetId="43">'[57]Output data'!#REF!</definedName>
    <definedName name="SRTab11" localSheetId="44">'[57]Output data'!#REF!</definedName>
    <definedName name="SRTab11" localSheetId="39">'[57]Output data'!#REF!</definedName>
    <definedName name="SRTab11" localSheetId="45">'[57]Output data'!#REF!</definedName>
    <definedName name="SRTab11">'[57]Output data'!#REF!</definedName>
    <definedName name="SRTab6" localSheetId="43">#REF!</definedName>
    <definedName name="SRTab6" localSheetId="44">#REF!</definedName>
    <definedName name="SRTab6" localSheetId="39">#REF!</definedName>
    <definedName name="SRTab6" localSheetId="45">#REF!</definedName>
    <definedName name="SRTab6" localSheetId="32">#REF!</definedName>
    <definedName name="SRTab6">#REF!</definedName>
    <definedName name="SRTab7" localSheetId="43">[56]RED!#REF!</definedName>
    <definedName name="SRTab7" localSheetId="44">[56]RED!#REF!</definedName>
    <definedName name="SRTab7" localSheetId="39">[56]RED!#REF!</definedName>
    <definedName name="SRTab7" localSheetId="45">[56]RED!#REF!</definedName>
    <definedName name="SRTab7" localSheetId="32">[56]RED!#REF!</definedName>
    <definedName name="SRTab7">[56]RED!#REF!</definedName>
    <definedName name="SRTab8" localSheetId="43">#REF!</definedName>
    <definedName name="SRTab8" localSheetId="44">#REF!</definedName>
    <definedName name="SRTab8" localSheetId="39">#REF!</definedName>
    <definedName name="SRTab8" localSheetId="45">#REF!</definedName>
    <definedName name="SRTab8" localSheetId="32">#REF!</definedName>
    <definedName name="SRTab8">#REF!</definedName>
    <definedName name="SS">[59]IMATA!$B$45:$B$108</definedName>
    <definedName name="sss" localSheetId="41">'[1]1.1 INDIC ACC'!#REF!</definedName>
    <definedName name="sss" localSheetId="43">'[1]1.1 INDIC ACC'!#REF!</definedName>
    <definedName name="sss" localSheetId="44">'[1]1.1 INDIC ACC'!#REF!</definedName>
    <definedName name="sss" localSheetId="39">'[1]1.1 INDIC ACC'!#REF!</definedName>
    <definedName name="sss" localSheetId="40">'[1]1.1 INDIC ACC'!#REF!</definedName>
    <definedName name="sss" localSheetId="45">'[1]1.1 INDIC ACC'!#REF!</definedName>
    <definedName name="sss" localSheetId="32">'[1]1.1 INDIC ACC'!#REF!</definedName>
    <definedName name="sss">'[1]1.1 INDIC ACC'!#REF!</definedName>
    <definedName name="ssssss">#N/A</definedName>
    <definedName name="STOP" localSheetId="43">#REF!</definedName>
    <definedName name="STOP" localSheetId="44">#REF!</definedName>
    <definedName name="STOP" localSheetId="39">#REF!</definedName>
    <definedName name="STOP" localSheetId="45">#REF!</definedName>
    <definedName name="STOP">#REF!</definedName>
    <definedName name="supuestos" localSheetId="43">#REF!</definedName>
    <definedName name="supuestos" localSheetId="44">#REF!</definedName>
    <definedName name="supuestos" localSheetId="39">#REF!</definedName>
    <definedName name="supuestos" localSheetId="45">#REF!</definedName>
    <definedName name="supuestos">#REF!</definedName>
    <definedName name="Swvu.PLA1." localSheetId="43" hidden="1">'[25]COP FED'!#REF!</definedName>
    <definedName name="Swvu.PLA1." localSheetId="44" hidden="1">'[25]COP FED'!#REF!</definedName>
    <definedName name="Swvu.PLA1." localSheetId="39" hidden="1">'[25]COP FED'!#REF!</definedName>
    <definedName name="Swvu.PLA1." localSheetId="45" hidden="1">'[25]COP FED'!#REF!</definedName>
    <definedName name="Swvu.PLA1." hidden="1">'[25]COP FED'!#REF!</definedName>
    <definedName name="Swvu.PLA2." hidden="1">'[25]COP FED'!$A$1:$N$49</definedName>
    <definedName name="t">#N/A</definedName>
    <definedName name="T10PPI">[55]Prices!$A$99:$J$131</definedName>
    <definedName name="T11IMW">[55]Labor!$B$3:$J$45</definedName>
    <definedName name="T12ULC">[55]Labor!$B$53:$J$97</definedName>
    <definedName name="T13LFE">[55]Labor!$B$155:$I$200</definedName>
    <definedName name="T14EPE">[55]Labor!$B$256:$J$309</definedName>
    <definedName name="T15ROP" localSheetId="43">#REF!</definedName>
    <definedName name="T15ROP" localSheetId="44">#REF!</definedName>
    <definedName name="T15ROP" localSheetId="39">#REF!</definedName>
    <definedName name="T15ROP" localSheetId="45">#REF!</definedName>
    <definedName name="T15ROP" localSheetId="32">#REF!</definedName>
    <definedName name="T15ROP">#REF!</definedName>
    <definedName name="T16OPU" localSheetId="43">#REF!</definedName>
    <definedName name="T16OPU" localSheetId="44">#REF!</definedName>
    <definedName name="T16OPU" localSheetId="39">#REF!</definedName>
    <definedName name="T16OPU" localSheetId="45">#REF!</definedName>
    <definedName name="T16OPU">#REF!</definedName>
    <definedName name="T2YSECREA">[60]GDPSEC!$A$11:$M$80</definedName>
    <definedName name="T3YSECNOM">[60]GDPSEC!$A$93:$M$153</definedName>
    <definedName name="T9CPI">[55]Prices!$A$3:$R$47</definedName>
    <definedName name="TAB1A" localSheetId="43">#REF!</definedName>
    <definedName name="TAB1A" localSheetId="44">#REF!</definedName>
    <definedName name="TAB1A" localSheetId="39">#REF!</definedName>
    <definedName name="TAB1A" localSheetId="45">#REF!</definedName>
    <definedName name="TAB1A" localSheetId="32">#REF!</definedName>
    <definedName name="TAB1A">#REF!</definedName>
    <definedName name="TAB1CK" localSheetId="43">#REF!</definedName>
    <definedName name="TAB1CK" localSheetId="44">#REF!</definedName>
    <definedName name="TAB1CK" localSheetId="39">#REF!</definedName>
    <definedName name="TAB1CK" localSheetId="45">#REF!</definedName>
    <definedName name="TAB1CK">#REF!</definedName>
    <definedName name="Tab25a" localSheetId="43">#REF!</definedName>
    <definedName name="Tab25a" localSheetId="44">#REF!</definedName>
    <definedName name="Tab25a" localSheetId="39">#REF!</definedName>
    <definedName name="Tab25a" localSheetId="45">#REF!</definedName>
    <definedName name="Tab25a">#REF!</definedName>
    <definedName name="Tab25b" localSheetId="43">#REF!</definedName>
    <definedName name="Tab25b" localSheetId="44">#REF!</definedName>
    <definedName name="Tab25b" localSheetId="39">#REF!</definedName>
    <definedName name="Tab25b" localSheetId="45">#REF!</definedName>
    <definedName name="Tab25b">#REF!</definedName>
    <definedName name="TAB2A" localSheetId="43">#REF!</definedName>
    <definedName name="TAB2A" localSheetId="44">#REF!</definedName>
    <definedName name="TAB2A" localSheetId="39">#REF!</definedName>
    <definedName name="TAB2A" localSheetId="45">#REF!</definedName>
    <definedName name="TAB2A">#REF!</definedName>
    <definedName name="TAB5A" localSheetId="43">#REF!</definedName>
    <definedName name="TAB5A" localSheetId="44">#REF!</definedName>
    <definedName name="TAB5A" localSheetId="39">#REF!</definedName>
    <definedName name="TAB5A" localSheetId="45">#REF!</definedName>
    <definedName name="TAB5A">#REF!</definedName>
    <definedName name="TAB6A" localSheetId="43">'[20]Annual Tables'!#REF!</definedName>
    <definedName name="TAB6A" localSheetId="44">'[20]Annual Tables'!#REF!</definedName>
    <definedName name="TAB6A" localSheetId="39">'[20]Annual Tables'!#REF!</definedName>
    <definedName name="TAB6A" localSheetId="45">'[20]Annual Tables'!#REF!</definedName>
    <definedName name="TAB6A">'[20]Annual Tables'!#REF!</definedName>
    <definedName name="TAB6B" localSheetId="43">'[20]Annual Tables'!#REF!</definedName>
    <definedName name="TAB6B" localSheetId="44">'[20]Annual Tables'!#REF!</definedName>
    <definedName name="TAB6B" localSheetId="39">'[20]Annual Tables'!#REF!</definedName>
    <definedName name="TAB6B" localSheetId="45">'[20]Annual Tables'!#REF!</definedName>
    <definedName name="TAB6B">'[20]Annual Tables'!#REF!</definedName>
    <definedName name="TAB6C" localSheetId="43">#REF!</definedName>
    <definedName name="TAB6C" localSheetId="44">#REF!</definedName>
    <definedName name="TAB6C" localSheetId="39">#REF!</definedName>
    <definedName name="TAB6C" localSheetId="45">#REF!</definedName>
    <definedName name="TAB6C">#REF!</definedName>
    <definedName name="TAB7A" localSheetId="43">#REF!</definedName>
    <definedName name="TAB7A" localSheetId="44">#REF!</definedName>
    <definedName name="TAB7A" localSheetId="39">#REF!</definedName>
    <definedName name="TAB7A" localSheetId="45">#REF!</definedName>
    <definedName name="TAB7A">#REF!</definedName>
    <definedName name="tabla" localSheetId="43">#REF!</definedName>
    <definedName name="tabla" localSheetId="44">#REF!</definedName>
    <definedName name="tabla" localSheetId="39">#REF!</definedName>
    <definedName name="tabla" localSheetId="45">#REF!</definedName>
    <definedName name="tabla">#REF!</definedName>
    <definedName name="Table" localSheetId="43">#REF!</definedName>
    <definedName name="Table" localSheetId="44">#REF!</definedName>
    <definedName name="Table" localSheetId="39">#REF!</definedName>
    <definedName name="Table" localSheetId="45">#REF!</definedName>
    <definedName name="Table">#REF!</definedName>
    <definedName name="Table__47">[61]RED47!$A$1:$I$53</definedName>
    <definedName name="Table_16.__Guatemala__National_Accounts_at_Current_Prices" localSheetId="43">#REF!</definedName>
    <definedName name="Table_16.__Guatemala__National_Accounts_at_Current_Prices" localSheetId="44">#REF!</definedName>
    <definedName name="Table_16.__Guatemala__National_Accounts_at_Current_Prices" localSheetId="39">#REF!</definedName>
    <definedName name="Table_16.__Guatemala__National_Accounts_at_Current_Prices" localSheetId="45">#REF!</definedName>
    <definedName name="Table_16.__Guatemala__National_Accounts_at_Current_Prices" localSheetId="32">#REF!</definedName>
    <definedName name="Table_16.__Guatemala__National_Accounts_at_Current_Prices">#REF!</definedName>
    <definedName name="Table_2._Country_X___Public_Sector_Financing_1" localSheetId="43">#REF!</definedName>
    <definedName name="Table_2._Country_X___Public_Sector_Financing_1" localSheetId="44">#REF!</definedName>
    <definedName name="Table_2._Country_X___Public_Sector_Financing_1" localSheetId="39">#REF!</definedName>
    <definedName name="Table_2._Country_X___Public_Sector_Financing_1" localSheetId="45">#REF!</definedName>
    <definedName name="Table_2._Country_X___Public_Sector_Financing_1">#REF!</definedName>
    <definedName name="Table_20.cont__Guatemala___Selected_Agricultural_Sector_Statistics__concluded" localSheetId="43">#REF!</definedName>
    <definedName name="Table_20.cont__Guatemala___Selected_Agricultural_Sector_Statistics__concluded" localSheetId="44">#REF!</definedName>
    <definedName name="Table_20.cont__Guatemala___Selected_Agricultural_Sector_Statistics__concluded" localSheetId="39">#REF!</definedName>
    <definedName name="Table_20.cont__Guatemala___Selected_Agricultural_Sector_Statistics__concluded" localSheetId="45">#REF!</definedName>
    <definedName name="Table_20.cont__Guatemala___Selected_Agricultural_Sector_Statistics__concluded">#REF!</definedName>
    <definedName name="Table_28._Guatemala___Selected_Wage_Indicators_1" localSheetId="43">#REF!</definedName>
    <definedName name="Table_28._Guatemala___Selected_Wage_Indicators_1" localSheetId="44">#REF!</definedName>
    <definedName name="Table_28._Guatemala___Selected_Wage_Indicators_1" localSheetId="39">#REF!</definedName>
    <definedName name="Table_28._Guatemala___Selected_Wage_Indicators_1" localSheetId="45">#REF!</definedName>
    <definedName name="Table_28._Guatemala___Selected_Wage_Indicators_1">#REF!</definedName>
    <definedName name="Table_28a._Guatemala___Selected_Wage_Indicators_1" localSheetId="43">#REF!</definedName>
    <definedName name="Table_28a._Guatemala___Selected_Wage_Indicators_1" localSheetId="44">#REF!</definedName>
    <definedName name="Table_28a._Guatemala___Selected_Wage_Indicators_1" localSheetId="39">#REF!</definedName>
    <definedName name="Table_28a._Guatemala___Selected_Wage_Indicators_1" localSheetId="45">#REF!</definedName>
    <definedName name="Table_28a._Guatemala___Selected_Wage_Indicators_1">#REF!</definedName>
    <definedName name="Table_30a._Guatemala___Selected_Employment_and_Labor_Productivity_Indicators" localSheetId="43">#REF!</definedName>
    <definedName name="Table_30a._Guatemala___Selected_Employment_and_Labor_Productivity_Indicators" localSheetId="44">#REF!</definedName>
    <definedName name="Table_30a._Guatemala___Selected_Employment_and_Labor_Productivity_Indicators" localSheetId="39">#REF!</definedName>
    <definedName name="Table_30a._Guatemala___Selected_Employment_and_Labor_Productivity_Indicators" localSheetId="45">#REF!</definedName>
    <definedName name="Table_30a._Guatemala___Selected_Employment_and_Labor_Productivity_Indicators">#REF!</definedName>
    <definedName name="Table_31._Guatemala___Selected_Wage_and_Employment_Indicators_1" localSheetId="43">#REF!</definedName>
    <definedName name="Table_31._Guatemala___Selected_Wage_and_Employment_Indicators_1" localSheetId="44">#REF!</definedName>
    <definedName name="Table_31._Guatemala___Selected_Wage_and_Employment_Indicators_1" localSheetId="39">#REF!</definedName>
    <definedName name="Table_31._Guatemala___Selected_Wage_and_Employment_Indicators_1" localSheetId="45">#REF!</definedName>
    <definedName name="Table_31._Guatemala___Selected_Wage_and_Employment_Indicators_1">#REF!</definedName>
    <definedName name="Table_32.__Guatemala__Trends_in_Unit_Labor_Costs__ULC___Real_Wages__Productivity_and_Employment" localSheetId="43">#REF!</definedName>
    <definedName name="Table_32.__Guatemala__Trends_in_Unit_Labor_Costs__ULC___Real_Wages__Productivity_and_Employment" localSheetId="44">#REF!</definedName>
    <definedName name="Table_32.__Guatemala__Trends_in_Unit_Labor_Costs__ULC___Real_Wages__Productivity_and_Employment" localSheetId="39">#REF!</definedName>
    <definedName name="Table_32.__Guatemala__Trends_in_Unit_Labor_Costs__ULC___Real_Wages__Productivity_and_Employment" localSheetId="45">#REF!</definedName>
    <definedName name="Table_32.__Guatemala__Trends_in_Unit_Labor_Costs__ULC___Real_Wages__Productivity_and_Employment">#REF!</definedName>
    <definedName name="Table_33.__Guatemala__Indicators_of_Competitiveness" localSheetId="43">#REF!</definedName>
    <definedName name="Table_33.__Guatemala__Indicators_of_Competitiveness" localSheetId="44">#REF!</definedName>
    <definedName name="Table_33.__Guatemala__Indicators_of_Competitiveness" localSheetId="39">#REF!</definedName>
    <definedName name="Table_33.__Guatemala__Indicators_of_Competitiveness" localSheetId="45">#REF!</definedName>
    <definedName name="Table_33.__Guatemala__Indicators_of_Competitiveness">#REF!</definedName>
    <definedName name="Table_4._Guatemala___Consumer_Price_Indices__1" localSheetId="43">#REF!</definedName>
    <definedName name="Table_4._Guatemala___Consumer_Price_Indices__1" localSheetId="44">#REF!</definedName>
    <definedName name="Table_4._Guatemala___Consumer_Price_Indices__1" localSheetId="39">#REF!</definedName>
    <definedName name="Table_4._Guatemala___Consumer_Price_Indices__1" localSheetId="45">#REF!</definedName>
    <definedName name="Table_4._Guatemala___Consumer_Price_Indices__1">#REF!</definedName>
    <definedName name="Table_4SR" localSheetId="43">#REF!</definedName>
    <definedName name="Table_4SR" localSheetId="44">#REF!</definedName>
    <definedName name="Table_4SR" localSheetId="39">#REF!</definedName>
    <definedName name="Table_4SR" localSheetId="45">#REF!</definedName>
    <definedName name="Table_4SR">#REF!</definedName>
    <definedName name="Table_A.__Guatemala__Trends_in_Private_Sector_Unit_Labor_Costs__ULC___Real_Wages__Productivity_and_Employment" localSheetId="43">#REF!</definedName>
    <definedName name="Table_A.__Guatemala__Trends_in_Private_Sector_Unit_Labor_Costs__ULC___Real_Wages__Productivity_and_Employment" localSheetId="44">#REF!</definedName>
    <definedName name="Table_A.__Guatemala__Trends_in_Private_Sector_Unit_Labor_Costs__ULC___Real_Wages__Productivity_and_Employment" localSheetId="39">#REF!</definedName>
    <definedName name="Table_A.__Guatemala__Trends_in_Private_Sector_Unit_Labor_Costs__ULC___Real_Wages__Productivity_and_Employment" localSheetId="45">#REF!</definedName>
    <definedName name="Table_A.__Guatemala__Trends_in_Private_Sector_Unit_Labor_Costs__ULC___Real_Wages__Productivity_and_Employment">#REF!</definedName>
    <definedName name="Table_debt">[62]Table!$A$3:$AB$73</definedName>
    <definedName name="Table1" localSheetId="43">#REF!</definedName>
    <definedName name="Table1" localSheetId="44">#REF!</definedName>
    <definedName name="Table1" localSheetId="39">#REF!</definedName>
    <definedName name="Table1" localSheetId="45">#REF!</definedName>
    <definedName name="Table1" localSheetId="32">#REF!</definedName>
    <definedName name="Table1">#REF!</definedName>
    <definedName name="Table12" localSheetId="43">#REF!</definedName>
    <definedName name="Table12" localSheetId="44">#REF!</definedName>
    <definedName name="Table12" localSheetId="39">#REF!</definedName>
    <definedName name="Table12" localSheetId="45">#REF!</definedName>
    <definedName name="Table12">#REF!</definedName>
    <definedName name="Table13b" localSheetId="43">#REF!</definedName>
    <definedName name="Table13b" localSheetId="44">#REF!</definedName>
    <definedName name="Table13b" localSheetId="39">#REF!</definedName>
    <definedName name="Table13b" localSheetId="45">#REF!</definedName>
    <definedName name="Table13b">#REF!</definedName>
    <definedName name="Table15" localSheetId="43">#REF!</definedName>
    <definedName name="Table15" localSheetId="44">#REF!</definedName>
    <definedName name="Table15" localSheetId="39">#REF!</definedName>
    <definedName name="Table15" localSheetId="45">#REF!</definedName>
    <definedName name="Table15">#REF!</definedName>
    <definedName name="Table16" localSheetId="43">#REF!</definedName>
    <definedName name="Table16" localSheetId="44">#REF!</definedName>
    <definedName name="Table16" localSheetId="39">#REF!</definedName>
    <definedName name="Table16" localSheetId="45">#REF!</definedName>
    <definedName name="Table16">#REF!</definedName>
    <definedName name="Table2" localSheetId="43">#REF!</definedName>
    <definedName name="Table2" localSheetId="44">#REF!</definedName>
    <definedName name="Table2" localSheetId="39">#REF!</definedName>
    <definedName name="Table2" localSheetId="45">#REF!</definedName>
    <definedName name="Table2">#REF!</definedName>
    <definedName name="Table3" localSheetId="43">#REF!</definedName>
    <definedName name="Table3" localSheetId="44">#REF!</definedName>
    <definedName name="Table3" localSheetId="39">#REF!</definedName>
    <definedName name="Table3" localSheetId="45">#REF!</definedName>
    <definedName name="Table3">#REF!</definedName>
    <definedName name="Table5" localSheetId="43">[63]Stfrprtables!#REF!</definedName>
    <definedName name="Table5" localSheetId="44">[63]Stfrprtables!#REF!</definedName>
    <definedName name="Table5" localSheetId="39">[63]Stfrprtables!#REF!</definedName>
    <definedName name="Table5" localSheetId="45">[63]Stfrprtables!#REF!</definedName>
    <definedName name="Table5">[63]Stfrprtables!#REF!</definedName>
    <definedName name="Table7" localSheetId="43">#REF!</definedName>
    <definedName name="Table7" localSheetId="44">#REF!</definedName>
    <definedName name="Table7" localSheetId="39">#REF!</definedName>
    <definedName name="Table7" localSheetId="45">#REF!</definedName>
    <definedName name="Table7" localSheetId="32">#REF!</definedName>
    <definedName name="Table7">#REF!</definedName>
    <definedName name="Table8" localSheetId="43">#REF!</definedName>
    <definedName name="Table8" localSheetId="44">#REF!</definedName>
    <definedName name="Table8" localSheetId="39">#REF!</definedName>
    <definedName name="Table8" localSheetId="45">#REF!</definedName>
    <definedName name="Table8">#REF!</definedName>
    <definedName name="TableA3" localSheetId="43">#REF!</definedName>
    <definedName name="TableA3" localSheetId="44">#REF!</definedName>
    <definedName name="TableA3" localSheetId="39">#REF!</definedName>
    <definedName name="TableA3" localSheetId="45">#REF!</definedName>
    <definedName name="TableA3">#REF!</definedName>
    <definedName name="TAME" localSheetId="43">#REF!</definedName>
    <definedName name="TAME" localSheetId="44">#REF!</definedName>
    <definedName name="TAME" localSheetId="39">#REF!</definedName>
    <definedName name="TAME" localSheetId="45">#REF!</definedName>
    <definedName name="TAME">#REF!</definedName>
    <definedName name="tarea1" localSheetId="43">#REF!</definedName>
    <definedName name="tarea1" localSheetId="44">#REF!</definedName>
    <definedName name="tarea1" localSheetId="39">#REF!</definedName>
    <definedName name="tarea1" localSheetId="45">#REF!</definedName>
    <definedName name="tarea1">#REF!</definedName>
    <definedName name="tarea2" localSheetId="43">#REF!</definedName>
    <definedName name="tarea2" localSheetId="44">#REF!</definedName>
    <definedName name="tarea2" localSheetId="39">#REF!</definedName>
    <definedName name="tarea2" localSheetId="45">#REF!</definedName>
    <definedName name="tarea2">#REF!</definedName>
    <definedName name="TASAS_DE_INTERES_PROMEDIO">[54]PROMEDIO!$A$97:$G$121,[54]PROMEDIO!$A$248:$G$272</definedName>
    <definedName name="Tbl_GFN">[62]Table_GEF!$B$2:$T$53</definedName>
    <definedName name="tblChecks">[42]ErrCheck!$A$3:$E$5</definedName>
    <definedName name="tblLinks">[42]Links!$A$4:$F$33</definedName>
    <definedName name="tbn" localSheetId="43">#REF!</definedName>
    <definedName name="tbn" localSheetId="44">#REF!</definedName>
    <definedName name="tbn" localSheetId="39">#REF!</definedName>
    <definedName name="tbn" localSheetId="45">#REF!</definedName>
    <definedName name="tbn" localSheetId="32">#REF!</definedName>
    <definedName name="tbn">#REF!</definedName>
    <definedName name="TC" localSheetId="43">#REF!</definedName>
    <definedName name="TC" localSheetId="44">#REF!</definedName>
    <definedName name="TC" localSheetId="39">#REF!</definedName>
    <definedName name="TC" localSheetId="45">#REF!</definedName>
    <definedName name="TC">#REF!</definedName>
    <definedName name="TC00">'[23]PROYECCIONES-PM 2000mod (2)'!$F$66</definedName>
    <definedName name="TCFEN" localSheetId="43">#REF!</definedName>
    <definedName name="TCFEN" localSheetId="44">#REF!</definedName>
    <definedName name="TCFEN" localSheetId="39">#REF!</definedName>
    <definedName name="TCFEN" localSheetId="45">#REF!</definedName>
    <definedName name="TCFEN" localSheetId="32">#REF!</definedName>
    <definedName name="TCFEN">#REF!</definedName>
    <definedName name="tchoy" localSheetId="43">#REF!</definedName>
    <definedName name="tchoy" localSheetId="44">#REF!</definedName>
    <definedName name="tchoy" localSheetId="39">#REF!</definedName>
    <definedName name="tchoy" localSheetId="45">#REF!</definedName>
    <definedName name="tchoy">#REF!</definedName>
    <definedName name="TCN">[36]SREAL!A$158</definedName>
    <definedName name="TDIC" localSheetId="43">#REF!</definedName>
    <definedName name="TDIC" localSheetId="44">#REF!</definedName>
    <definedName name="TDIC" localSheetId="39">#REF!</definedName>
    <definedName name="TDIC" localSheetId="45">#REF!</definedName>
    <definedName name="TDIC" localSheetId="32">#REF!</definedName>
    <definedName name="TDIC">#REF!</definedName>
    <definedName name="tdic96" localSheetId="43">#REF!</definedName>
    <definedName name="tdic96" localSheetId="44">#REF!</definedName>
    <definedName name="tdic96" localSheetId="39">#REF!</definedName>
    <definedName name="tdic96" localSheetId="45">#REF!</definedName>
    <definedName name="tdic96">#REF!</definedName>
    <definedName name="Test1" localSheetId="43">#REF!</definedName>
    <definedName name="Test1" localSheetId="44">#REF!</definedName>
    <definedName name="Test1" localSheetId="39">#REF!</definedName>
    <definedName name="Test1" localSheetId="45">#REF!</definedName>
    <definedName name="Test1">#REF!</definedName>
    <definedName name="TIME" localSheetId="43">[24]Sum1!#REF!</definedName>
    <definedName name="TIME" localSheetId="44">[24]Sum1!#REF!</definedName>
    <definedName name="TIME" localSheetId="39">[24]Sum1!#REF!</definedName>
    <definedName name="TIME" localSheetId="45">[24]Sum1!#REF!</definedName>
    <definedName name="TIME">[24]Sum1!#REF!</definedName>
    <definedName name="tititid" localSheetId="43">#REF!</definedName>
    <definedName name="tititid" localSheetId="44">#REF!</definedName>
    <definedName name="tititid" localSheetId="39">#REF!</definedName>
    <definedName name="tititid" localSheetId="45">#REF!</definedName>
    <definedName name="tititid">#REF!</definedName>
    <definedName name="Titulo" localSheetId="43">#REF!</definedName>
    <definedName name="Titulo" localSheetId="44">#REF!</definedName>
    <definedName name="Titulo" localSheetId="39">#REF!</definedName>
    <definedName name="Titulo" localSheetId="45">#REF!</definedName>
    <definedName name="Titulo">#REF!</definedName>
    <definedName name="títulos" localSheetId="43">#REF!</definedName>
    <definedName name="títulos" localSheetId="44">#REF!</definedName>
    <definedName name="títulos" localSheetId="39">#REF!</definedName>
    <definedName name="títulos" localSheetId="45">#REF!</definedName>
    <definedName name="títulos">#REF!</definedName>
    <definedName name="titulos_" localSheetId="43">#REF!</definedName>
    <definedName name="titulos_" localSheetId="44">#REF!</definedName>
    <definedName name="titulos_" localSheetId="39">#REF!</definedName>
    <definedName name="titulos_" localSheetId="45">#REF!</definedName>
    <definedName name="titulos_">#REF!</definedName>
    <definedName name="_xlnm.Print_Titles">[19]Q5!$A$1:$C$65536,[19]Q5!$A$1:$IV$7</definedName>
    <definedName name="tjun" localSheetId="43">#REF!</definedName>
    <definedName name="tjun" localSheetId="44">#REF!</definedName>
    <definedName name="tjun" localSheetId="39">#REF!</definedName>
    <definedName name="tjun" localSheetId="45">#REF!</definedName>
    <definedName name="tjun">#REF!</definedName>
    <definedName name="TM">[22]WEOQ5!$E$19:$AH$19</definedName>
    <definedName name="TM_D">[22]WEOQ5!$E$23:$AH$23</definedName>
    <definedName name="TM_DPCH">[22]WEOQ5!$E$24:$AH$24</definedName>
    <definedName name="TM_R">[22]WEOQ5!$E$22:$AH$22</definedName>
    <definedName name="TM_RPCH">[22]WEOQ5!$E$21:$AH$21</definedName>
    <definedName name="TMAR" localSheetId="43">#REF!</definedName>
    <definedName name="TMAR" localSheetId="44">#REF!</definedName>
    <definedName name="TMAR" localSheetId="39">#REF!</definedName>
    <definedName name="TMAR" localSheetId="45">#REF!</definedName>
    <definedName name="TMAR" localSheetId="32">#REF!</definedName>
    <definedName name="TMAR">#REF!</definedName>
    <definedName name="TMG">[22]WEOQ5!$E$38:$AH$38</definedName>
    <definedName name="TMG_D">[31]Q5!$E$23:$AH$23</definedName>
    <definedName name="TMG_DPCH">[22]WEOQ5!$E$43:$AH$43</definedName>
    <definedName name="TMG_R">[22]WEOQ5!$E$41:$AH$41</definedName>
    <definedName name="TMG_RPCH">[22]WEOQ5!$E$40:$AH$40</definedName>
    <definedName name="TMGO">#N/A</definedName>
    <definedName name="TMGO_D">[22]WEOQ5!$E$63:$AH$63</definedName>
    <definedName name="TMGO_DPCH">[22]WEOQ5!$E$64:$AH$64</definedName>
    <definedName name="TMGO_R">[22]WEOQ5!$E$62:$AH$62</definedName>
    <definedName name="TMGO_RPCH">[22]WEOQ5!$E$60:$AH$60</definedName>
    <definedName name="TMGXO">[22]WEOQ5!$E$82:$AH$82</definedName>
    <definedName name="TMGXO_D">[22]WEOQ5!$E$88:$AH$88</definedName>
    <definedName name="TMGXO_DPCH">[22]WEOQ5!$E$89:$AH$89</definedName>
    <definedName name="TMGXO_R">[22]WEOQ5!$E$87:$AH$87</definedName>
    <definedName name="TMGXO_RPCH">[22]WEOQ5!$E$84:$AH$84</definedName>
    <definedName name="TMS">[22]WEOQ5!$E$97:$AH$97</definedName>
    <definedName name="TNAME" localSheetId="43">[29]WETA!#REF!</definedName>
    <definedName name="TNAME" localSheetId="44">[29]WETA!#REF!</definedName>
    <definedName name="TNAME" localSheetId="39">[29]WETA!#REF!</definedName>
    <definedName name="TNAME" localSheetId="45">[29]WETA!#REF!</definedName>
    <definedName name="TNAME">[29]WETA!#REF!</definedName>
    <definedName name="tnov" localSheetId="43">#REF!</definedName>
    <definedName name="tnov" localSheetId="44">#REF!</definedName>
    <definedName name="tnov" localSheetId="39">#REF!</definedName>
    <definedName name="tnov" localSheetId="45">#REF!</definedName>
    <definedName name="tnov">#REF!</definedName>
    <definedName name="toct" localSheetId="43">#REF!</definedName>
    <definedName name="toct" localSheetId="44">#REF!</definedName>
    <definedName name="toct" localSheetId="39">#REF!</definedName>
    <definedName name="toct" localSheetId="45">#REF!</definedName>
    <definedName name="toct">#REF!</definedName>
    <definedName name="TOWEO" localSheetId="43">#REF!</definedName>
    <definedName name="TOWEO" localSheetId="44">#REF!</definedName>
    <definedName name="TOWEO" localSheetId="39">#REF!</definedName>
    <definedName name="TOWEO" localSheetId="45">#REF!</definedName>
    <definedName name="TOWEO">#REF!</definedName>
    <definedName name="toyear">[44]Data!$B$25</definedName>
    <definedName name="TRADE3" localSheetId="43">[15]Trade!#REF!</definedName>
    <definedName name="TRADE3" localSheetId="44">[15]Trade!#REF!</definedName>
    <definedName name="TRADE3" localSheetId="39">[15]Trade!#REF!</definedName>
    <definedName name="TRADE3" localSheetId="45">[15]Trade!#REF!</definedName>
    <definedName name="TRADE3">[15]Trade!#REF!</definedName>
    <definedName name="trans" localSheetId="43">#REF!</definedName>
    <definedName name="trans" localSheetId="44">#REF!</definedName>
    <definedName name="trans" localSheetId="39">#REF!</definedName>
    <definedName name="trans" localSheetId="45">#REF!</definedName>
    <definedName name="trans" localSheetId="32">#REF!</definedName>
    <definedName name="trans">#REF!</definedName>
    <definedName name="Transfer_check" localSheetId="43">#REF!</definedName>
    <definedName name="Transfer_check" localSheetId="44">#REF!</definedName>
    <definedName name="Transfer_check" localSheetId="39">#REF!</definedName>
    <definedName name="Transfer_check" localSheetId="45">#REF!</definedName>
    <definedName name="Transfer_check">#REF!</definedName>
    <definedName name="TRANSNAVE" localSheetId="43">#REF!</definedName>
    <definedName name="TRANSNAVE" localSheetId="44">#REF!</definedName>
    <definedName name="TRANSNAVE" localSheetId="39">#REF!</definedName>
    <definedName name="TRANSNAVE" localSheetId="45">#REF!</definedName>
    <definedName name="TRANSNAVE">#REF!</definedName>
    <definedName name="TRAS">#N/A</definedName>
    <definedName name="tretry" localSheetId="43" hidden="1">[8]Data!#REF!</definedName>
    <definedName name="tretry" localSheetId="44" hidden="1">[8]Data!#REF!</definedName>
    <definedName name="tretry" localSheetId="39" hidden="1">[8]Data!#REF!</definedName>
    <definedName name="tretry" localSheetId="45" hidden="1">[8]Data!#REF!</definedName>
    <definedName name="tretry" hidden="1">[8]Data!#REF!</definedName>
    <definedName name="TRISM" localSheetId="43">#REF!</definedName>
    <definedName name="TRISM" localSheetId="44">#REF!</definedName>
    <definedName name="TRISM" localSheetId="39">#REF!</definedName>
    <definedName name="TRISM" localSheetId="45">#REF!</definedName>
    <definedName name="TRISM">#REF!</definedName>
    <definedName name="TS" localSheetId="43">#REF!</definedName>
    <definedName name="TS" localSheetId="44">#REF!</definedName>
    <definedName name="TS" localSheetId="39">#REF!</definedName>
    <definedName name="TS" localSheetId="45">#REF!</definedName>
    <definedName name="TS">#REF!</definedName>
    <definedName name="TSET" localSheetId="43">#REF!</definedName>
    <definedName name="TSET" localSheetId="44">#REF!</definedName>
    <definedName name="TSET" localSheetId="39">#REF!</definedName>
    <definedName name="TSET" localSheetId="45">#REF!</definedName>
    <definedName name="TSET">#REF!</definedName>
    <definedName name="TTO_Summary_of_non_fator_services" localSheetId="43">#REF!</definedName>
    <definedName name="TTO_Summary_of_non_fator_services" localSheetId="44">#REF!</definedName>
    <definedName name="TTO_Summary_of_non_fator_services" localSheetId="39">#REF!</definedName>
    <definedName name="TTO_Summary_of_non_fator_services" localSheetId="45">#REF!</definedName>
    <definedName name="TTO_Summary_of_non_fator_services">#REF!</definedName>
    <definedName name="ttttt" localSheetId="43" hidden="1">[49]M!#REF!</definedName>
    <definedName name="ttttt" localSheetId="44" hidden="1">[49]M!#REF!</definedName>
    <definedName name="ttttt" localSheetId="39" hidden="1">[49]M!#REF!</definedName>
    <definedName name="ttttt" localSheetId="45" hidden="1">[49]M!#REF!</definedName>
    <definedName name="ttttt" hidden="1">[49]M!#REF!</definedName>
    <definedName name="twryrwe" localSheetId="43" hidden="1">[11]PRIVATE!#REF!</definedName>
    <definedName name="twryrwe" localSheetId="44" hidden="1">[11]PRIVATE!#REF!</definedName>
    <definedName name="twryrwe" localSheetId="39" hidden="1">[11]PRIVATE!#REF!</definedName>
    <definedName name="twryrwe" localSheetId="45" hidden="1">[11]PRIVATE!#REF!</definedName>
    <definedName name="twryrwe" hidden="1">[11]PRIVATE!#REF!</definedName>
    <definedName name="TX">[22]WEOQ5!$E$11:$AH$11</definedName>
    <definedName name="TX_D">[22]WEOQ5!$E$15:$AH$15</definedName>
    <definedName name="TX_DPCH">[22]WEOQ5!$E$16:$AH$16</definedName>
    <definedName name="TX_R">[22]WEOQ5!$E$14:$AH$14</definedName>
    <definedName name="TX_RPCH">[22]WEOQ5!$E$13:$AH$13</definedName>
    <definedName name="TXG">[22]WEOQ5!$E$30:$AH$30</definedName>
    <definedName name="TXG_D">#N/A</definedName>
    <definedName name="TXG_DPCH">[22]WEOQ5!$E$35:$AH$35</definedName>
    <definedName name="TXG_R">[22]WEOQ5!$E$33:$AH$33</definedName>
    <definedName name="TXG_RPCH">[22]WEOQ5!$E$32:$AH$32</definedName>
    <definedName name="TXGO">#N/A</definedName>
    <definedName name="TXGO_D">[22]WEOQ5!$E$54:$AH$54</definedName>
    <definedName name="TXGO_DPCH">[22]WEOQ5!$E$55:$AH$55</definedName>
    <definedName name="TXGO_R">[22]WEOQ5!$E$53:$AH$53</definedName>
    <definedName name="TXGO_RPCH">[22]WEOQ5!$E$51:$AH$51</definedName>
    <definedName name="TXGXO">[22]WEOQ5!$E$72:$AH$72</definedName>
    <definedName name="TXGXO_D">[22]WEOQ5!$E$78:$AH$78</definedName>
    <definedName name="TXGXO_DPCH">[22]WEOQ5!$E$79:$AH$79</definedName>
    <definedName name="TXGXO_R">[22]WEOQ5!$E$77:$AH$77</definedName>
    <definedName name="TXGXO_RPCH">[22]WEOQ5!$E$74:$AH$74</definedName>
    <definedName name="TXS">[22]WEOQ5!$E$95:$AH$95</definedName>
    <definedName name="uiuuui" localSheetId="43">#REF!</definedName>
    <definedName name="uiuuui" localSheetId="44">#REF!</definedName>
    <definedName name="uiuuui" localSheetId="39">#REF!</definedName>
    <definedName name="uiuuui" localSheetId="45">#REF!</definedName>
    <definedName name="uiuuui">#REF!</definedName>
    <definedName name="UnidadMonetaria" localSheetId="43">#REF!</definedName>
    <definedName name="UnidadMonetaria" localSheetId="44">#REF!</definedName>
    <definedName name="UnidadMonetaria" localSheetId="39">#REF!</definedName>
    <definedName name="UnidadMonetaria" localSheetId="45">#REF!</definedName>
    <definedName name="UnidadMonetaria">#REF!</definedName>
    <definedName name="Universities" localSheetId="43">#REF!</definedName>
    <definedName name="Universities" localSheetId="44">#REF!</definedName>
    <definedName name="Universities" localSheetId="39">#REF!</definedName>
    <definedName name="Universities" localSheetId="45">#REF!</definedName>
    <definedName name="Universities">#REF!</definedName>
    <definedName name="Uruguay" localSheetId="43">#REF!</definedName>
    <definedName name="Uruguay" localSheetId="44">#REF!</definedName>
    <definedName name="Uruguay" localSheetId="39">#REF!</definedName>
    <definedName name="Uruguay" localSheetId="45">#REF!</definedName>
    <definedName name="Uruguay">#REF!</definedName>
    <definedName name="uyuyuyuu" localSheetId="43">#REF!</definedName>
    <definedName name="uyuyuyuu" localSheetId="44">#REF!</definedName>
    <definedName name="uyuyuyuu" localSheetId="39">#REF!</definedName>
    <definedName name="uyuyuyuu" localSheetId="45">#REF!</definedName>
    <definedName name="uyuyuyuu">#REF!</definedName>
    <definedName name="uyyuuyuy" localSheetId="43">#REF!</definedName>
    <definedName name="uyyuuyuy" localSheetId="44">#REF!</definedName>
    <definedName name="uyyuuyuy" localSheetId="39">#REF!</definedName>
    <definedName name="uyyuuyuy" localSheetId="45">#REF!</definedName>
    <definedName name="uyyuuyuy">#REF!</definedName>
    <definedName name="uyyuyuyu" localSheetId="43">#REF!</definedName>
    <definedName name="uyyuyuyu" localSheetId="44">#REF!</definedName>
    <definedName name="uyyuyuyu" localSheetId="39">#REF!</definedName>
    <definedName name="uyyuyuyu" localSheetId="45">#REF!</definedName>
    <definedName name="uyyuyuyu">#REF!</definedName>
    <definedName name="v" localSheetId="43" hidden="1">#REF!</definedName>
    <definedName name="v" localSheetId="44" hidden="1">#REF!</definedName>
    <definedName name="v" localSheetId="39" hidden="1">#REF!</definedName>
    <definedName name="v" localSheetId="45" hidden="1">#REF!</definedName>
    <definedName name="v" hidden="1">#REF!</definedName>
    <definedName name="venci" localSheetId="43">#REF!</definedName>
    <definedName name="venci" localSheetId="44">#REF!</definedName>
    <definedName name="venci" localSheetId="39">#REF!</definedName>
    <definedName name="venci" localSheetId="45">#REF!</definedName>
    <definedName name="venci">#REF!</definedName>
    <definedName name="venci2000" localSheetId="43">#REF!</definedName>
    <definedName name="venci2000" localSheetId="44">#REF!</definedName>
    <definedName name="venci2000" localSheetId="39">#REF!</definedName>
    <definedName name="venci2000" localSheetId="45">#REF!</definedName>
    <definedName name="venci2000">#REF!</definedName>
    <definedName name="venci2001" localSheetId="43">#REF!</definedName>
    <definedName name="venci2001" localSheetId="44">#REF!</definedName>
    <definedName name="venci2001" localSheetId="39">#REF!</definedName>
    <definedName name="venci2001" localSheetId="45">#REF!</definedName>
    <definedName name="venci2001">#REF!</definedName>
    <definedName name="venci2002" localSheetId="43">#REF!</definedName>
    <definedName name="venci2002" localSheetId="44">#REF!</definedName>
    <definedName name="venci2002" localSheetId="39">#REF!</definedName>
    <definedName name="venci2002" localSheetId="45">#REF!</definedName>
    <definedName name="venci2002">#REF!</definedName>
    <definedName name="venci2003" localSheetId="43">#REF!</definedName>
    <definedName name="venci2003" localSheetId="44">#REF!</definedName>
    <definedName name="venci2003" localSheetId="39">#REF!</definedName>
    <definedName name="venci2003" localSheetId="45">#REF!</definedName>
    <definedName name="venci2003">#REF!</definedName>
    <definedName name="venci2004" localSheetId="43">[16]Programa!#REF!</definedName>
    <definedName name="venci2004" localSheetId="44">[16]Programa!#REF!</definedName>
    <definedName name="venci2004" localSheetId="39">[16]Programa!#REF!</definedName>
    <definedName name="venci2004" localSheetId="45">[16]Programa!#REF!</definedName>
    <definedName name="venci2004">[16]Programa!#REF!</definedName>
    <definedName name="venci2005" localSheetId="43">[16]Programa!#REF!</definedName>
    <definedName name="venci2005" localSheetId="44">[16]Programa!#REF!</definedName>
    <definedName name="venci2005" localSheetId="39">[16]Programa!#REF!</definedName>
    <definedName name="venci2005" localSheetId="45">[16]Programa!#REF!</definedName>
    <definedName name="venci2005">[16]Programa!#REF!</definedName>
    <definedName name="venci98" localSheetId="43">[14]Programa!#REF!</definedName>
    <definedName name="venci98" localSheetId="44">[14]Programa!#REF!</definedName>
    <definedName name="venci98" localSheetId="39">[14]Programa!#REF!</definedName>
    <definedName name="venci98" localSheetId="45">[14]Programa!#REF!</definedName>
    <definedName name="venci98">[14]Programa!#REF!</definedName>
    <definedName name="venci98j" localSheetId="43">[14]Programa!#REF!</definedName>
    <definedName name="venci98j" localSheetId="44">[14]Programa!#REF!</definedName>
    <definedName name="venci98j" localSheetId="39">[14]Programa!#REF!</definedName>
    <definedName name="venci98j" localSheetId="45">[14]Programa!#REF!</definedName>
    <definedName name="venci98j">[14]Programa!#REF!</definedName>
    <definedName name="venci98s" localSheetId="43">#REF!</definedName>
    <definedName name="venci98s" localSheetId="44">#REF!</definedName>
    <definedName name="venci98s" localSheetId="39">#REF!</definedName>
    <definedName name="venci98s" localSheetId="45">#REF!</definedName>
    <definedName name="venci98s">#REF!</definedName>
    <definedName name="venci99" localSheetId="43">#REF!</definedName>
    <definedName name="venci99" localSheetId="44">#REF!</definedName>
    <definedName name="venci99" localSheetId="39">#REF!</definedName>
    <definedName name="venci99" localSheetId="45">#REF!</definedName>
    <definedName name="venci99">#REF!</definedName>
    <definedName name="Venezuela" localSheetId="43">#REF!</definedName>
    <definedName name="Venezuela" localSheetId="44">#REF!</definedName>
    <definedName name="Venezuela" localSheetId="39">#REF!</definedName>
    <definedName name="Venezuela" localSheetId="45">#REF!</definedName>
    <definedName name="Venezuela">#REF!</definedName>
    <definedName name="version_" localSheetId="43">#REF!</definedName>
    <definedName name="version_" localSheetId="44">#REF!</definedName>
    <definedName name="version_" localSheetId="39">#REF!</definedName>
    <definedName name="version_" localSheetId="45">#REF!</definedName>
    <definedName name="version_">#REF!</definedName>
    <definedName name="Vigencia" localSheetId="43">#REF!</definedName>
    <definedName name="Vigencia" localSheetId="44">#REF!</definedName>
    <definedName name="Vigencia" localSheetId="39">#REF!</definedName>
    <definedName name="Vigencia" localSheetId="45">#REF!</definedName>
    <definedName name="Vigencia">#REF!</definedName>
    <definedName name="vigencia1" localSheetId="43">#REF!</definedName>
    <definedName name="vigencia1" localSheetId="44">#REF!</definedName>
    <definedName name="vigencia1" localSheetId="39">#REF!</definedName>
    <definedName name="vigencia1" localSheetId="45">#REF!</definedName>
    <definedName name="vigencia1">#REF!</definedName>
    <definedName name="WPCP33_D">[22]WEOQ5!$E$67:$AH$67</definedName>
    <definedName name="WPCP33pch">[22]WEOQ5!$E$68:$AH$68</definedName>
    <definedName name="wret" localSheetId="43">#REF!</definedName>
    <definedName name="wret" localSheetId="44">#REF!</definedName>
    <definedName name="wret" localSheetId="39">#REF!</definedName>
    <definedName name="wret" localSheetId="45">#REF!</definedName>
    <definedName name="wret" localSheetId="32">#REF!</definedName>
    <definedName name="wret">#REF!</definedName>
    <definedName name="ww" localSheetId="43" hidden="1">[49]M!#REF!</definedName>
    <definedName name="ww" localSheetId="44" hidden="1">[49]M!#REF!</definedName>
    <definedName name="ww" localSheetId="39" hidden="1">[49]M!#REF!</definedName>
    <definedName name="ww" localSheetId="45" hidden="1">[49]M!#REF!</definedName>
    <definedName name="ww" hidden="1">[49]M!#REF!</definedName>
    <definedName name="wwww" localSheetId="43" hidden="1">[49]M!#REF!</definedName>
    <definedName name="wwww" localSheetId="44" hidden="1">[49]M!#REF!</definedName>
    <definedName name="wwww" localSheetId="39" hidden="1">[49]M!#REF!</definedName>
    <definedName name="wwww" localSheetId="45" hidden="1">[49]M!#REF!</definedName>
    <definedName name="wwww" hidden="1">[49]M!#REF!</definedName>
    <definedName name="x" localSheetId="43">#REF!</definedName>
    <definedName name="x" localSheetId="44">#REF!</definedName>
    <definedName name="x" localSheetId="39">#REF!</definedName>
    <definedName name="x" localSheetId="45">#REF!</definedName>
    <definedName name="x">#REF!</definedName>
    <definedName name="xa" localSheetId="43">'[40]PIB EN CORR'!#REF!</definedName>
    <definedName name="xa" localSheetId="44">'[40]PIB EN CORR'!#REF!</definedName>
    <definedName name="xa" localSheetId="39">'[40]PIB EN CORR'!#REF!</definedName>
    <definedName name="xa" localSheetId="45">'[40]PIB EN CORR'!#REF!</definedName>
    <definedName name="xa">'[40]PIB EN CORR'!#REF!</definedName>
    <definedName name="xaa">'[40]PIB EN CORR'!$AV$5:$AV$77</definedName>
    <definedName name="xbb" localSheetId="43">'[40]PIB EN CORR'!#REF!</definedName>
    <definedName name="xbb" localSheetId="44">'[40]PIB EN CORR'!#REF!</definedName>
    <definedName name="xbb" localSheetId="39">'[40]PIB EN CORR'!#REF!</definedName>
    <definedName name="xbb" localSheetId="45">'[40]PIB EN CORR'!#REF!</definedName>
    <definedName name="xbb">'[40]PIB EN CORR'!#REF!</definedName>
    <definedName name="XBS">[36]SREAL!A$41</definedName>
    <definedName name="XGS" localSheetId="43">#REF!</definedName>
    <definedName name="XGS" localSheetId="44">#REF!</definedName>
    <definedName name="XGS" localSheetId="39">#REF!</definedName>
    <definedName name="XGS" localSheetId="45">#REF!</definedName>
    <definedName name="XGS" localSheetId="32">#REF!</definedName>
    <definedName name="XGS">#REF!</definedName>
    <definedName name="xxWRS_1" localSheetId="43">#REF!</definedName>
    <definedName name="xxWRS_1" localSheetId="44">#REF!</definedName>
    <definedName name="xxWRS_1" localSheetId="39">#REF!</definedName>
    <definedName name="xxWRS_1" localSheetId="45">#REF!</definedName>
    <definedName name="xxWRS_1">#REF!</definedName>
    <definedName name="xxxxx" localSheetId="43">#REF!</definedName>
    <definedName name="xxxxx" localSheetId="44">#REF!</definedName>
    <definedName name="xxxxx" localSheetId="39">#REF!</definedName>
    <definedName name="xxxxx" localSheetId="13">#REF!</definedName>
    <definedName name="xxxxx" localSheetId="45">#REF!</definedName>
    <definedName name="xxxxx" localSheetId="32">#REF!</definedName>
    <definedName name="xxxxx">#REF!</definedName>
    <definedName name="y">[36]SREAL!A$10</definedName>
    <definedName name="Year" localSheetId="43">#REF!</definedName>
    <definedName name="Year" localSheetId="44">#REF!</definedName>
    <definedName name="Year" localSheetId="39">#REF!</definedName>
    <definedName name="Year" localSheetId="45">#REF!</definedName>
    <definedName name="Year" localSheetId="32">#REF!</definedName>
    <definedName name="Year">#REF!</definedName>
    <definedName name="Years">[22]WEOQ7!$E$6:$AH$6</definedName>
    <definedName name="yiuyuuyui" localSheetId="43">#REF!</definedName>
    <definedName name="yiuyuuyui" localSheetId="44">#REF!</definedName>
    <definedName name="yiuyuuyui" localSheetId="39">#REF!</definedName>
    <definedName name="yiuyuuyui" localSheetId="45">#REF!</definedName>
    <definedName name="yiuyuuyui">#REF!</definedName>
    <definedName name="yuiyiyiyi" localSheetId="43">#REF!</definedName>
    <definedName name="yuiyiyiyi" localSheetId="44">#REF!</definedName>
    <definedName name="yuiyiyiyi" localSheetId="39">#REF!</definedName>
    <definedName name="yuiyiyiyi" localSheetId="45">#REF!</definedName>
    <definedName name="yuiyiyiyi">#REF!</definedName>
    <definedName name="yuuyuu" localSheetId="43">#REF!</definedName>
    <definedName name="yuuyuu" localSheetId="44">#REF!</definedName>
    <definedName name="yuuyuu" localSheetId="39">#REF!</definedName>
    <definedName name="yuuyuu" localSheetId="45">#REF!</definedName>
    <definedName name="yuuyuu">#REF!</definedName>
    <definedName name="yuuyuuuy" localSheetId="43">#REF!</definedName>
    <definedName name="yuuyuuuy" localSheetId="44">#REF!</definedName>
    <definedName name="yuuyuuuy" localSheetId="39">#REF!</definedName>
    <definedName name="yuuyuuuy" localSheetId="45">#REF!</definedName>
    <definedName name="yuuyuuuy">#REF!</definedName>
    <definedName name="yuyuiyu" localSheetId="43">#REF!</definedName>
    <definedName name="yuyuiyu" localSheetId="44">#REF!</definedName>
    <definedName name="yuyuiyu" localSheetId="39">#REF!</definedName>
    <definedName name="yuyuiyu" localSheetId="45">#REF!</definedName>
    <definedName name="yuyuiyu">#REF!</definedName>
    <definedName name="yuyuuu" localSheetId="43">#REF!</definedName>
    <definedName name="yuyuuu" localSheetId="44">#REF!</definedName>
    <definedName name="yuyuuu" localSheetId="39">#REF!</definedName>
    <definedName name="yuyuuu" localSheetId="45">#REF!</definedName>
    <definedName name="yuyuuu">#REF!</definedName>
    <definedName name="yuyuyuyu" localSheetId="43">#REF!</definedName>
    <definedName name="yuyuyuyu" localSheetId="44">#REF!</definedName>
    <definedName name="yuyuyuyu" localSheetId="39">#REF!</definedName>
    <definedName name="yuyuyuyu" localSheetId="45">#REF!</definedName>
    <definedName name="yuyuyuyu">#REF!</definedName>
    <definedName name="Z_00C67BFA_FEDD_11D1_98B3_00C04FC96ABD_.wvu.Rows" localSheetId="43" hidden="1">[39]BOP!$A$36:$IV$36,[39]BOP!$A$44:$IV$44,[39]BOP!$A$59:$IV$59,[39]BOP!#REF!,[39]BOP!#REF!,[39]BOP!$A$81:$IV$88</definedName>
    <definedName name="Z_00C67BFA_FEDD_11D1_98B3_00C04FC96ABD_.wvu.Rows" localSheetId="44" hidden="1">[39]BOP!$A$36:$IV$36,[39]BOP!$A$44:$IV$44,[39]BOP!$A$59:$IV$59,[39]BOP!#REF!,[39]BOP!#REF!,[39]BOP!$A$81:$IV$88</definedName>
    <definedName name="Z_00C67BFA_FEDD_11D1_98B3_00C04FC96ABD_.wvu.Rows" localSheetId="39" hidden="1">[39]BOP!$A$36:$IV$36,[39]BOP!$A$44:$IV$44,[39]BOP!$A$59:$IV$59,[39]BOP!#REF!,[39]BOP!#REF!,[39]BOP!$A$81:$IV$88</definedName>
    <definedName name="Z_00C67BFA_FEDD_11D1_98B3_00C04FC96ABD_.wvu.Rows" localSheetId="45" hidden="1">[39]BOP!$A$36:$IV$36,[39]BOP!$A$44:$IV$44,[39]BOP!$A$59:$IV$59,[39]BOP!#REF!,[39]BOP!#REF!,[39]BOP!$A$81:$IV$88</definedName>
    <definedName name="Z_00C67BFA_FEDD_11D1_98B3_00C04FC96ABD_.wvu.Rows" hidden="1">[39]BOP!$A$36:$IV$36,[39]BOP!$A$44:$IV$44,[39]BOP!$A$59:$IV$59,[39]BOP!#REF!,[39]BOP!#REF!,[39]BOP!$A$81:$IV$88</definedName>
    <definedName name="Z_00C67BFB_FEDD_11D1_98B3_00C04FC96ABD_.wvu.Rows" localSheetId="43" hidden="1">[39]BOP!$A$36:$IV$36,[39]BOP!$A$44:$IV$44,[39]BOP!$A$59:$IV$59,[39]BOP!#REF!,[39]BOP!#REF!,[39]BOP!$A$81:$IV$88</definedName>
    <definedName name="Z_00C67BFB_FEDD_11D1_98B3_00C04FC96ABD_.wvu.Rows" localSheetId="44" hidden="1">[39]BOP!$A$36:$IV$36,[39]BOP!$A$44:$IV$44,[39]BOP!$A$59:$IV$59,[39]BOP!#REF!,[39]BOP!#REF!,[39]BOP!$A$81:$IV$88</definedName>
    <definedName name="Z_00C67BFB_FEDD_11D1_98B3_00C04FC96ABD_.wvu.Rows" localSheetId="39" hidden="1">[39]BOP!$A$36:$IV$36,[39]BOP!$A$44:$IV$44,[39]BOP!$A$59:$IV$59,[39]BOP!#REF!,[39]BOP!#REF!,[39]BOP!$A$81:$IV$88</definedName>
    <definedName name="Z_00C67BFB_FEDD_11D1_98B3_00C04FC96ABD_.wvu.Rows" localSheetId="45" hidden="1">[39]BOP!$A$36:$IV$36,[39]BOP!$A$44:$IV$44,[39]BOP!$A$59:$IV$59,[39]BOP!#REF!,[39]BOP!#REF!,[39]BOP!$A$81:$IV$88</definedName>
    <definedName name="Z_00C67BFB_FEDD_11D1_98B3_00C04FC96ABD_.wvu.Rows" hidden="1">[39]BOP!$A$36:$IV$36,[39]BOP!$A$44:$IV$44,[39]BOP!$A$59:$IV$59,[39]BOP!#REF!,[39]BOP!#REF!,[39]BOP!$A$81:$IV$88</definedName>
    <definedName name="Z_00C67BFC_FEDD_11D1_98B3_00C04FC96ABD_.wvu.Rows" localSheetId="43" hidden="1">[39]BOP!$A$36:$IV$36,[39]BOP!$A$44:$IV$44,[39]BOP!$A$59:$IV$59,[39]BOP!#REF!,[39]BOP!#REF!,[39]BOP!$A$81:$IV$88</definedName>
    <definedName name="Z_00C67BFC_FEDD_11D1_98B3_00C04FC96ABD_.wvu.Rows" localSheetId="44" hidden="1">[39]BOP!$A$36:$IV$36,[39]BOP!$A$44:$IV$44,[39]BOP!$A$59:$IV$59,[39]BOP!#REF!,[39]BOP!#REF!,[39]BOP!$A$81:$IV$88</definedName>
    <definedName name="Z_00C67BFC_FEDD_11D1_98B3_00C04FC96ABD_.wvu.Rows" localSheetId="39" hidden="1">[39]BOP!$A$36:$IV$36,[39]BOP!$A$44:$IV$44,[39]BOP!$A$59:$IV$59,[39]BOP!#REF!,[39]BOP!#REF!,[39]BOP!$A$81:$IV$88</definedName>
    <definedName name="Z_00C67BFC_FEDD_11D1_98B3_00C04FC96ABD_.wvu.Rows" localSheetId="45" hidden="1">[39]BOP!$A$36:$IV$36,[39]BOP!$A$44:$IV$44,[39]BOP!$A$59:$IV$59,[39]BOP!#REF!,[39]BOP!#REF!,[39]BOP!$A$81:$IV$88</definedName>
    <definedName name="Z_00C67BFC_FEDD_11D1_98B3_00C04FC96ABD_.wvu.Rows" hidden="1">[39]BOP!$A$36:$IV$36,[39]BOP!$A$44:$IV$44,[39]BOP!$A$59:$IV$59,[39]BOP!#REF!,[39]BOP!#REF!,[39]BOP!$A$81:$IV$88</definedName>
    <definedName name="Z_00C67BFD_FEDD_11D1_98B3_00C04FC96ABD_.wvu.Rows" localSheetId="43" hidden="1">[39]BOP!$A$36:$IV$36,[39]BOP!$A$44:$IV$44,[39]BOP!$A$59:$IV$59,[39]BOP!#REF!,[39]BOP!#REF!,[39]BOP!$A$81:$IV$88</definedName>
    <definedName name="Z_00C67BFD_FEDD_11D1_98B3_00C04FC96ABD_.wvu.Rows" localSheetId="44" hidden="1">[39]BOP!$A$36:$IV$36,[39]BOP!$A$44:$IV$44,[39]BOP!$A$59:$IV$59,[39]BOP!#REF!,[39]BOP!#REF!,[39]BOP!$A$81:$IV$88</definedName>
    <definedName name="Z_00C67BFD_FEDD_11D1_98B3_00C04FC96ABD_.wvu.Rows" localSheetId="39" hidden="1">[39]BOP!$A$36:$IV$36,[39]BOP!$A$44:$IV$44,[39]BOP!$A$59:$IV$59,[39]BOP!#REF!,[39]BOP!#REF!,[39]BOP!$A$81:$IV$88</definedName>
    <definedName name="Z_00C67BFD_FEDD_11D1_98B3_00C04FC96ABD_.wvu.Rows" localSheetId="45" hidden="1">[39]BOP!$A$36:$IV$36,[39]BOP!$A$44:$IV$44,[39]BOP!$A$59:$IV$59,[39]BOP!#REF!,[39]BOP!#REF!,[39]BOP!$A$81:$IV$88</definedName>
    <definedName name="Z_00C67BFD_FEDD_11D1_98B3_00C04FC96ABD_.wvu.Rows" hidden="1">[39]BOP!$A$36:$IV$36,[39]BOP!$A$44:$IV$44,[39]BOP!$A$59:$IV$59,[39]BOP!#REF!,[39]BOP!#REF!,[39]BOP!$A$81:$IV$88</definedName>
    <definedName name="Z_00C67BFE_FEDD_11D1_98B3_00C04FC96ABD_.wvu.Rows" localSheetId="43" hidden="1">[39]BOP!$A$36:$IV$36,[39]BOP!$A$44:$IV$44,[39]BOP!$A$59:$IV$59,[39]BOP!#REF!,[39]BOP!#REF!,[39]BOP!$A$79:$IV$79,[39]BOP!$A$81:$IV$88,[39]BOP!#REF!</definedName>
    <definedName name="Z_00C67BFE_FEDD_11D1_98B3_00C04FC96ABD_.wvu.Rows" localSheetId="44" hidden="1">[39]BOP!$A$36:$IV$36,[39]BOP!$A$44:$IV$44,[39]BOP!$A$59:$IV$59,[39]BOP!#REF!,[39]BOP!#REF!,[39]BOP!$A$79:$IV$79,[39]BOP!$A$81:$IV$88,[39]BOP!#REF!</definedName>
    <definedName name="Z_00C67BFE_FEDD_11D1_98B3_00C04FC96ABD_.wvu.Rows" localSheetId="39" hidden="1">[39]BOP!$A$36:$IV$36,[39]BOP!$A$44:$IV$44,[39]BOP!$A$59:$IV$59,[39]BOP!#REF!,[39]BOP!#REF!,[39]BOP!$A$79:$IV$79,[39]BOP!$A$81:$IV$88,[39]BOP!#REF!</definedName>
    <definedName name="Z_00C67BFE_FEDD_11D1_98B3_00C04FC96ABD_.wvu.Rows" localSheetId="45" hidden="1">[39]BOP!$A$36:$IV$36,[39]BOP!$A$44:$IV$44,[39]BOP!$A$59:$IV$59,[39]BOP!#REF!,[39]BOP!#REF!,[39]BOP!$A$79:$IV$79,[39]BOP!$A$81:$IV$88,[39]BOP!#REF!</definedName>
    <definedName name="Z_00C67BFE_FEDD_11D1_98B3_00C04FC96ABD_.wvu.Rows" hidden="1">[39]BOP!$A$36:$IV$36,[39]BOP!$A$44:$IV$44,[39]BOP!$A$59:$IV$59,[39]BOP!#REF!,[39]BOP!#REF!,[39]BOP!$A$79:$IV$79,[39]BOP!$A$81:$IV$88,[39]BOP!#REF!</definedName>
    <definedName name="Z_00C67BFF_FEDD_11D1_98B3_00C04FC96ABD_.wvu.Rows" localSheetId="43" hidden="1">[39]BOP!$A$36:$IV$36,[39]BOP!$A$44:$IV$44,[39]BOP!$A$59:$IV$59,[39]BOP!#REF!,[39]BOP!#REF!,[39]BOP!$A$79:$IV$79,[39]BOP!$A$81:$IV$88</definedName>
    <definedName name="Z_00C67BFF_FEDD_11D1_98B3_00C04FC96ABD_.wvu.Rows" localSheetId="44" hidden="1">[39]BOP!$A$36:$IV$36,[39]BOP!$A$44:$IV$44,[39]BOP!$A$59:$IV$59,[39]BOP!#REF!,[39]BOP!#REF!,[39]BOP!$A$79:$IV$79,[39]BOP!$A$81:$IV$88</definedName>
    <definedName name="Z_00C67BFF_FEDD_11D1_98B3_00C04FC96ABD_.wvu.Rows" localSheetId="39" hidden="1">[39]BOP!$A$36:$IV$36,[39]BOP!$A$44:$IV$44,[39]BOP!$A$59:$IV$59,[39]BOP!#REF!,[39]BOP!#REF!,[39]BOP!$A$79:$IV$79,[39]BOP!$A$81:$IV$88</definedName>
    <definedName name="Z_00C67BFF_FEDD_11D1_98B3_00C04FC96ABD_.wvu.Rows" localSheetId="45" hidden="1">[39]BOP!$A$36:$IV$36,[39]BOP!$A$44:$IV$44,[39]BOP!$A$59:$IV$59,[39]BOP!#REF!,[39]BOP!#REF!,[39]BOP!$A$79:$IV$79,[39]BOP!$A$81:$IV$88</definedName>
    <definedName name="Z_00C67BFF_FEDD_11D1_98B3_00C04FC96ABD_.wvu.Rows" hidden="1">[39]BOP!$A$36:$IV$36,[39]BOP!$A$44:$IV$44,[39]BOP!$A$59:$IV$59,[39]BOP!#REF!,[39]BOP!#REF!,[39]BOP!$A$79:$IV$79,[39]BOP!$A$81:$IV$88</definedName>
    <definedName name="Z_00C67C00_FEDD_11D1_98B3_00C04FC96ABD_.wvu.Rows" localSheetId="43" hidden="1">[39]BOP!$A$36:$IV$36,[39]BOP!$A$44:$IV$44,[39]BOP!$A$59:$IV$59,[39]BOP!#REF!,[39]BOP!#REF!,[39]BOP!$A$79:$IV$79,[39]BOP!#REF!</definedName>
    <definedName name="Z_00C67C00_FEDD_11D1_98B3_00C04FC96ABD_.wvu.Rows" localSheetId="44" hidden="1">[39]BOP!$A$36:$IV$36,[39]BOP!$A$44:$IV$44,[39]BOP!$A$59:$IV$59,[39]BOP!#REF!,[39]BOP!#REF!,[39]BOP!$A$79:$IV$79,[39]BOP!#REF!</definedName>
    <definedName name="Z_00C67C00_FEDD_11D1_98B3_00C04FC96ABD_.wvu.Rows" localSheetId="39" hidden="1">[39]BOP!$A$36:$IV$36,[39]BOP!$A$44:$IV$44,[39]BOP!$A$59:$IV$59,[39]BOP!#REF!,[39]BOP!#REF!,[39]BOP!$A$79:$IV$79,[39]BOP!#REF!</definedName>
    <definedName name="Z_00C67C00_FEDD_11D1_98B3_00C04FC96ABD_.wvu.Rows" localSheetId="45" hidden="1">[39]BOP!$A$36:$IV$36,[39]BOP!$A$44:$IV$44,[39]BOP!$A$59:$IV$59,[39]BOP!#REF!,[39]BOP!#REF!,[39]BOP!$A$79:$IV$79,[39]BOP!#REF!</definedName>
    <definedName name="Z_00C67C00_FEDD_11D1_98B3_00C04FC96ABD_.wvu.Rows" hidden="1">[39]BOP!$A$36:$IV$36,[39]BOP!$A$44:$IV$44,[39]BOP!$A$59:$IV$59,[39]BOP!#REF!,[39]BOP!#REF!,[39]BOP!$A$79:$IV$79,[39]BOP!#REF!</definedName>
    <definedName name="Z_00C67C01_FEDD_11D1_98B3_00C04FC96ABD_.wvu.Rows" localSheetId="43" hidden="1">[39]BOP!$A$36:$IV$36,[39]BOP!$A$44:$IV$44,[39]BOP!$A$59:$IV$59,[39]BOP!#REF!,[39]BOP!#REF!,[39]BOP!$A$79:$IV$79,[39]BOP!$A$81:$IV$88,[39]BOP!#REF!</definedName>
    <definedName name="Z_00C67C01_FEDD_11D1_98B3_00C04FC96ABD_.wvu.Rows" localSheetId="44" hidden="1">[39]BOP!$A$36:$IV$36,[39]BOP!$A$44:$IV$44,[39]BOP!$A$59:$IV$59,[39]BOP!#REF!,[39]BOP!#REF!,[39]BOP!$A$79:$IV$79,[39]BOP!$A$81:$IV$88,[39]BOP!#REF!</definedName>
    <definedName name="Z_00C67C01_FEDD_11D1_98B3_00C04FC96ABD_.wvu.Rows" localSheetId="39" hidden="1">[39]BOP!$A$36:$IV$36,[39]BOP!$A$44:$IV$44,[39]BOP!$A$59:$IV$59,[39]BOP!#REF!,[39]BOP!#REF!,[39]BOP!$A$79:$IV$79,[39]BOP!$A$81:$IV$88,[39]BOP!#REF!</definedName>
    <definedName name="Z_00C67C01_FEDD_11D1_98B3_00C04FC96ABD_.wvu.Rows" localSheetId="45" hidden="1">[39]BOP!$A$36:$IV$36,[39]BOP!$A$44:$IV$44,[39]BOP!$A$59:$IV$59,[39]BOP!#REF!,[39]BOP!#REF!,[39]BOP!$A$79:$IV$79,[39]BOP!$A$81:$IV$88,[39]BOP!#REF!</definedName>
    <definedName name="Z_00C67C01_FEDD_11D1_98B3_00C04FC96ABD_.wvu.Rows" hidden="1">[39]BOP!$A$36:$IV$36,[39]BOP!$A$44:$IV$44,[39]BOP!$A$59:$IV$59,[39]BOP!#REF!,[39]BOP!#REF!,[39]BOP!$A$79:$IV$79,[39]BOP!$A$81:$IV$88,[39]BOP!#REF!</definedName>
    <definedName name="Z_00C67C02_FEDD_11D1_98B3_00C04FC96ABD_.wvu.Rows" localSheetId="43" hidden="1">[39]BOP!$A$36:$IV$36,[39]BOP!$A$44:$IV$44,[39]BOP!$A$59:$IV$59,[39]BOP!#REF!,[39]BOP!#REF!,[39]BOP!$A$79:$IV$79,[39]BOP!$A$81:$IV$88,[39]BOP!#REF!</definedName>
    <definedName name="Z_00C67C02_FEDD_11D1_98B3_00C04FC96ABD_.wvu.Rows" localSheetId="44" hidden="1">[39]BOP!$A$36:$IV$36,[39]BOP!$A$44:$IV$44,[39]BOP!$A$59:$IV$59,[39]BOP!#REF!,[39]BOP!#REF!,[39]BOP!$A$79:$IV$79,[39]BOP!$A$81:$IV$88,[39]BOP!#REF!</definedName>
    <definedName name="Z_00C67C02_FEDD_11D1_98B3_00C04FC96ABD_.wvu.Rows" localSheetId="39" hidden="1">[39]BOP!$A$36:$IV$36,[39]BOP!$A$44:$IV$44,[39]BOP!$A$59:$IV$59,[39]BOP!#REF!,[39]BOP!#REF!,[39]BOP!$A$79:$IV$79,[39]BOP!$A$81:$IV$88,[39]BOP!#REF!</definedName>
    <definedName name="Z_00C67C02_FEDD_11D1_98B3_00C04FC96ABD_.wvu.Rows" localSheetId="45" hidden="1">[39]BOP!$A$36:$IV$36,[39]BOP!$A$44:$IV$44,[39]BOP!$A$59:$IV$59,[39]BOP!#REF!,[39]BOP!#REF!,[39]BOP!$A$79:$IV$79,[39]BOP!$A$81:$IV$88,[39]BOP!#REF!</definedName>
    <definedName name="Z_00C67C02_FEDD_11D1_98B3_00C04FC96ABD_.wvu.Rows" hidden="1">[39]BOP!$A$36:$IV$36,[39]BOP!$A$44:$IV$44,[39]BOP!$A$59:$IV$59,[39]BOP!#REF!,[39]BOP!#REF!,[39]BOP!$A$79:$IV$79,[39]BOP!$A$81:$IV$88,[39]BOP!#REF!</definedName>
    <definedName name="Z_00C67C03_FEDD_11D1_98B3_00C04FC96ABD_.wvu.Rows" localSheetId="43" hidden="1">[39]BOP!$A$36:$IV$36,[39]BOP!$A$44:$IV$44,[39]BOP!$A$59:$IV$59,[39]BOP!#REF!,[39]BOP!#REF!,[39]BOP!$A$79:$IV$79,[39]BOP!$A$81:$IV$88,[39]BOP!#REF!</definedName>
    <definedName name="Z_00C67C03_FEDD_11D1_98B3_00C04FC96ABD_.wvu.Rows" localSheetId="44" hidden="1">[39]BOP!$A$36:$IV$36,[39]BOP!$A$44:$IV$44,[39]BOP!$A$59:$IV$59,[39]BOP!#REF!,[39]BOP!#REF!,[39]BOP!$A$79:$IV$79,[39]BOP!$A$81:$IV$88,[39]BOP!#REF!</definedName>
    <definedName name="Z_00C67C03_FEDD_11D1_98B3_00C04FC96ABD_.wvu.Rows" localSheetId="39" hidden="1">[39]BOP!$A$36:$IV$36,[39]BOP!$A$44:$IV$44,[39]BOP!$A$59:$IV$59,[39]BOP!#REF!,[39]BOP!#REF!,[39]BOP!$A$79:$IV$79,[39]BOP!$A$81:$IV$88,[39]BOP!#REF!</definedName>
    <definedName name="Z_00C67C03_FEDD_11D1_98B3_00C04FC96ABD_.wvu.Rows" localSheetId="45" hidden="1">[39]BOP!$A$36:$IV$36,[39]BOP!$A$44:$IV$44,[39]BOP!$A$59:$IV$59,[39]BOP!#REF!,[39]BOP!#REF!,[39]BOP!$A$79:$IV$79,[39]BOP!$A$81:$IV$88,[39]BOP!#REF!</definedName>
    <definedName name="Z_00C67C03_FEDD_11D1_98B3_00C04FC96ABD_.wvu.Rows" hidden="1">[39]BOP!$A$36:$IV$36,[39]BOP!$A$44:$IV$44,[39]BOP!$A$59:$IV$59,[39]BOP!#REF!,[39]BOP!#REF!,[39]BOP!$A$79:$IV$79,[39]BOP!$A$81:$IV$88,[39]BOP!#REF!</definedName>
    <definedName name="Z_00C67C05_FEDD_11D1_98B3_00C04FC96ABD_.wvu.Rows" localSheetId="43" hidden="1">[39]BOP!$A$36:$IV$36,[39]BOP!$A$44:$IV$44,[39]BOP!$A$59:$IV$59,[39]BOP!#REF!,[39]BOP!#REF!,[39]BOP!$A$79:$IV$79,[39]BOP!$A$81:$IV$88,[39]BOP!#REF!,[39]BOP!#REF!</definedName>
    <definedName name="Z_00C67C05_FEDD_11D1_98B3_00C04FC96ABD_.wvu.Rows" localSheetId="44" hidden="1">[39]BOP!$A$36:$IV$36,[39]BOP!$A$44:$IV$44,[39]BOP!$A$59:$IV$59,[39]BOP!#REF!,[39]BOP!#REF!,[39]BOP!$A$79:$IV$79,[39]BOP!$A$81:$IV$88,[39]BOP!#REF!,[39]BOP!#REF!</definedName>
    <definedName name="Z_00C67C05_FEDD_11D1_98B3_00C04FC96ABD_.wvu.Rows" localSheetId="39" hidden="1">[39]BOP!$A$36:$IV$36,[39]BOP!$A$44:$IV$44,[39]BOP!$A$59:$IV$59,[39]BOP!#REF!,[39]BOP!#REF!,[39]BOP!$A$79:$IV$79,[39]BOP!$A$81:$IV$88,[39]BOP!#REF!,[39]BOP!#REF!</definedName>
    <definedName name="Z_00C67C05_FEDD_11D1_98B3_00C04FC96ABD_.wvu.Rows" localSheetId="45" hidden="1">[39]BOP!$A$36:$IV$36,[39]BOP!$A$44:$IV$44,[39]BOP!$A$59:$IV$59,[39]BOP!#REF!,[39]BOP!#REF!,[39]BOP!$A$79:$IV$79,[39]BOP!$A$81:$IV$88,[39]BOP!#REF!,[39]BOP!#REF!</definedName>
    <definedName name="Z_00C67C05_FEDD_11D1_98B3_00C04FC96ABD_.wvu.Rows" hidden="1">[39]BOP!$A$36:$IV$36,[39]BOP!$A$44:$IV$44,[39]BOP!$A$59:$IV$59,[39]BOP!#REF!,[39]BOP!#REF!,[39]BOP!$A$79:$IV$79,[39]BOP!$A$81:$IV$88,[39]BOP!#REF!,[39]BOP!#REF!</definedName>
    <definedName name="Z_00C67C06_FEDD_11D1_98B3_00C04FC96ABD_.wvu.Rows" localSheetId="43" hidden="1">[39]BOP!$A$36:$IV$36,[39]BOP!$A$44:$IV$44,[39]BOP!$A$59:$IV$59,[39]BOP!#REF!,[39]BOP!#REF!,[39]BOP!$A$79:$IV$79,[39]BOP!$A$81:$IV$88,[39]BOP!#REF!,[39]BOP!#REF!</definedName>
    <definedName name="Z_00C67C06_FEDD_11D1_98B3_00C04FC96ABD_.wvu.Rows" localSheetId="44" hidden="1">[39]BOP!$A$36:$IV$36,[39]BOP!$A$44:$IV$44,[39]BOP!$A$59:$IV$59,[39]BOP!#REF!,[39]BOP!#REF!,[39]BOP!$A$79:$IV$79,[39]BOP!$A$81:$IV$88,[39]BOP!#REF!,[39]BOP!#REF!</definedName>
    <definedName name="Z_00C67C06_FEDD_11D1_98B3_00C04FC96ABD_.wvu.Rows" localSheetId="39" hidden="1">[39]BOP!$A$36:$IV$36,[39]BOP!$A$44:$IV$44,[39]BOP!$A$59:$IV$59,[39]BOP!#REF!,[39]BOP!#REF!,[39]BOP!$A$79:$IV$79,[39]BOP!$A$81:$IV$88,[39]BOP!#REF!,[39]BOP!#REF!</definedName>
    <definedName name="Z_00C67C06_FEDD_11D1_98B3_00C04FC96ABD_.wvu.Rows" localSheetId="45" hidden="1">[39]BOP!$A$36:$IV$36,[39]BOP!$A$44:$IV$44,[39]BOP!$A$59:$IV$59,[39]BOP!#REF!,[39]BOP!#REF!,[39]BOP!$A$79:$IV$79,[39]BOP!$A$81:$IV$88,[39]BOP!#REF!,[39]BOP!#REF!</definedName>
    <definedName name="Z_00C67C06_FEDD_11D1_98B3_00C04FC96ABD_.wvu.Rows" hidden="1">[39]BOP!$A$36:$IV$36,[39]BOP!$A$44:$IV$44,[39]BOP!$A$59:$IV$59,[39]BOP!#REF!,[39]BOP!#REF!,[39]BOP!$A$79:$IV$79,[39]BOP!$A$81:$IV$88,[39]BOP!#REF!,[39]BOP!#REF!</definedName>
    <definedName name="Z_00C67C07_FEDD_11D1_98B3_00C04FC96ABD_.wvu.Rows" localSheetId="43" hidden="1">[39]BOP!$A$36:$IV$36,[39]BOP!$A$44:$IV$44,[39]BOP!$A$59:$IV$59,[39]BOP!#REF!,[39]BOP!#REF!,[39]BOP!$A$79:$IV$79</definedName>
    <definedName name="Z_00C67C07_FEDD_11D1_98B3_00C04FC96ABD_.wvu.Rows" localSheetId="44" hidden="1">[39]BOP!$A$36:$IV$36,[39]BOP!$A$44:$IV$44,[39]BOP!$A$59:$IV$59,[39]BOP!#REF!,[39]BOP!#REF!,[39]BOP!$A$79:$IV$79</definedName>
    <definedName name="Z_00C67C07_FEDD_11D1_98B3_00C04FC96ABD_.wvu.Rows" localSheetId="39" hidden="1">[39]BOP!$A$36:$IV$36,[39]BOP!$A$44:$IV$44,[39]BOP!$A$59:$IV$59,[39]BOP!#REF!,[39]BOP!#REF!,[39]BOP!$A$79:$IV$79</definedName>
    <definedName name="Z_00C67C07_FEDD_11D1_98B3_00C04FC96ABD_.wvu.Rows" localSheetId="45" hidden="1">[39]BOP!$A$36:$IV$36,[39]BOP!$A$44:$IV$44,[39]BOP!$A$59:$IV$59,[39]BOP!#REF!,[39]BOP!#REF!,[39]BOP!$A$79:$IV$79</definedName>
    <definedName name="Z_00C67C07_FEDD_11D1_98B3_00C04FC96ABD_.wvu.Rows" hidden="1">[39]BOP!$A$36:$IV$36,[39]BOP!$A$44:$IV$44,[39]BOP!$A$59:$IV$59,[39]BOP!#REF!,[39]BOP!#REF!,[39]BOP!$A$79:$IV$79</definedName>
    <definedName name="Z_112039D0_FF0B_11D1_98B3_00C04FC96ABD_.wvu.Rows" localSheetId="43" hidden="1">[39]BOP!$A$36:$IV$36,[39]BOP!$A$44:$IV$44,[39]BOP!$A$59:$IV$59,[39]BOP!#REF!,[39]BOP!#REF!,[39]BOP!$A$81:$IV$88</definedName>
    <definedName name="Z_112039D0_FF0B_11D1_98B3_00C04FC96ABD_.wvu.Rows" localSheetId="44" hidden="1">[39]BOP!$A$36:$IV$36,[39]BOP!$A$44:$IV$44,[39]BOP!$A$59:$IV$59,[39]BOP!#REF!,[39]BOP!#REF!,[39]BOP!$A$81:$IV$88</definedName>
    <definedName name="Z_112039D0_FF0B_11D1_98B3_00C04FC96ABD_.wvu.Rows" localSheetId="39" hidden="1">[39]BOP!$A$36:$IV$36,[39]BOP!$A$44:$IV$44,[39]BOP!$A$59:$IV$59,[39]BOP!#REF!,[39]BOP!#REF!,[39]BOP!$A$81:$IV$88</definedName>
    <definedName name="Z_112039D0_FF0B_11D1_98B3_00C04FC96ABD_.wvu.Rows" localSheetId="45" hidden="1">[39]BOP!$A$36:$IV$36,[39]BOP!$A$44:$IV$44,[39]BOP!$A$59:$IV$59,[39]BOP!#REF!,[39]BOP!#REF!,[39]BOP!$A$81:$IV$88</definedName>
    <definedName name="Z_112039D0_FF0B_11D1_98B3_00C04FC96ABD_.wvu.Rows" hidden="1">[39]BOP!$A$36:$IV$36,[39]BOP!$A$44:$IV$44,[39]BOP!$A$59:$IV$59,[39]BOP!#REF!,[39]BOP!#REF!,[39]BOP!$A$81:$IV$88</definedName>
    <definedName name="Z_112039D1_FF0B_11D1_98B3_00C04FC96ABD_.wvu.Rows" localSheetId="43" hidden="1">[39]BOP!$A$36:$IV$36,[39]BOP!$A$44:$IV$44,[39]BOP!$A$59:$IV$59,[39]BOP!#REF!,[39]BOP!#REF!,[39]BOP!$A$81:$IV$88</definedName>
    <definedName name="Z_112039D1_FF0B_11D1_98B3_00C04FC96ABD_.wvu.Rows" localSheetId="44" hidden="1">[39]BOP!$A$36:$IV$36,[39]BOP!$A$44:$IV$44,[39]BOP!$A$59:$IV$59,[39]BOP!#REF!,[39]BOP!#REF!,[39]BOP!$A$81:$IV$88</definedName>
    <definedName name="Z_112039D1_FF0B_11D1_98B3_00C04FC96ABD_.wvu.Rows" localSheetId="39" hidden="1">[39]BOP!$A$36:$IV$36,[39]BOP!$A$44:$IV$44,[39]BOP!$A$59:$IV$59,[39]BOP!#REF!,[39]BOP!#REF!,[39]BOP!$A$81:$IV$88</definedName>
    <definedName name="Z_112039D1_FF0B_11D1_98B3_00C04FC96ABD_.wvu.Rows" localSheetId="45" hidden="1">[39]BOP!$A$36:$IV$36,[39]BOP!$A$44:$IV$44,[39]BOP!$A$59:$IV$59,[39]BOP!#REF!,[39]BOP!#REF!,[39]BOP!$A$81:$IV$88</definedName>
    <definedName name="Z_112039D1_FF0B_11D1_98B3_00C04FC96ABD_.wvu.Rows" hidden="1">[39]BOP!$A$36:$IV$36,[39]BOP!$A$44:$IV$44,[39]BOP!$A$59:$IV$59,[39]BOP!#REF!,[39]BOP!#REF!,[39]BOP!$A$81:$IV$88</definedName>
    <definedName name="Z_112039D2_FF0B_11D1_98B3_00C04FC96ABD_.wvu.Rows" localSheetId="43" hidden="1">[39]BOP!$A$36:$IV$36,[39]BOP!$A$44:$IV$44,[39]BOP!$A$59:$IV$59,[39]BOP!#REF!,[39]BOP!#REF!,[39]BOP!$A$81:$IV$88</definedName>
    <definedName name="Z_112039D2_FF0B_11D1_98B3_00C04FC96ABD_.wvu.Rows" localSheetId="44" hidden="1">[39]BOP!$A$36:$IV$36,[39]BOP!$A$44:$IV$44,[39]BOP!$A$59:$IV$59,[39]BOP!#REF!,[39]BOP!#REF!,[39]BOP!$A$81:$IV$88</definedName>
    <definedName name="Z_112039D2_FF0B_11D1_98B3_00C04FC96ABD_.wvu.Rows" localSheetId="39" hidden="1">[39]BOP!$A$36:$IV$36,[39]BOP!$A$44:$IV$44,[39]BOP!$A$59:$IV$59,[39]BOP!#REF!,[39]BOP!#REF!,[39]BOP!$A$81:$IV$88</definedName>
    <definedName name="Z_112039D2_FF0B_11D1_98B3_00C04FC96ABD_.wvu.Rows" localSheetId="45" hidden="1">[39]BOP!$A$36:$IV$36,[39]BOP!$A$44:$IV$44,[39]BOP!$A$59:$IV$59,[39]BOP!#REF!,[39]BOP!#REF!,[39]BOP!$A$81:$IV$88</definedName>
    <definedName name="Z_112039D2_FF0B_11D1_98B3_00C04FC96ABD_.wvu.Rows" hidden="1">[39]BOP!$A$36:$IV$36,[39]BOP!$A$44:$IV$44,[39]BOP!$A$59:$IV$59,[39]BOP!#REF!,[39]BOP!#REF!,[39]BOP!$A$81:$IV$88</definedName>
    <definedName name="Z_112039D3_FF0B_11D1_98B3_00C04FC96ABD_.wvu.Rows" localSheetId="43" hidden="1">[39]BOP!$A$36:$IV$36,[39]BOP!$A$44:$IV$44,[39]BOP!$A$59:$IV$59,[39]BOP!#REF!,[39]BOP!#REF!,[39]BOP!$A$81:$IV$88</definedName>
    <definedName name="Z_112039D3_FF0B_11D1_98B3_00C04FC96ABD_.wvu.Rows" localSheetId="44" hidden="1">[39]BOP!$A$36:$IV$36,[39]BOP!$A$44:$IV$44,[39]BOP!$A$59:$IV$59,[39]BOP!#REF!,[39]BOP!#REF!,[39]BOP!$A$81:$IV$88</definedName>
    <definedName name="Z_112039D3_FF0B_11D1_98B3_00C04FC96ABD_.wvu.Rows" localSheetId="39" hidden="1">[39]BOP!$A$36:$IV$36,[39]BOP!$A$44:$IV$44,[39]BOP!$A$59:$IV$59,[39]BOP!#REF!,[39]BOP!#REF!,[39]BOP!$A$81:$IV$88</definedName>
    <definedName name="Z_112039D3_FF0B_11D1_98B3_00C04FC96ABD_.wvu.Rows" localSheetId="45" hidden="1">[39]BOP!$A$36:$IV$36,[39]BOP!$A$44:$IV$44,[39]BOP!$A$59:$IV$59,[39]BOP!#REF!,[39]BOP!#REF!,[39]BOP!$A$81:$IV$88</definedName>
    <definedName name="Z_112039D3_FF0B_11D1_98B3_00C04FC96ABD_.wvu.Rows" hidden="1">[39]BOP!$A$36:$IV$36,[39]BOP!$A$44:$IV$44,[39]BOP!$A$59:$IV$59,[39]BOP!#REF!,[39]BOP!#REF!,[39]BOP!$A$81:$IV$88</definedName>
    <definedName name="Z_112039D4_FF0B_11D1_98B3_00C04FC96ABD_.wvu.Rows" localSheetId="43" hidden="1">[39]BOP!$A$36:$IV$36,[39]BOP!$A$44:$IV$44,[39]BOP!$A$59:$IV$59,[39]BOP!#REF!,[39]BOP!#REF!,[39]BOP!$A$79:$IV$79,[39]BOP!$A$81:$IV$88,[39]BOP!#REF!</definedName>
    <definedName name="Z_112039D4_FF0B_11D1_98B3_00C04FC96ABD_.wvu.Rows" localSheetId="44" hidden="1">[39]BOP!$A$36:$IV$36,[39]BOP!$A$44:$IV$44,[39]BOP!$A$59:$IV$59,[39]BOP!#REF!,[39]BOP!#REF!,[39]BOP!$A$79:$IV$79,[39]BOP!$A$81:$IV$88,[39]BOP!#REF!</definedName>
    <definedName name="Z_112039D4_FF0B_11D1_98B3_00C04FC96ABD_.wvu.Rows" localSheetId="39" hidden="1">[39]BOP!$A$36:$IV$36,[39]BOP!$A$44:$IV$44,[39]BOP!$A$59:$IV$59,[39]BOP!#REF!,[39]BOP!#REF!,[39]BOP!$A$79:$IV$79,[39]BOP!$A$81:$IV$88,[39]BOP!#REF!</definedName>
    <definedName name="Z_112039D4_FF0B_11D1_98B3_00C04FC96ABD_.wvu.Rows" localSheetId="45" hidden="1">[39]BOP!$A$36:$IV$36,[39]BOP!$A$44:$IV$44,[39]BOP!$A$59:$IV$59,[39]BOP!#REF!,[39]BOP!#REF!,[39]BOP!$A$79:$IV$79,[39]BOP!$A$81:$IV$88,[39]BOP!#REF!</definedName>
    <definedName name="Z_112039D4_FF0B_11D1_98B3_00C04FC96ABD_.wvu.Rows" hidden="1">[39]BOP!$A$36:$IV$36,[39]BOP!$A$44:$IV$44,[39]BOP!$A$59:$IV$59,[39]BOP!#REF!,[39]BOP!#REF!,[39]BOP!$A$79:$IV$79,[39]BOP!$A$81:$IV$88,[39]BOP!#REF!</definedName>
    <definedName name="Z_112039D5_FF0B_11D1_98B3_00C04FC96ABD_.wvu.Rows" localSheetId="43" hidden="1">[39]BOP!$A$36:$IV$36,[39]BOP!$A$44:$IV$44,[39]BOP!$A$59:$IV$59,[39]BOP!#REF!,[39]BOP!#REF!,[39]BOP!$A$79:$IV$79,[39]BOP!$A$81:$IV$88</definedName>
    <definedName name="Z_112039D5_FF0B_11D1_98B3_00C04FC96ABD_.wvu.Rows" localSheetId="44" hidden="1">[39]BOP!$A$36:$IV$36,[39]BOP!$A$44:$IV$44,[39]BOP!$A$59:$IV$59,[39]BOP!#REF!,[39]BOP!#REF!,[39]BOP!$A$79:$IV$79,[39]BOP!$A$81:$IV$88</definedName>
    <definedName name="Z_112039D5_FF0B_11D1_98B3_00C04FC96ABD_.wvu.Rows" localSheetId="39" hidden="1">[39]BOP!$A$36:$IV$36,[39]BOP!$A$44:$IV$44,[39]BOP!$A$59:$IV$59,[39]BOP!#REF!,[39]BOP!#REF!,[39]BOP!$A$79:$IV$79,[39]BOP!$A$81:$IV$88</definedName>
    <definedName name="Z_112039D5_FF0B_11D1_98B3_00C04FC96ABD_.wvu.Rows" localSheetId="45" hidden="1">[39]BOP!$A$36:$IV$36,[39]BOP!$A$44:$IV$44,[39]BOP!$A$59:$IV$59,[39]BOP!#REF!,[39]BOP!#REF!,[39]BOP!$A$79:$IV$79,[39]BOP!$A$81:$IV$88</definedName>
    <definedName name="Z_112039D5_FF0B_11D1_98B3_00C04FC96ABD_.wvu.Rows" hidden="1">[39]BOP!$A$36:$IV$36,[39]BOP!$A$44:$IV$44,[39]BOP!$A$59:$IV$59,[39]BOP!#REF!,[39]BOP!#REF!,[39]BOP!$A$79:$IV$79,[39]BOP!$A$81:$IV$88</definedName>
    <definedName name="Z_112039D6_FF0B_11D1_98B3_00C04FC96ABD_.wvu.Rows" localSheetId="43" hidden="1">[39]BOP!$A$36:$IV$36,[39]BOP!$A$44:$IV$44,[39]BOP!$A$59:$IV$59,[39]BOP!#REF!,[39]BOP!#REF!,[39]BOP!$A$79:$IV$79,[39]BOP!#REF!</definedName>
    <definedName name="Z_112039D6_FF0B_11D1_98B3_00C04FC96ABD_.wvu.Rows" localSheetId="44" hidden="1">[39]BOP!$A$36:$IV$36,[39]BOP!$A$44:$IV$44,[39]BOP!$A$59:$IV$59,[39]BOP!#REF!,[39]BOP!#REF!,[39]BOP!$A$79:$IV$79,[39]BOP!#REF!</definedName>
    <definedName name="Z_112039D6_FF0B_11D1_98B3_00C04FC96ABD_.wvu.Rows" localSheetId="39" hidden="1">[39]BOP!$A$36:$IV$36,[39]BOP!$A$44:$IV$44,[39]BOP!$A$59:$IV$59,[39]BOP!#REF!,[39]BOP!#REF!,[39]BOP!$A$79:$IV$79,[39]BOP!#REF!</definedName>
    <definedName name="Z_112039D6_FF0B_11D1_98B3_00C04FC96ABD_.wvu.Rows" localSheetId="45" hidden="1">[39]BOP!$A$36:$IV$36,[39]BOP!$A$44:$IV$44,[39]BOP!$A$59:$IV$59,[39]BOP!#REF!,[39]BOP!#REF!,[39]BOP!$A$79:$IV$79,[39]BOP!#REF!</definedName>
    <definedName name="Z_112039D6_FF0B_11D1_98B3_00C04FC96ABD_.wvu.Rows" hidden="1">[39]BOP!$A$36:$IV$36,[39]BOP!$A$44:$IV$44,[39]BOP!$A$59:$IV$59,[39]BOP!#REF!,[39]BOP!#REF!,[39]BOP!$A$79:$IV$79,[39]BOP!#REF!</definedName>
    <definedName name="Z_112039D7_FF0B_11D1_98B3_00C04FC96ABD_.wvu.Rows" localSheetId="43" hidden="1">[39]BOP!$A$36:$IV$36,[39]BOP!$A$44:$IV$44,[39]BOP!$A$59:$IV$59,[39]BOP!#REF!,[39]BOP!#REF!,[39]BOP!$A$79:$IV$79,[39]BOP!$A$81:$IV$88,[39]BOP!#REF!</definedName>
    <definedName name="Z_112039D7_FF0B_11D1_98B3_00C04FC96ABD_.wvu.Rows" localSheetId="44" hidden="1">[39]BOP!$A$36:$IV$36,[39]BOP!$A$44:$IV$44,[39]BOP!$A$59:$IV$59,[39]BOP!#REF!,[39]BOP!#REF!,[39]BOP!$A$79:$IV$79,[39]BOP!$A$81:$IV$88,[39]BOP!#REF!</definedName>
    <definedName name="Z_112039D7_FF0B_11D1_98B3_00C04FC96ABD_.wvu.Rows" localSheetId="39" hidden="1">[39]BOP!$A$36:$IV$36,[39]BOP!$A$44:$IV$44,[39]BOP!$A$59:$IV$59,[39]BOP!#REF!,[39]BOP!#REF!,[39]BOP!$A$79:$IV$79,[39]BOP!$A$81:$IV$88,[39]BOP!#REF!</definedName>
    <definedName name="Z_112039D7_FF0B_11D1_98B3_00C04FC96ABD_.wvu.Rows" localSheetId="45" hidden="1">[39]BOP!$A$36:$IV$36,[39]BOP!$A$44:$IV$44,[39]BOP!$A$59:$IV$59,[39]BOP!#REF!,[39]BOP!#REF!,[39]BOP!$A$79:$IV$79,[39]BOP!$A$81:$IV$88,[39]BOP!#REF!</definedName>
    <definedName name="Z_112039D7_FF0B_11D1_98B3_00C04FC96ABD_.wvu.Rows" hidden="1">[39]BOP!$A$36:$IV$36,[39]BOP!$A$44:$IV$44,[39]BOP!$A$59:$IV$59,[39]BOP!#REF!,[39]BOP!#REF!,[39]BOP!$A$79:$IV$79,[39]BOP!$A$81:$IV$88,[39]BOP!#REF!</definedName>
    <definedName name="Z_112039D8_FF0B_11D1_98B3_00C04FC96ABD_.wvu.Rows" localSheetId="43" hidden="1">[39]BOP!$A$36:$IV$36,[39]BOP!$A$44:$IV$44,[39]BOP!$A$59:$IV$59,[39]BOP!#REF!,[39]BOP!#REF!,[39]BOP!$A$79:$IV$79,[39]BOP!$A$81:$IV$88,[39]BOP!#REF!</definedName>
    <definedName name="Z_112039D8_FF0B_11D1_98B3_00C04FC96ABD_.wvu.Rows" localSheetId="44" hidden="1">[39]BOP!$A$36:$IV$36,[39]BOP!$A$44:$IV$44,[39]BOP!$A$59:$IV$59,[39]BOP!#REF!,[39]BOP!#REF!,[39]BOP!$A$79:$IV$79,[39]BOP!$A$81:$IV$88,[39]BOP!#REF!</definedName>
    <definedName name="Z_112039D8_FF0B_11D1_98B3_00C04FC96ABD_.wvu.Rows" localSheetId="39" hidden="1">[39]BOP!$A$36:$IV$36,[39]BOP!$A$44:$IV$44,[39]BOP!$A$59:$IV$59,[39]BOP!#REF!,[39]BOP!#REF!,[39]BOP!$A$79:$IV$79,[39]BOP!$A$81:$IV$88,[39]BOP!#REF!</definedName>
    <definedName name="Z_112039D8_FF0B_11D1_98B3_00C04FC96ABD_.wvu.Rows" localSheetId="45" hidden="1">[39]BOP!$A$36:$IV$36,[39]BOP!$A$44:$IV$44,[39]BOP!$A$59:$IV$59,[39]BOP!#REF!,[39]BOP!#REF!,[39]BOP!$A$79:$IV$79,[39]BOP!$A$81:$IV$88,[39]BOP!#REF!</definedName>
    <definedName name="Z_112039D8_FF0B_11D1_98B3_00C04FC96ABD_.wvu.Rows" hidden="1">[39]BOP!$A$36:$IV$36,[39]BOP!$A$44:$IV$44,[39]BOP!$A$59:$IV$59,[39]BOP!#REF!,[39]BOP!#REF!,[39]BOP!$A$79:$IV$79,[39]BOP!$A$81:$IV$88,[39]BOP!#REF!</definedName>
    <definedName name="Z_112039D9_FF0B_11D1_98B3_00C04FC96ABD_.wvu.Rows" localSheetId="43" hidden="1">[39]BOP!$A$36:$IV$36,[39]BOP!$A$44:$IV$44,[39]BOP!$A$59:$IV$59,[39]BOP!#REF!,[39]BOP!#REF!,[39]BOP!$A$79:$IV$79,[39]BOP!$A$81:$IV$88,[39]BOP!#REF!</definedName>
    <definedName name="Z_112039D9_FF0B_11D1_98B3_00C04FC96ABD_.wvu.Rows" localSheetId="44" hidden="1">[39]BOP!$A$36:$IV$36,[39]BOP!$A$44:$IV$44,[39]BOP!$A$59:$IV$59,[39]BOP!#REF!,[39]BOP!#REF!,[39]BOP!$A$79:$IV$79,[39]BOP!$A$81:$IV$88,[39]BOP!#REF!</definedName>
    <definedName name="Z_112039D9_FF0B_11D1_98B3_00C04FC96ABD_.wvu.Rows" localSheetId="39" hidden="1">[39]BOP!$A$36:$IV$36,[39]BOP!$A$44:$IV$44,[39]BOP!$A$59:$IV$59,[39]BOP!#REF!,[39]BOP!#REF!,[39]BOP!$A$79:$IV$79,[39]BOP!$A$81:$IV$88,[39]BOP!#REF!</definedName>
    <definedName name="Z_112039D9_FF0B_11D1_98B3_00C04FC96ABD_.wvu.Rows" localSheetId="45" hidden="1">[39]BOP!$A$36:$IV$36,[39]BOP!$A$44:$IV$44,[39]BOP!$A$59:$IV$59,[39]BOP!#REF!,[39]BOP!#REF!,[39]BOP!$A$79:$IV$79,[39]BOP!$A$81:$IV$88,[39]BOP!#REF!</definedName>
    <definedName name="Z_112039D9_FF0B_11D1_98B3_00C04FC96ABD_.wvu.Rows" hidden="1">[39]BOP!$A$36:$IV$36,[39]BOP!$A$44:$IV$44,[39]BOP!$A$59:$IV$59,[39]BOP!#REF!,[39]BOP!#REF!,[39]BOP!$A$79:$IV$79,[39]BOP!$A$81:$IV$88,[39]BOP!#REF!</definedName>
    <definedName name="Z_112039DB_FF0B_11D1_98B3_00C04FC96ABD_.wvu.Rows" localSheetId="43" hidden="1">[39]BOP!$A$36:$IV$36,[39]BOP!$A$44:$IV$44,[39]BOP!$A$59:$IV$59,[39]BOP!#REF!,[39]BOP!#REF!,[39]BOP!$A$79:$IV$79,[39]BOP!$A$81:$IV$88,[39]BOP!#REF!,[39]BOP!#REF!</definedName>
    <definedName name="Z_112039DB_FF0B_11D1_98B3_00C04FC96ABD_.wvu.Rows" localSheetId="44" hidden="1">[39]BOP!$A$36:$IV$36,[39]BOP!$A$44:$IV$44,[39]BOP!$A$59:$IV$59,[39]BOP!#REF!,[39]BOP!#REF!,[39]BOP!$A$79:$IV$79,[39]BOP!$A$81:$IV$88,[39]BOP!#REF!,[39]BOP!#REF!</definedName>
    <definedName name="Z_112039DB_FF0B_11D1_98B3_00C04FC96ABD_.wvu.Rows" localSheetId="39" hidden="1">[39]BOP!$A$36:$IV$36,[39]BOP!$A$44:$IV$44,[39]BOP!$A$59:$IV$59,[39]BOP!#REF!,[39]BOP!#REF!,[39]BOP!$A$79:$IV$79,[39]BOP!$A$81:$IV$88,[39]BOP!#REF!,[39]BOP!#REF!</definedName>
    <definedName name="Z_112039DB_FF0B_11D1_98B3_00C04FC96ABD_.wvu.Rows" localSheetId="45" hidden="1">[39]BOP!$A$36:$IV$36,[39]BOP!$A$44:$IV$44,[39]BOP!$A$59:$IV$59,[39]BOP!#REF!,[39]BOP!#REF!,[39]BOP!$A$79:$IV$79,[39]BOP!$A$81:$IV$88,[39]BOP!#REF!,[39]BOP!#REF!</definedName>
    <definedName name="Z_112039DB_FF0B_11D1_98B3_00C04FC96ABD_.wvu.Rows" hidden="1">[39]BOP!$A$36:$IV$36,[39]BOP!$A$44:$IV$44,[39]BOP!$A$59:$IV$59,[39]BOP!#REF!,[39]BOP!#REF!,[39]BOP!$A$79:$IV$79,[39]BOP!$A$81:$IV$88,[39]BOP!#REF!,[39]BOP!#REF!</definedName>
    <definedName name="Z_112039DC_FF0B_11D1_98B3_00C04FC96ABD_.wvu.Rows" localSheetId="43" hidden="1">[39]BOP!$A$36:$IV$36,[39]BOP!$A$44:$IV$44,[39]BOP!$A$59:$IV$59,[39]BOP!#REF!,[39]BOP!#REF!,[39]BOP!$A$79:$IV$79,[39]BOP!$A$81:$IV$88,[39]BOP!#REF!,[39]BOP!#REF!</definedName>
    <definedName name="Z_112039DC_FF0B_11D1_98B3_00C04FC96ABD_.wvu.Rows" localSheetId="44" hidden="1">[39]BOP!$A$36:$IV$36,[39]BOP!$A$44:$IV$44,[39]BOP!$A$59:$IV$59,[39]BOP!#REF!,[39]BOP!#REF!,[39]BOP!$A$79:$IV$79,[39]BOP!$A$81:$IV$88,[39]BOP!#REF!,[39]BOP!#REF!</definedName>
    <definedName name="Z_112039DC_FF0B_11D1_98B3_00C04FC96ABD_.wvu.Rows" localSheetId="39" hidden="1">[39]BOP!$A$36:$IV$36,[39]BOP!$A$44:$IV$44,[39]BOP!$A$59:$IV$59,[39]BOP!#REF!,[39]BOP!#REF!,[39]BOP!$A$79:$IV$79,[39]BOP!$A$81:$IV$88,[39]BOP!#REF!,[39]BOP!#REF!</definedName>
    <definedName name="Z_112039DC_FF0B_11D1_98B3_00C04FC96ABD_.wvu.Rows" localSheetId="45" hidden="1">[39]BOP!$A$36:$IV$36,[39]BOP!$A$44:$IV$44,[39]BOP!$A$59:$IV$59,[39]BOP!#REF!,[39]BOP!#REF!,[39]BOP!$A$79:$IV$79,[39]BOP!$A$81:$IV$88,[39]BOP!#REF!,[39]BOP!#REF!</definedName>
    <definedName name="Z_112039DC_FF0B_11D1_98B3_00C04FC96ABD_.wvu.Rows" hidden="1">[39]BOP!$A$36:$IV$36,[39]BOP!$A$44:$IV$44,[39]BOP!$A$59:$IV$59,[39]BOP!#REF!,[39]BOP!#REF!,[39]BOP!$A$79:$IV$79,[39]BOP!$A$81:$IV$88,[39]BOP!#REF!,[39]BOP!#REF!</definedName>
    <definedName name="Z_112039DD_FF0B_11D1_98B3_00C04FC96ABD_.wvu.Rows" localSheetId="43" hidden="1">[39]BOP!$A$36:$IV$36,[39]BOP!$A$44:$IV$44,[39]BOP!$A$59:$IV$59,[39]BOP!#REF!,[39]BOP!#REF!,[39]BOP!$A$79:$IV$79</definedName>
    <definedName name="Z_112039DD_FF0B_11D1_98B3_00C04FC96ABD_.wvu.Rows" localSheetId="44" hidden="1">[39]BOP!$A$36:$IV$36,[39]BOP!$A$44:$IV$44,[39]BOP!$A$59:$IV$59,[39]BOP!#REF!,[39]BOP!#REF!,[39]BOP!$A$79:$IV$79</definedName>
    <definedName name="Z_112039DD_FF0B_11D1_98B3_00C04FC96ABD_.wvu.Rows" localSheetId="39" hidden="1">[39]BOP!$A$36:$IV$36,[39]BOP!$A$44:$IV$44,[39]BOP!$A$59:$IV$59,[39]BOP!#REF!,[39]BOP!#REF!,[39]BOP!$A$79:$IV$79</definedName>
    <definedName name="Z_112039DD_FF0B_11D1_98B3_00C04FC96ABD_.wvu.Rows" localSheetId="45" hidden="1">[39]BOP!$A$36:$IV$36,[39]BOP!$A$44:$IV$44,[39]BOP!$A$59:$IV$59,[39]BOP!#REF!,[39]BOP!#REF!,[39]BOP!$A$79:$IV$79</definedName>
    <definedName name="Z_112039DD_FF0B_11D1_98B3_00C04FC96ABD_.wvu.Rows" hidden="1">[39]BOP!$A$36:$IV$36,[39]BOP!$A$44:$IV$44,[39]BOP!$A$59:$IV$59,[39]BOP!#REF!,[39]BOP!#REF!,[39]BOP!$A$79:$IV$79</definedName>
    <definedName name="Z_1A8C061B_2301_11D3_BFD1_000039E37209_.wvu.Cols" hidden="1">'[64]IDA-tab7'!$K$1:$T$65536,'[64]IDA-tab7'!$V$1:$AE$65536,'[64]IDA-tab7'!$AG$1:$AP$65536</definedName>
    <definedName name="Z_1A8C061B_2301_11D3_BFD1_000039E37209_.wvu.Rows" hidden="1">'[64]IDA-tab7'!$A$10:$IV$11,'[64]IDA-tab7'!$A$14:$IV$14,'[64]IDA-tab7'!$A$18:$IV$18</definedName>
    <definedName name="Z_1A8C061C_2301_11D3_BFD1_000039E37209_.wvu.Cols" hidden="1">'[64]IDA-tab7'!$K$1:$T$65536,'[64]IDA-tab7'!$V$1:$AE$65536,'[64]IDA-tab7'!$AG$1:$AP$65536</definedName>
    <definedName name="Z_1A8C061C_2301_11D3_BFD1_000039E37209_.wvu.Rows" hidden="1">'[64]IDA-tab7'!$A$10:$IV$11,'[64]IDA-tab7'!$A$14:$IV$14,'[64]IDA-tab7'!$A$18:$IV$18</definedName>
    <definedName name="Z_1A8C061E_2301_11D3_BFD1_000039E37209_.wvu.Cols" hidden="1">'[64]IDA-tab7'!$K$1:$T$65536,'[64]IDA-tab7'!$V$1:$AE$65536,'[64]IDA-tab7'!$AG$1:$AP$65536</definedName>
    <definedName name="Z_1A8C061E_2301_11D3_BFD1_000039E37209_.wvu.Rows" hidden="1">'[64]IDA-tab7'!$A$10:$IV$11,'[64]IDA-tab7'!$A$14:$IV$14,'[64]IDA-tab7'!$A$18:$IV$18</definedName>
    <definedName name="Z_1A8C061F_2301_11D3_BFD1_000039E37209_.wvu.Cols" hidden="1">'[64]IDA-tab7'!$K$1:$T$65536,'[64]IDA-tab7'!$V$1:$AE$65536,'[64]IDA-tab7'!$AG$1:$AP$65536</definedName>
    <definedName name="Z_1A8C061F_2301_11D3_BFD1_000039E37209_.wvu.Rows" hidden="1">'[64]IDA-tab7'!$A$10:$IV$11,'[64]IDA-tab7'!$A$14:$IV$14,'[64]IDA-tab7'!$A$18:$IV$18</definedName>
    <definedName name="Z_1F4C2007_FFA7_11D1_98B6_00C04FC96ABD_.wvu.Rows" localSheetId="43" hidden="1">[39]BOP!$A$36:$IV$36,[39]BOP!$A$44:$IV$44,[39]BOP!$A$59:$IV$59,[39]BOP!#REF!,[39]BOP!#REF!,[39]BOP!$A$81:$IV$88</definedName>
    <definedName name="Z_1F4C2007_FFA7_11D1_98B6_00C04FC96ABD_.wvu.Rows" localSheetId="44" hidden="1">[39]BOP!$A$36:$IV$36,[39]BOP!$A$44:$IV$44,[39]BOP!$A$59:$IV$59,[39]BOP!#REF!,[39]BOP!#REF!,[39]BOP!$A$81:$IV$88</definedName>
    <definedName name="Z_1F4C2007_FFA7_11D1_98B6_00C04FC96ABD_.wvu.Rows" localSheetId="39" hidden="1">[39]BOP!$A$36:$IV$36,[39]BOP!$A$44:$IV$44,[39]BOP!$A$59:$IV$59,[39]BOP!#REF!,[39]BOP!#REF!,[39]BOP!$A$81:$IV$88</definedName>
    <definedName name="Z_1F4C2007_FFA7_11D1_98B6_00C04FC96ABD_.wvu.Rows" localSheetId="45" hidden="1">[39]BOP!$A$36:$IV$36,[39]BOP!$A$44:$IV$44,[39]BOP!$A$59:$IV$59,[39]BOP!#REF!,[39]BOP!#REF!,[39]BOP!$A$81:$IV$88</definedName>
    <definedName name="Z_1F4C2007_FFA7_11D1_98B6_00C04FC96ABD_.wvu.Rows" hidden="1">[39]BOP!$A$36:$IV$36,[39]BOP!$A$44:$IV$44,[39]BOP!$A$59:$IV$59,[39]BOP!#REF!,[39]BOP!#REF!,[39]BOP!$A$81:$IV$88</definedName>
    <definedName name="Z_1F4C2008_FFA7_11D1_98B6_00C04FC96ABD_.wvu.Rows" localSheetId="43" hidden="1">[39]BOP!$A$36:$IV$36,[39]BOP!$A$44:$IV$44,[39]BOP!$A$59:$IV$59,[39]BOP!#REF!,[39]BOP!#REF!,[39]BOP!$A$81:$IV$88</definedName>
    <definedName name="Z_1F4C2008_FFA7_11D1_98B6_00C04FC96ABD_.wvu.Rows" localSheetId="44" hidden="1">[39]BOP!$A$36:$IV$36,[39]BOP!$A$44:$IV$44,[39]BOP!$A$59:$IV$59,[39]BOP!#REF!,[39]BOP!#REF!,[39]BOP!$A$81:$IV$88</definedName>
    <definedName name="Z_1F4C2008_FFA7_11D1_98B6_00C04FC96ABD_.wvu.Rows" localSheetId="39" hidden="1">[39]BOP!$A$36:$IV$36,[39]BOP!$A$44:$IV$44,[39]BOP!$A$59:$IV$59,[39]BOP!#REF!,[39]BOP!#REF!,[39]BOP!$A$81:$IV$88</definedName>
    <definedName name="Z_1F4C2008_FFA7_11D1_98B6_00C04FC96ABD_.wvu.Rows" localSheetId="45" hidden="1">[39]BOP!$A$36:$IV$36,[39]BOP!$A$44:$IV$44,[39]BOP!$A$59:$IV$59,[39]BOP!#REF!,[39]BOP!#REF!,[39]BOP!$A$81:$IV$88</definedName>
    <definedName name="Z_1F4C2008_FFA7_11D1_98B6_00C04FC96ABD_.wvu.Rows" hidden="1">[39]BOP!$A$36:$IV$36,[39]BOP!$A$44:$IV$44,[39]BOP!$A$59:$IV$59,[39]BOP!#REF!,[39]BOP!#REF!,[39]BOP!$A$81:$IV$88</definedName>
    <definedName name="Z_1F4C2009_FFA7_11D1_98B6_00C04FC96ABD_.wvu.Rows" localSheetId="43" hidden="1">[39]BOP!$A$36:$IV$36,[39]BOP!$A$44:$IV$44,[39]BOP!$A$59:$IV$59,[39]BOP!#REF!,[39]BOP!#REF!,[39]BOP!$A$81:$IV$88</definedName>
    <definedName name="Z_1F4C2009_FFA7_11D1_98B6_00C04FC96ABD_.wvu.Rows" localSheetId="44" hidden="1">[39]BOP!$A$36:$IV$36,[39]BOP!$A$44:$IV$44,[39]BOP!$A$59:$IV$59,[39]BOP!#REF!,[39]BOP!#REF!,[39]BOP!$A$81:$IV$88</definedName>
    <definedName name="Z_1F4C2009_FFA7_11D1_98B6_00C04FC96ABD_.wvu.Rows" localSheetId="39" hidden="1">[39]BOP!$A$36:$IV$36,[39]BOP!$A$44:$IV$44,[39]BOP!$A$59:$IV$59,[39]BOP!#REF!,[39]BOP!#REF!,[39]BOP!$A$81:$IV$88</definedName>
    <definedName name="Z_1F4C2009_FFA7_11D1_98B6_00C04FC96ABD_.wvu.Rows" localSheetId="45" hidden="1">[39]BOP!$A$36:$IV$36,[39]BOP!$A$44:$IV$44,[39]BOP!$A$59:$IV$59,[39]BOP!#REF!,[39]BOP!#REF!,[39]BOP!$A$81:$IV$88</definedName>
    <definedName name="Z_1F4C2009_FFA7_11D1_98B6_00C04FC96ABD_.wvu.Rows" hidden="1">[39]BOP!$A$36:$IV$36,[39]BOP!$A$44:$IV$44,[39]BOP!$A$59:$IV$59,[39]BOP!#REF!,[39]BOP!#REF!,[39]BOP!$A$81:$IV$88</definedName>
    <definedName name="Z_1F4C200A_FFA7_11D1_98B6_00C04FC96ABD_.wvu.Rows" localSheetId="43" hidden="1">[39]BOP!$A$36:$IV$36,[39]BOP!$A$44:$IV$44,[39]BOP!$A$59:$IV$59,[39]BOP!#REF!,[39]BOP!#REF!,[39]BOP!$A$81:$IV$88</definedName>
    <definedName name="Z_1F4C200A_FFA7_11D1_98B6_00C04FC96ABD_.wvu.Rows" localSheetId="44" hidden="1">[39]BOP!$A$36:$IV$36,[39]BOP!$A$44:$IV$44,[39]BOP!$A$59:$IV$59,[39]BOP!#REF!,[39]BOP!#REF!,[39]BOP!$A$81:$IV$88</definedName>
    <definedName name="Z_1F4C200A_FFA7_11D1_98B6_00C04FC96ABD_.wvu.Rows" localSheetId="39" hidden="1">[39]BOP!$A$36:$IV$36,[39]BOP!$A$44:$IV$44,[39]BOP!$A$59:$IV$59,[39]BOP!#REF!,[39]BOP!#REF!,[39]BOP!$A$81:$IV$88</definedName>
    <definedName name="Z_1F4C200A_FFA7_11D1_98B6_00C04FC96ABD_.wvu.Rows" localSheetId="45" hidden="1">[39]BOP!$A$36:$IV$36,[39]BOP!$A$44:$IV$44,[39]BOP!$A$59:$IV$59,[39]BOP!#REF!,[39]BOP!#REF!,[39]BOP!$A$81:$IV$88</definedName>
    <definedName name="Z_1F4C200A_FFA7_11D1_98B6_00C04FC96ABD_.wvu.Rows" hidden="1">[39]BOP!$A$36:$IV$36,[39]BOP!$A$44:$IV$44,[39]BOP!$A$59:$IV$59,[39]BOP!#REF!,[39]BOP!#REF!,[39]BOP!$A$81:$IV$88</definedName>
    <definedName name="Z_1F4C200B_FFA7_11D1_98B6_00C04FC96ABD_.wvu.Rows" localSheetId="43" hidden="1">[39]BOP!$A$36:$IV$36,[39]BOP!$A$44:$IV$44,[39]BOP!$A$59:$IV$59,[39]BOP!#REF!,[39]BOP!#REF!,[39]BOP!$A$79:$IV$79,[39]BOP!$A$81:$IV$88,[39]BOP!#REF!</definedName>
    <definedName name="Z_1F4C200B_FFA7_11D1_98B6_00C04FC96ABD_.wvu.Rows" localSheetId="44" hidden="1">[39]BOP!$A$36:$IV$36,[39]BOP!$A$44:$IV$44,[39]BOP!$A$59:$IV$59,[39]BOP!#REF!,[39]BOP!#REF!,[39]BOP!$A$79:$IV$79,[39]BOP!$A$81:$IV$88,[39]BOP!#REF!</definedName>
    <definedName name="Z_1F4C200B_FFA7_11D1_98B6_00C04FC96ABD_.wvu.Rows" localSheetId="39" hidden="1">[39]BOP!$A$36:$IV$36,[39]BOP!$A$44:$IV$44,[39]BOP!$A$59:$IV$59,[39]BOP!#REF!,[39]BOP!#REF!,[39]BOP!$A$79:$IV$79,[39]BOP!$A$81:$IV$88,[39]BOP!#REF!</definedName>
    <definedName name="Z_1F4C200B_FFA7_11D1_98B6_00C04FC96ABD_.wvu.Rows" localSheetId="45" hidden="1">[39]BOP!$A$36:$IV$36,[39]BOP!$A$44:$IV$44,[39]BOP!$A$59:$IV$59,[39]BOP!#REF!,[39]BOP!#REF!,[39]BOP!$A$79:$IV$79,[39]BOP!$A$81:$IV$88,[39]BOP!#REF!</definedName>
    <definedName name="Z_1F4C200B_FFA7_11D1_98B6_00C04FC96ABD_.wvu.Rows" hidden="1">[39]BOP!$A$36:$IV$36,[39]BOP!$A$44:$IV$44,[39]BOP!$A$59:$IV$59,[39]BOP!#REF!,[39]BOP!#REF!,[39]BOP!$A$79:$IV$79,[39]BOP!$A$81:$IV$88,[39]BOP!#REF!</definedName>
    <definedName name="Z_1F4C200C_FFA7_11D1_98B6_00C04FC96ABD_.wvu.Rows" localSheetId="43" hidden="1">[39]BOP!$A$36:$IV$36,[39]BOP!$A$44:$IV$44,[39]BOP!$A$59:$IV$59,[39]BOP!#REF!,[39]BOP!#REF!,[39]BOP!$A$79:$IV$79,[39]BOP!$A$81:$IV$88</definedName>
    <definedName name="Z_1F4C200C_FFA7_11D1_98B6_00C04FC96ABD_.wvu.Rows" localSheetId="44" hidden="1">[39]BOP!$A$36:$IV$36,[39]BOP!$A$44:$IV$44,[39]BOP!$A$59:$IV$59,[39]BOP!#REF!,[39]BOP!#REF!,[39]BOP!$A$79:$IV$79,[39]BOP!$A$81:$IV$88</definedName>
    <definedName name="Z_1F4C200C_FFA7_11D1_98B6_00C04FC96ABD_.wvu.Rows" localSheetId="39" hidden="1">[39]BOP!$A$36:$IV$36,[39]BOP!$A$44:$IV$44,[39]BOP!$A$59:$IV$59,[39]BOP!#REF!,[39]BOP!#REF!,[39]BOP!$A$79:$IV$79,[39]BOP!$A$81:$IV$88</definedName>
    <definedName name="Z_1F4C200C_FFA7_11D1_98B6_00C04FC96ABD_.wvu.Rows" localSheetId="45" hidden="1">[39]BOP!$A$36:$IV$36,[39]BOP!$A$44:$IV$44,[39]BOP!$A$59:$IV$59,[39]BOP!#REF!,[39]BOP!#REF!,[39]BOP!$A$79:$IV$79,[39]BOP!$A$81:$IV$88</definedName>
    <definedName name="Z_1F4C200C_FFA7_11D1_98B6_00C04FC96ABD_.wvu.Rows" hidden="1">[39]BOP!$A$36:$IV$36,[39]BOP!$A$44:$IV$44,[39]BOP!$A$59:$IV$59,[39]BOP!#REF!,[39]BOP!#REF!,[39]BOP!$A$79:$IV$79,[39]BOP!$A$81:$IV$88</definedName>
    <definedName name="Z_1F4C200D_FFA7_11D1_98B6_00C04FC96ABD_.wvu.Rows" localSheetId="43" hidden="1">[39]BOP!$A$36:$IV$36,[39]BOP!$A$44:$IV$44,[39]BOP!$A$59:$IV$59,[39]BOP!#REF!,[39]BOP!#REF!,[39]BOP!$A$79:$IV$79,[39]BOP!#REF!</definedName>
    <definedName name="Z_1F4C200D_FFA7_11D1_98B6_00C04FC96ABD_.wvu.Rows" localSheetId="44" hidden="1">[39]BOP!$A$36:$IV$36,[39]BOP!$A$44:$IV$44,[39]BOP!$A$59:$IV$59,[39]BOP!#REF!,[39]BOP!#REF!,[39]BOP!$A$79:$IV$79,[39]BOP!#REF!</definedName>
    <definedName name="Z_1F4C200D_FFA7_11D1_98B6_00C04FC96ABD_.wvu.Rows" localSheetId="39" hidden="1">[39]BOP!$A$36:$IV$36,[39]BOP!$A$44:$IV$44,[39]BOP!$A$59:$IV$59,[39]BOP!#REF!,[39]BOP!#REF!,[39]BOP!$A$79:$IV$79,[39]BOP!#REF!</definedName>
    <definedName name="Z_1F4C200D_FFA7_11D1_98B6_00C04FC96ABD_.wvu.Rows" localSheetId="45" hidden="1">[39]BOP!$A$36:$IV$36,[39]BOP!$A$44:$IV$44,[39]BOP!$A$59:$IV$59,[39]BOP!#REF!,[39]BOP!#REF!,[39]BOP!$A$79:$IV$79,[39]BOP!#REF!</definedName>
    <definedName name="Z_1F4C200D_FFA7_11D1_98B6_00C04FC96ABD_.wvu.Rows" hidden="1">[39]BOP!$A$36:$IV$36,[39]BOP!$A$44:$IV$44,[39]BOP!$A$59:$IV$59,[39]BOP!#REF!,[39]BOP!#REF!,[39]BOP!$A$79:$IV$79,[39]BOP!#REF!</definedName>
    <definedName name="Z_1F4C200E_FFA7_11D1_98B6_00C04FC96ABD_.wvu.Rows" localSheetId="43" hidden="1">[39]BOP!$A$36:$IV$36,[39]BOP!$A$44:$IV$44,[39]BOP!$A$59:$IV$59,[39]BOP!#REF!,[39]BOP!#REF!,[39]BOP!$A$79:$IV$79,[39]BOP!$A$81:$IV$88,[39]BOP!#REF!</definedName>
    <definedName name="Z_1F4C200E_FFA7_11D1_98B6_00C04FC96ABD_.wvu.Rows" localSheetId="44" hidden="1">[39]BOP!$A$36:$IV$36,[39]BOP!$A$44:$IV$44,[39]BOP!$A$59:$IV$59,[39]BOP!#REF!,[39]BOP!#REF!,[39]BOP!$A$79:$IV$79,[39]BOP!$A$81:$IV$88,[39]BOP!#REF!</definedName>
    <definedName name="Z_1F4C200E_FFA7_11D1_98B6_00C04FC96ABD_.wvu.Rows" localSheetId="39" hidden="1">[39]BOP!$A$36:$IV$36,[39]BOP!$A$44:$IV$44,[39]BOP!$A$59:$IV$59,[39]BOP!#REF!,[39]BOP!#REF!,[39]BOP!$A$79:$IV$79,[39]BOP!$A$81:$IV$88,[39]BOP!#REF!</definedName>
    <definedName name="Z_1F4C200E_FFA7_11D1_98B6_00C04FC96ABD_.wvu.Rows" localSheetId="45" hidden="1">[39]BOP!$A$36:$IV$36,[39]BOP!$A$44:$IV$44,[39]BOP!$A$59:$IV$59,[39]BOP!#REF!,[39]BOP!#REF!,[39]BOP!$A$79:$IV$79,[39]BOP!$A$81:$IV$88,[39]BOP!#REF!</definedName>
    <definedName name="Z_1F4C200E_FFA7_11D1_98B6_00C04FC96ABD_.wvu.Rows" hidden="1">[39]BOP!$A$36:$IV$36,[39]BOP!$A$44:$IV$44,[39]BOP!$A$59:$IV$59,[39]BOP!#REF!,[39]BOP!#REF!,[39]BOP!$A$79:$IV$79,[39]BOP!$A$81:$IV$88,[39]BOP!#REF!</definedName>
    <definedName name="Z_1F4C200F_FFA7_11D1_98B6_00C04FC96ABD_.wvu.Rows" localSheetId="43" hidden="1">[39]BOP!$A$36:$IV$36,[39]BOP!$A$44:$IV$44,[39]BOP!$A$59:$IV$59,[39]BOP!#REF!,[39]BOP!#REF!,[39]BOP!$A$79:$IV$79,[39]BOP!$A$81:$IV$88,[39]BOP!#REF!</definedName>
    <definedName name="Z_1F4C200F_FFA7_11D1_98B6_00C04FC96ABD_.wvu.Rows" localSheetId="44" hidden="1">[39]BOP!$A$36:$IV$36,[39]BOP!$A$44:$IV$44,[39]BOP!$A$59:$IV$59,[39]BOP!#REF!,[39]BOP!#REF!,[39]BOP!$A$79:$IV$79,[39]BOP!$A$81:$IV$88,[39]BOP!#REF!</definedName>
    <definedName name="Z_1F4C200F_FFA7_11D1_98B6_00C04FC96ABD_.wvu.Rows" localSheetId="39" hidden="1">[39]BOP!$A$36:$IV$36,[39]BOP!$A$44:$IV$44,[39]BOP!$A$59:$IV$59,[39]BOP!#REF!,[39]BOP!#REF!,[39]BOP!$A$79:$IV$79,[39]BOP!$A$81:$IV$88,[39]BOP!#REF!</definedName>
    <definedName name="Z_1F4C200F_FFA7_11D1_98B6_00C04FC96ABD_.wvu.Rows" localSheetId="45" hidden="1">[39]BOP!$A$36:$IV$36,[39]BOP!$A$44:$IV$44,[39]BOP!$A$59:$IV$59,[39]BOP!#REF!,[39]BOP!#REF!,[39]BOP!$A$79:$IV$79,[39]BOP!$A$81:$IV$88,[39]BOP!#REF!</definedName>
    <definedName name="Z_1F4C200F_FFA7_11D1_98B6_00C04FC96ABD_.wvu.Rows" hidden="1">[39]BOP!$A$36:$IV$36,[39]BOP!$A$44:$IV$44,[39]BOP!$A$59:$IV$59,[39]BOP!#REF!,[39]BOP!#REF!,[39]BOP!$A$79:$IV$79,[39]BOP!$A$81:$IV$88,[39]BOP!#REF!</definedName>
    <definedName name="Z_1F4C2010_FFA7_11D1_98B6_00C04FC96ABD_.wvu.Rows" localSheetId="43" hidden="1">[39]BOP!$A$36:$IV$36,[39]BOP!$A$44:$IV$44,[39]BOP!$A$59:$IV$59,[39]BOP!#REF!,[39]BOP!#REF!,[39]BOP!$A$79:$IV$79,[39]BOP!$A$81:$IV$88,[39]BOP!#REF!</definedName>
    <definedName name="Z_1F4C2010_FFA7_11D1_98B6_00C04FC96ABD_.wvu.Rows" localSheetId="44" hidden="1">[39]BOP!$A$36:$IV$36,[39]BOP!$A$44:$IV$44,[39]BOP!$A$59:$IV$59,[39]BOP!#REF!,[39]BOP!#REF!,[39]BOP!$A$79:$IV$79,[39]BOP!$A$81:$IV$88,[39]BOP!#REF!</definedName>
    <definedName name="Z_1F4C2010_FFA7_11D1_98B6_00C04FC96ABD_.wvu.Rows" localSheetId="39" hidden="1">[39]BOP!$A$36:$IV$36,[39]BOP!$A$44:$IV$44,[39]BOP!$A$59:$IV$59,[39]BOP!#REF!,[39]BOP!#REF!,[39]BOP!$A$79:$IV$79,[39]BOP!$A$81:$IV$88,[39]BOP!#REF!</definedName>
    <definedName name="Z_1F4C2010_FFA7_11D1_98B6_00C04FC96ABD_.wvu.Rows" localSheetId="45" hidden="1">[39]BOP!$A$36:$IV$36,[39]BOP!$A$44:$IV$44,[39]BOP!$A$59:$IV$59,[39]BOP!#REF!,[39]BOP!#REF!,[39]BOP!$A$79:$IV$79,[39]BOP!$A$81:$IV$88,[39]BOP!#REF!</definedName>
    <definedName name="Z_1F4C2010_FFA7_11D1_98B6_00C04FC96ABD_.wvu.Rows" hidden="1">[39]BOP!$A$36:$IV$36,[39]BOP!$A$44:$IV$44,[39]BOP!$A$59:$IV$59,[39]BOP!#REF!,[39]BOP!#REF!,[39]BOP!$A$79:$IV$79,[39]BOP!$A$81:$IV$88,[39]BOP!#REF!</definedName>
    <definedName name="Z_1F4C2012_FFA7_11D1_98B6_00C04FC96ABD_.wvu.Rows" localSheetId="43" hidden="1">[39]BOP!$A$36:$IV$36,[39]BOP!$A$44:$IV$44,[39]BOP!$A$59:$IV$59,[39]BOP!#REF!,[39]BOP!#REF!,[39]BOP!$A$79:$IV$79,[39]BOP!$A$81:$IV$88,[39]BOP!#REF!,[39]BOP!#REF!</definedName>
    <definedName name="Z_1F4C2012_FFA7_11D1_98B6_00C04FC96ABD_.wvu.Rows" localSheetId="44" hidden="1">[39]BOP!$A$36:$IV$36,[39]BOP!$A$44:$IV$44,[39]BOP!$A$59:$IV$59,[39]BOP!#REF!,[39]BOP!#REF!,[39]BOP!$A$79:$IV$79,[39]BOP!$A$81:$IV$88,[39]BOP!#REF!,[39]BOP!#REF!</definedName>
    <definedName name="Z_1F4C2012_FFA7_11D1_98B6_00C04FC96ABD_.wvu.Rows" localSheetId="39" hidden="1">[39]BOP!$A$36:$IV$36,[39]BOP!$A$44:$IV$44,[39]BOP!$A$59:$IV$59,[39]BOP!#REF!,[39]BOP!#REF!,[39]BOP!$A$79:$IV$79,[39]BOP!$A$81:$IV$88,[39]BOP!#REF!,[39]BOP!#REF!</definedName>
    <definedName name="Z_1F4C2012_FFA7_11D1_98B6_00C04FC96ABD_.wvu.Rows" localSheetId="45" hidden="1">[39]BOP!$A$36:$IV$36,[39]BOP!$A$44:$IV$44,[39]BOP!$A$59:$IV$59,[39]BOP!#REF!,[39]BOP!#REF!,[39]BOP!$A$79:$IV$79,[39]BOP!$A$81:$IV$88,[39]BOP!#REF!,[39]BOP!#REF!</definedName>
    <definedName name="Z_1F4C2012_FFA7_11D1_98B6_00C04FC96ABD_.wvu.Rows" hidden="1">[39]BOP!$A$36:$IV$36,[39]BOP!$A$44:$IV$44,[39]BOP!$A$59:$IV$59,[39]BOP!#REF!,[39]BOP!#REF!,[39]BOP!$A$79:$IV$79,[39]BOP!$A$81:$IV$88,[39]BOP!#REF!,[39]BOP!#REF!</definedName>
    <definedName name="Z_1F4C2013_FFA7_11D1_98B6_00C04FC96ABD_.wvu.Rows" localSheetId="43" hidden="1">[39]BOP!$A$36:$IV$36,[39]BOP!$A$44:$IV$44,[39]BOP!$A$59:$IV$59,[39]BOP!#REF!,[39]BOP!#REF!,[39]BOP!$A$79:$IV$79,[39]BOP!$A$81:$IV$88,[39]BOP!#REF!,[39]BOP!#REF!</definedName>
    <definedName name="Z_1F4C2013_FFA7_11D1_98B6_00C04FC96ABD_.wvu.Rows" localSheetId="44" hidden="1">[39]BOP!$A$36:$IV$36,[39]BOP!$A$44:$IV$44,[39]BOP!$A$59:$IV$59,[39]BOP!#REF!,[39]BOP!#REF!,[39]BOP!$A$79:$IV$79,[39]BOP!$A$81:$IV$88,[39]BOP!#REF!,[39]BOP!#REF!</definedName>
    <definedName name="Z_1F4C2013_FFA7_11D1_98B6_00C04FC96ABD_.wvu.Rows" localSheetId="39" hidden="1">[39]BOP!$A$36:$IV$36,[39]BOP!$A$44:$IV$44,[39]BOP!$A$59:$IV$59,[39]BOP!#REF!,[39]BOP!#REF!,[39]BOP!$A$79:$IV$79,[39]BOP!$A$81:$IV$88,[39]BOP!#REF!,[39]BOP!#REF!</definedName>
    <definedName name="Z_1F4C2013_FFA7_11D1_98B6_00C04FC96ABD_.wvu.Rows" localSheetId="45" hidden="1">[39]BOP!$A$36:$IV$36,[39]BOP!$A$44:$IV$44,[39]BOP!$A$59:$IV$59,[39]BOP!#REF!,[39]BOP!#REF!,[39]BOP!$A$79:$IV$79,[39]BOP!$A$81:$IV$88,[39]BOP!#REF!,[39]BOP!#REF!</definedName>
    <definedName name="Z_1F4C2013_FFA7_11D1_98B6_00C04FC96ABD_.wvu.Rows" hidden="1">[39]BOP!$A$36:$IV$36,[39]BOP!$A$44:$IV$44,[39]BOP!$A$59:$IV$59,[39]BOP!#REF!,[39]BOP!#REF!,[39]BOP!$A$79:$IV$79,[39]BOP!$A$81:$IV$88,[39]BOP!#REF!,[39]BOP!#REF!</definedName>
    <definedName name="Z_1F4C2014_FFA7_11D1_98B6_00C04FC96ABD_.wvu.Rows" localSheetId="43" hidden="1">[39]BOP!$A$36:$IV$36,[39]BOP!$A$44:$IV$44,[39]BOP!$A$59:$IV$59,[39]BOP!#REF!,[39]BOP!#REF!,[39]BOP!$A$79:$IV$79</definedName>
    <definedName name="Z_1F4C2014_FFA7_11D1_98B6_00C04FC96ABD_.wvu.Rows" localSheetId="44" hidden="1">[39]BOP!$A$36:$IV$36,[39]BOP!$A$44:$IV$44,[39]BOP!$A$59:$IV$59,[39]BOP!#REF!,[39]BOP!#REF!,[39]BOP!$A$79:$IV$79</definedName>
    <definedName name="Z_1F4C2014_FFA7_11D1_98B6_00C04FC96ABD_.wvu.Rows" localSheetId="39" hidden="1">[39]BOP!$A$36:$IV$36,[39]BOP!$A$44:$IV$44,[39]BOP!$A$59:$IV$59,[39]BOP!#REF!,[39]BOP!#REF!,[39]BOP!$A$79:$IV$79</definedName>
    <definedName name="Z_1F4C2014_FFA7_11D1_98B6_00C04FC96ABD_.wvu.Rows" localSheetId="45" hidden="1">[39]BOP!$A$36:$IV$36,[39]BOP!$A$44:$IV$44,[39]BOP!$A$59:$IV$59,[39]BOP!#REF!,[39]BOP!#REF!,[39]BOP!$A$79:$IV$79</definedName>
    <definedName name="Z_1F4C2014_FFA7_11D1_98B6_00C04FC96ABD_.wvu.Rows" hidden="1">[39]BOP!$A$36:$IV$36,[39]BOP!$A$44:$IV$44,[39]BOP!$A$59:$IV$59,[39]BOP!#REF!,[39]BOP!#REF!,[39]BOP!$A$79:$IV$79</definedName>
    <definedName name="Z_49B0A4B0_963B_11D1_BFD1_00A02466B680_.wvu.Rows" localSheetId="43" hidden="1">[39]BOP!$A$36:$IV$36,[39]BOP!$A$44:$IV$44,[39]BOP!$A$59:$IV$59,[39]BOP!#REF!,[39]BOP!#REF!,[39]BOP!$A$81:$IV$88</definedName>
    <definedName name="Z_49B0A4B0_963B_11D1_BFD1_00A02466B680_.wvu.Rows" localSheetId="44" hidden="1">[39]BOP!$A$36:$IV$36,[39]BOP!$A$44:$IV$44,[39]BOP!$A$59:$IV$59,[39]BOP!#REF!,[39]BOP!#REF!,[39]BOP!$A$81:$IV$88</definedName>
    <definedName name="Z_49B0A4B0_963B_11D1_BFD1_00A02466B680_.wvu.Rows" localSheetId="39" hidden="1">[39]BOP!$A$36:$IV$36,[39]BOP!$A$44:$IV$44,[39]BOP!$A$59:$IV$59,[39]BOP!#REF!,[39]BOP!#REF!,[39]BOP!$A$81:$IV$88</definedName>
    <definedName name="Z_49B0A4B0_963B_11D1_BFD1_00A02466B680_.wvu.Rows" localSheetId="45" hidden="1">[39]BOP!$A$36:$IV$36,[39]BOP!$A$44:$IV$44,[39]BOP!$A$59:$IV$59,[39]BOP!#REF!,[39]BOP!#REF!,[39]BOP!$A$81:$IV$88</definedName>
    <definedName name="Z_49B0A4B0_963B_11D1_BFD1_00A02466B680_.wvu.Rows" hidden="1">[39]BOP!$A$36:$IV$36,[39]BOP!$A$44:$IV$44,[39]BOP!$A$59:$IV$59,[39]BOP!#REF!,[39]BOP!#REF!,[39]BOP!$A$81:$IV$88</definedName>
    <definedName name="Z_49B0A4B1_963B_11D1_BFD1_00A02466B680_.wvu.Rows" localSheetId="43" hidden="1">[39]BOP!$A$36:$IV$36,[39]BOP!$A$44:$IV$44,[39]BOP!$A$59:$IV$59,[39]BOP!#REF!,[39]BOP!#REF!,[39]BOP!$A$81:$IV$88</definedName>
    <definedName name="Z_49B0A4B1_963B_11D1_BFD1_00A02466B680_.wvu.Rows" localSheetId="44" hidden="1">[39]BOP!$A$36:$IV$36,[39]BOP!$A$44:$IV$44,[39]BOP!$A$59:$IV$59,[39]BOP!#REF!,[39]BOP!#REF!,[39]BOP!$A$81:$IV$88</definedName>
    <definedName name="Z_49B0A4B1_963B_11D1_BFD1_00A02466B680_.wvu.Rows" localSheetId="39" hidden="1">[39]BOP!$A$36:$IV$36,[39]BOP!$A$44:$IV$44,[39]BOP!$A$59:$IV$59,[39]BOP!#REF!,[39]BOP!#REF!,[39]BOP!$A$81:$IV$88</definedName>
    <definedName name="Z_49B0A4B1_963B_11D1_BFD1_00A02466B680_.wvu.Rows" localSheetId="45" hidden="1">[39]BOP!$A$36:$IV$36,[39]BOP!$A$44:$IV$44,[39]BOP!$A$59:$IV$59,[39]BOP!#REF!,[39]BOP!#REF!,[39]BOP!$A$81:$IV$88</definedName>
    <definedName name="Z_49B0A4B1_963B_11D1_BFD1_00A02466B680_.wvu.Rows" hidden="1">[39]BOP!$A$36:$IV$36,[39]BOP!$A$44:$IV$44,[39]BOP!$A$59:$IV$59,[39]BOP!#REF!,[39]BOP!#REF!,[39]BOP!$A$81:$IV$88</definedName>
    <definedName name="Z_49B0A4B4_963B_11D1_BFD1_00A02466B680_.wvu.Rows" localSheetId="43" hidden="1">[39]BOP!$A$36:$IV$36,[39]BOP!$A$44:$IV$44,[39]BOP!$A$59:$IV$59,[39]BOP!#REF!,[39]BOP!#REF!,[39]BOP!$A$79:$IV$79,[39]BOP!$A$81:$IV$88,[39]BOP!#REF!</definedName>
    <definedName name="Z_49B0A4B4_963B_11D1_BFD1_00A02466B680_.wvu.Rows" localSheetId="44" hidden="1">[39]BOP!$A$36:$IV$36,[39]BOP!$A$44:$IV$44,[39]BOP!$A$59:$IV$59,[39]BOP!#REF!,[39]BOP!#REF!,[39]BOP!$A$79:$IV$79,[39]BOP!$A$81:$IV$88,[39]BOP!#REF!</definedName>
    <definedName name="Z_49B0A4B4_963B_11D1_BFD1_00A02466B680_.wvu.Rows" localSheetId="39" hidden="1">[39]BOP!$A$36:$IV$36,[39]BOP!$A$44:$IV$44,[39]BOP!$A$59:$IV$59,[39]BOP!#REF!,[39]BOP!#REF!,[39]BOP!$A$79:$IV$79,[39]BOP!$A$81:$IV$88,[39]BOP!#REF!</definedName>
    <definedName name="Z_49B0A4B4_963B_11D1_BFD1_00A02466B680_.wvu.Rows" localSheetId="45" hidden="1">[39]BOP!$A$36:$IV$36,[39]BOP!$A$44:$IV$44,[39]BOP!$A$59:$IV$59,[39]BOP!#REF!,[39]BOP!#REF!,[39]BOP!$A$79:$IV$79,[39]BOP!$A$81:$IV$88,[39]BOP!#REF!</definedName>
    <definedName name="Z_49B0A4B4_963B_11D1_BFD1_00A02466B680_.wvu.Rows" hidden="1">[39]BOP!$A$36:$IV$36,[39]BOP!$A$44:$IV$44,[39]BOP!$A$59:$IV$59,[39]BOP!#REF!,[39]BOP!#REF!,[39]BOP!$A$79:$IV$79,[39]BOP!$A$81:$IV$88,[39]BOP!#REF!</definedName>
    <definedName name="Z_49B0A4B5_963B_11D1_BFD1_00A02466B680_.wvu.Rows" localSheetId="43" hidden="1">[39]BOP!$A$36:$IV$36,[39]BOP!$A$44:$IV$44,[39]BOP!$A$59:$IV$59,[39]BOP!#REF!,[39]BOP!#REF!,[39]BOP!$A$79:$IV$79,[39]BOP!$A$81:$IV$88</definedName>
    <definedName name="Z_49B0A4B5_963B_11D1_BFD1_00A02466B680_.wvu.Rows" localSheetId="44" hidden="1">[39]BOP!$A$36:$IV$36,[39]BOP!$A$44:$IV$44,[39]BOP!$A$59:$IV$59,[39]BOP!#REF!,[39]BOP!#REF!,[39]BOP!$A$79:$IV$79,[39]BOP!$A$81:$IV$88</definedName>
    <definedName name="Z_49B0A4B5_963B_11D1_BFD1_00A02466B680_.wvu.Rows" localSheetId="39" hidden="1">[39]BOP!$A$36:$IV$36,[39]BOP!$A$44:$IV$44,[39]BOP!$A$59:$IV$59,[39]BOP!#REF!,[39]BOP!#REF!,[39]BOP!$A$79:$IV$79,[39]BOP!$A$81:$IV$88</definedName>
    <definedName name="Z_49B0A4B5_963B_11D1_BFD1_00A02466B680_.wvu.Rows" localSheetId="45" hidden="1">[39]BOP!$A$36:$IV$36,[39]BOP!$A$44:$IV$44,[39]BOP!$A$59:$IV$59,[39]BOP!#REF!,[39]BOP!#REF!,[39]BOP!$A$79:$IV$79,[39]BOP!$A$81:$IV$88</definedName>
    <definedName name="Z_49B0A4B5_963B_11D1_BFD1_00A02466B680_.wvu.Rows" hidden="1">[39]BOP!$A$36:$IV$36,[39]BOP!$A$44:$IV$44,[39]BOP!$A$59:$IV$59,[39]BOP!#REF!,[39]BOP!#REF!,[39]BOP!$A$79:$IV$79,[39]BOP!$A$81:$IV$88</definedName>
    <definedName name="Z_49B0A4B6_963B_11D1_BFD1_00A02466B680_.wvu.Rows" localSheetId="43" hidden="1">[39]BOP!$A$36:$IV$36,[39]BOP!$A$44:$IV$44,[39]BOP!$A$59:$IV$59,[39]BOP!#REF!,[39]BOP!#REF!,[39]BOP!$A$79:$IV$79,[39]BOP!#REF!</definedName>
    <definedName name="Z_49B0A4B6_963B_11D1_BFD1_00A02466B680_.wvu.Rows" localSheetId="44" hidden="1">[39]BOP!$A$36:$IV$36,[39]BOP!$A$44:$IV$44,[39]BOP!$A$59:$IV$59,[39]BOP!#REF!,[39]BOP!#REF!,[39]BOP!$A$79:$IV$79,[39]BOP!#REF!</definedName>
    <definedName name="Z_49B0A4B6_963B_11D1_BFD1_00A02466B680_.wvu.Rows" localSheetId="39" hidden="1">[39]BOP!$A$36:$IV$36,[39]BOP!$A$44:$IV$44,[39]BOP!$A$59:$IV$59,[39]BOP!#REF!,[39]BOP!#REF!,[39]BOP!$A$79:$IV$79,[39]BOP!#REF!</definedName>
    <definedName name="Z_49B0A4B6_963B_11D1_BFD1_00A02466B680_.wvu.Rows" localSheetId="45" hidden="1">[39]BOP!$A$36:$IV$36,[39]BOP!$A$44:$IV$44,[39]BOP!$A$59:$IV$59,[39]BOP!#REF!,[39]BOP!#REF!,[39]BOP!$A$79:$IV$79,[39]BOP!#REF!</definedName>
    <definedName name="Z_49B0A4B6_963B_11D1_BFD1_00A02466B680_.wvu.Rows" hidden="1">[39]BOP!$A$36:$IV$36,[39]BOP!$A$44:$IV$44,[39]BOP!$A$59:$IV$59,[39]BOP!#REF!,[39]BOP!#REF!,[39]BOP!$A$79:$IV$79,[39]BOP!#REF!</definedName>
    <definedName name="Z_49B0A4B7_963B_11D1_BFD1_00A02466B680_.wvu.Rows" localSheetId="43" hidden="1">[39]BOP!$A$36:$IV$36,[39]BOP!$A$44:$IV$44,[39]BOP!$A$59:$IV$59,[39]BOP!#REF!,[39]BOP!#REF!,[39]BOP!$A$79:$IV$79,[39]BOP!$A$81:$IV$88,[39]BOP!#REF!</definedName>
    <definedName name="Z_49B0A4B7_963B_11D1_BFD1_00A02466B680_.wvu.Rows" localSheetId="44" hidden="1">[39]BOP!$A$36:$IV$36,[39]BOP!$A$44:$IV$44,[39]BOP!$A$59:$IV$59,[39]BOP!#REF!,[39]BOP!#REF!,[39]BOP!$A$79:$IV$79,[39]BOP!$A$81:$IV$88,[39]BOP!#REF!</definedName>
    <definedName name="Z_49B0A4B7_963B_11D1_BFD1_00A02466B680_.wvu.Rows" localSheetId="39" hidden="1">[39]BOP!$A$36:$IV$36,[39]BOP!$A$44:$IV$44,[39]BOP!$A$59:$IV$59,[39]BOP!#REF!,[39]BOP!#REF!,[39]BOP!$A$79:$IV$79,[39]BOP!$A$81:$IV$88,[39]BOP!#REF!</definedName>
    <definedName name="Z_49B0A4B7_963B_11D1_BFD1_00A02466B680_.wvu.Rows" localSheetId="45" hidden="1">[39]BOP!$A$36:$IV$36,[39]BOP!$A$44:$IV$44,[39]BOP!$A$59:$IV$59,[39]BOP!#REF!,[39]BOP!#REF!,[39]BOP!$A$79:$IV$79,[39]BOP!$A$81:$IV$88,[39]BOP!#REF!</definedName>
    <definedName name="Z_49B0A4B7_963B_11D1_BFD1_00A02466B680_.wvu.Rows" hidden="1">[39]BOP!$A$36:$IV$36,[39]BOP!$A$44:$IV$44,[39]BOP!$A$59:$IV$59,[39]BOP!#REF!,[39]BOP!#REF!,[39]BOP!$A$79:$IV$79,[39]BOP!$A$81:$IV$88,[39]BOP!#REF!</definedName>
    <definedName name="Z_49B0A4B8_963B_11D1_BFD1_00A02466B680_.wvu.Rows" localSheetId="43" hidden="1">[39]BOP!$A$36:$IV$36,[39]BOP!$A$44:$IV$44,[39]BOP!$A$59:$IV$59,[39]BOP!#REF!,[39]BOP!#REF!,[39]BOP!$A$79:$IV$79,[39]BOP!$A$81:$IV$88,[39]BOP!#REF!</definedName>
    <definedName name="Z_49B0A4B8_963B_11D1_BFD1_00A02466B680_.wvu.Rows" localSheetId="44" hidden="1">[39]BOP!$A$36:$IV$36,[39]BOP!$A$44:$IV$44,[39]BOP!$A$59:$IV$59,[39]BOP!#REF!,[39]BOP!#REF!,[39]BOP!$A$79:$IV$79,[39]BOP!$A$81:$IV$88,[39]BOP!#REF!</definedName>
    <definedName name="Z_49B0A4B8_963B_11D1_BFD1_00A02466B680_.wvu.Rows" localSheetId="39" hidden="1">[39]BOP!$A$36:$IV$36,[39]BOP!$A$44:$IV$44,[39]BOP!$A$59:$IV$59,[39]BOP!#REF!,[39]BOP!#REF!,[39]BOP!$A$79:$IV$79,[39]BOP!$A$81:$IV$88,[39]BOP!#REF!</definedName>
    <definedName name="Z_49B0A4B8_963B_11D1_BFD1_00A02466B680_.wvu.Rows" localSheetId="45" hidden="1">[39]BOP!$A$36:$IV$36,[39]BOP!$A$44:$IV$44,[39]BOP!$A$59:$IV$59,[39]BOP!#REF!,[39]BOP!#REF!,[39]BOP!$A$79:$IV$79,[39]BOP!$A$81:$IV$88,[39]BOP!#REF!</definedName>
    <definedName name="Z_49B0A4B8_963B_11D1_BFD1_00A02466B680_.wvu.Rows" hidden="1">[39]BOP!$A$36:$IV$36,[39]BOP!$A$44:$IV$44,[39]BOP!$A$59:$IV$59,[39]BOP!#REF!,[39]BOP!#REF!,[39]BOP!$A$79:$IV$79,[39]BOP!$A$81:$IV$88,[39]BOP!#REF!</definedName>
    <definedName name="Z_49B0A4B9_963B_11D1_BFD1_00A02466B680_.wvu.Rows" localSheetId="43" hidden="1">[39]BOP!$A$36:$IV$36,[39]BOP!$A$44:$IV$44,[39]BOP!$A$59:$IV$59,[39]BOP!#REF!,[39]BOP!#REF!,[39]BOP!$A$79:$IV$79,[39]BOP!$A$81:$IV$88,[39]BOP!#REF!</definedName>
    <definedName name="Z_49B0A4B9_963B_11D1_BFD1_00A02466B680_.wvu.Rows" localSheetId="44" hidden="1">[39]BOP!$A$36:$IV$36,[39]BOP!$A$44:$IV$44,[39]BOP!$A$59:$IV$59,[39]BOP!#REF!,[39]BOP!#REF!,[39]BOP!$A$79:$IV$79,[39]BOP!$A$81:$IV$88,[39]BOP!#REF!</definedName>
    <definedName name="Z_49B0A4B9_963B_11D1_BFD1_00A02466B680_.wvu.Rows" localSheetId="39" hidden="1">[39]BOP!$A$36:$IV$36,[39]BOP!$A$44:$IV$44,[39]BOP!$A$59:$IV$59,[39]BOP!#REF!,[39]BOP!#REF!,[39]BOP!$A$79:$IV$79,[39]BOP!$A$81:$IV$88,[39]BOP!#REF!</definedName>
    <definedName name="Z_49B0A4B9_963B_11D1_BFD1_00A02466B680_.wvu.Rows" localSheetId="45" hidden="1">[39]BOP!$A$36:$IV$36,[39]BOP!$A$44:$IV$44,[39]BOP!$A$59:$IV$59,[39]BOP!#REF!,[39]BOP!#REF!,[39]BOP!$A$79:$IV$79,[39]BOP!$A$81:$IV$88,[39]BOP!#REF!</definedName>
    <definedName name="Z_49B0A4B9_963B_11D1_BFD1_00A02466B680_.wvu.Rows" hidden="1">[39]BOP!$A$36:$IV$36,[39]BOP!$A$44:$IV$44,[39]BOP!$A$59:$IV$59,[39]BOP!#REF!,[39]BOP!#REF!,[39]BOP!$A$79:$IV$79,[39]BOP!$A$81:$IV$88,[39]BOP!#REF!</definedName>
    <definedName name="Z_49B0A4BB_963B_11D1_BFD1_00A02466B680_.wvu.Rows" localSheetId="43" hidden="1">[39]BOP!$A$36:$IV$36,[39]BOP!$A$44:$IV$44,[39]BOP!$A$59:$IV$59,[39]BOP!#REF!,[39]BOP!#REF!,[39]BOP!$A$79:$IV$79,[39]BOP!$A$81:$IV$88,[39]BOP!#REF!,[39]BOP!#REF!</definedName>
    <definedName name="Z_49B0A4BB_963B_11D1_BFD1_00A02466B680_.wvu.Rows" localSheetId="44" hidden="1">[39]BOP!$A$36:$IV$36,[39]BOP!$A$44:$IV$44,[39]BOP!$A$59:$IV$59,[39]BOP!#REF!,[39]BOP!#REF!,[39]BOP!$A$79:$IV$79,[39]BOP!$A$81:$IV$88,[39]BOP!#REF!,[39]BOP!#REF!</definedName>
    <definedName name="Z_49B0A4BB_963B_11D1_BFD1_00A02466B680_.wvu.Rows" localSheetId="39" hidden="1">[39]BOP!$A$36:$IV$36,[39]BOP!$A$44:$IV$44,[39]BOP!$A$59:$IV$59,[39]BOP!#REF!,[39]BOP!#REF!,[39]BOP!$A$79:$IV$79,[39]BOP!$A$81:$IV$88,[39]BOP!#REF!,[39]BOP!#REF!</definedName>
    <definedName name="Z_49B0A4BB_963B_11D1_BFD1_00A02466B680_.wvu.Rows" localSheetId="45" hidden="1">[39]BOP!$A$36:$IV$36,[39]BOP!$A$44:$IV$44,[39]BOP!$A$59:$IV$59,[39]BOP!#REF!,[39]BOP!#REF!,[39]BOP!$A$79:$IV$79,[39]BOP!$A$81:$IV$88,[39]BOP!#REF!,[39]BOP!#REF!</definedName>
    <definedName name="Z_49B0A4BB_963B_11D1_BFD1_00A02466B680_.wvu.Rows" hidden="1">[39]BOP!$A$36:$IV$36,[39]BOP!$A$44:$IV$44,[39]BOP!$A$59:$IV$59,[39]BOP!#REF!,[39]BOP!#REF!,[39]BOP!$A$79:$IV$79,[39]BOP!$A$81:$IV$88,[39]BOP!#REF!,[39]BOP!#REF!</definedName>
    <definedName name="Z_49B0A4BC_963B_11D1_BFD1_00A02466B680_.wvu.Rows" localSheetId="43" hidden="1">[39]BOP!$A$36:$IV$36,[39]BOP!$A$44:$IV$44,[39]BOP!$A$59:$IV$59,[39]BOP!#REF!,[39]BOP!#REF!,[39]BOP!$A$79:$IV$79,[39]BOP!$A$81:$IV$88,[39]BOP!#REF!,[39]BOP!#REF!</definedName>
    <definedName name="Z_49B0A4BC_963B_11D1_BFD1_00A02466B680_.wvu.Rows" localSheetId="44" hidden="1">[39]BOP!$A$36:$IV$36,[39]BOP!$A$44:$IV$44,[39]BOP!$A$59:$IV$59,[39]BOP!#REF!,[39]BOP!#REF!,[39]BOP!$A$79:$IV$79,[39]BOP!$A$81:$IV$88,[39]BOP!#REF!,[39]BOP!#REF!</definedName>
    <definedName name="Z_49B0A4BC_963B_11D1_BFD1_00A02466B680_.wvu.Rows" localSheetId="39" hidden="1">[39]BOP!$A$36:$IV$36,[39]BOP!$A$44:$IV$44,[39]BOP!$A$59:$IV$59,[39]BOP!#REF!,[39]BOP!#REF!,[39]BOP!$A$79:$IV$79,[39]BOP!$A$81:$IV$88,[39]BOP!#REF!,[39]BOP!#REF!</definedName>
    <definedName name="Z_49B0A4BC_963B_11D1_BFD1_00A02466B680_.wvu.Rows" localSheetId="45" hidden="1">[39]BOP!$A$36:$IV$36,[39]BOP!$A$44:$IV$44,[39]BOP!$A$59:$IV$59,[39]BOP!#REF!,[39]BOP!#REF!,[39]BOP!$A$79:$IV$79,[39]BOP!$A$81:$IV$88,[39]BOP!#REF!,[39]BOP!#REF!</definedName>
    <definedName name="Z_49B0A4BC_963B_11D1_BFD1_00A02466B680_.wvu.Rows" hidden="1">[39]BOP!$A$36:$IV$36,[39]BOP!$A$44:$IV$44,[39]BOP!$A$59:$IV$59,[39]BOP!#REF!,[39]BOP!#REF!,[39]BOP!$A$79:$IV$79,[39]BOP!$A$81:$IV$88,[39]BOP!#REF!,[39]BOP!#REF!</definedName>
    <definedName name="Z_49B0A4BD_963B_11D1_BFD1_00A02466B680_.wvu.Rows" localSheetId="43" hidden="1">[39]BOP!$A$36:$IV$36,[39]BOP!$A$44:$IV$44,[39]BOP!$A$59:$IV$59,[39]BOP!#REF!,[39]BOP!#REF!,[39]BOP!$A$79:$IV$79</definedName>
    <definedName name="Z_49B0A4BD_963B_11D1_BFD1_00A02466B680_.wvu.Rows" localSheetId="44" hidden="1">[39]BOP!$A$36:$IV$36,[39]BOP!$A$44:$IV$44,[39]BOP!$A$59:$IV$59,[39]BOP!#REF!,[39]BOP!#REF!,[39]BOP!$A$79:$IV$79</definedName>
    <definedName name="Z_49B0A4BD_963B_11D1_BFD1_00A02466B680_.wvu.Rows" localSheetId="39" hidden="1">[39]BOP!$A$36:$IV$36,[39]BOP!$A$44:$IV$44,[39]BOP!$A$59:$IV$59,[39]BOP!#REF!,[39]BOP!#REF!,[39]BOP!$A$79:$IV$79</definedName>
    <definedName name="Z_49B0A4BD_963B_11D1_BFD1_00A02466B680_.wvu.Rows" localSheetId="45" hidden="1">[39]BOP!$A$36:$IV$36,[39]BOP!$A$44:$IV$44,[39]BOP!$A$59:$IV$59,[39]BOP!#REF!,[39]BOP!#REF!,[39]BOP!$A$79:$IV$79</definedName>
    <definedName name="Z_49B0A4BD_963B_11D1_BFD1_00A02466B680_.wvu.Rows" hidden="1">[39]BOP!$A$36:$IV$36,[39]BOP!$A$44:$IV$44,[39]BOP!$A$59:$IV$59,[39]BOP!#REF!,[39]BOP!#REF!,[39]BOP!$A$79:$IV$79</definedName>
    <definedName name="Z_95224721_0485_11D4_BFD1_00508B5F4DA4_.wvu.Cols" localSheetId="43" hidden="1">#REF!</definedName>
    <definedName name="Z_95224721_0485_11D4_BFD1_00508B5F4DA4_.wvu.Cols" localSheetId="44" hidden="1">#REF!</definedName>
    <definedName name="Z_95224721_0485_11D4_BFD1_00508B5F4DA4_.wvu.Cols" localSheetId="39" hidden="1">#REF!</definedName>
    <definedName name="Z_95224721_0485_11D4_BFD1_00508B5F4DA4_.wvu.Cols" localSheetId="45" hidden="1">#REF!</definedName>
    <definedName name="Z_95224721_0485_11D4_BFD1_00508B5F4DA4_.wvu.Cols" localSheetId="32" hidden="1">#REF!</definedName>
    <definedName name="Z_95224721_0485_11D4_BFD1_00508B5F4DA4_.wvu.Cols" hidden="1">#REF!</definedName>
    <definedName name="Z_9E0C48F8_FFCC_11D1_98BA_00C04FC96ABD_.wvu.Rows" localSheetId="43" hidden="1">[39]BOP!$A$36:$IV$36,[39]BOP!$A$44:$IV$44,[39]BOP!$A$59:$IV$59,[39]BOP!#REF!,[39]BOP!#REF!,[39]BOP!$A$81:$IV$88</definedName>
    <definedName name="Z_9E0C48F8_FFCC_11D1_98BA_00C04FC96ABD_.wvu.Rows" localSheetId="44" hidden="1">[39]BOP!$A$36:$IV$36,[39]BOP!$A$44:$IV$44,[39]BOP!$A$59:$IV$59,[39]BOP!#REF!,[39]BOP!#REF!,[39]BOP!$A$81:$IV$88</definedName>
    <definedName name="Z_9E0C48F8_FFCC_11D1_98BA_00C04FC96ABD_.wvu.Rows" localSheetId="39" hidden="1">[39]BOP!$A$36:$IV$36,[39]BOP!$A$44:$IV$44,[39]BOP!$A$59:$IV$59,[39]BOP!#REF!,[39]BOP!#REF!,[39]BOP!$A$81:$IV$88</definedName>
    <definedName name="Z_9E0C48F8_FFCC_11D1_98BA_00C04FC96ABD_.wvu.Rows" localSheetId="45" hidden="1">[39]BOP!$A$36:$IV$36,[39]BOP!$A$44:$IV$44,[39]BOP!$A$59:$IV$59,[39]BOP!#REF!,[39]BOP!#REF!,[39]BOP!$A$81:$IV$88</definedName>
    <definedName name="Z_9E0C48F8_FFCC_11D1_98BA_00C04FC96ABD_.wvu.Rows" hidden="1">[39]BOP!$A$36:$IV$36,[39]BOP!$A$44:$IV$44,[39]BOP!$A$59:$IV$59,[39]BOP!#REF!,[39]BOP!#REF!,[39]BOP!$A$81:$IV$88</definedName>
    <definedName name="Z_9E0C48F9_FFCC_11D1_98BA_00C04FC96ABD_.wvu.Rows" localSheetId="43" hidden="1">[39]BOP!$A$36:$IV$36,[39]BOP!$A$44:$IV$44,[39]BOP!$A$59:$IV$59,[39]BOP!#REF!,[39]BOP!#REF!,[39]BOP!$A$81:$IV$88</definedName>
    <definedName name="Z_9E0C48F9_FFCC_11D1_98BA_00C04FC96ABD_.wvu.Rows" localSheetId="44" hidden="1">[39]BOP!$A$36:$IV$36,[39]BOP!$A$44:$IV$44,[39]BOP!$A$59:$IV$59,[39]BOP!#REF!,[39]BOP!#REF!,[39]BOP!$A$81:$IV$88</definedName>
    <definedName name="Z_9E0C48F9_FFCC_11D1_98BA_00C04FC96ABD_.wvu.Rows" localSheetId="39" hidden="1">[39]BOP!$A$36:$IV$36,[39]BOP!$A$44:$IV$44,[39]BOP!$A$59:$IV$59,[39]BOP!#REF!,[39]BOP!#REF!,[39]BOP!$A$81:$IV$88</definedName>
    <definedName name="Z_9E0C48F9_FFCC_11D1_98BA_00C04FC96ABD_.wvu.Rows" localSheetId="45" hidden="1">[39]BOP!$A$36:$IV$36,[39]BOP!$A$44:$IV$44,[39]BOP!$A$59:$IV$59,[39]BOP!#REF!,[39]BOP!#REF!,[39]BOP!$A$81:$IV$88</definedName>
    <definedName name="Z_9E0C48F9_FFCC_11D1_98BA_00C04FC96ABD_.wvu.Rows" hidden="1">[39]BOP!$A$36:$IV$36,[39]BOP!$A$44:$IV$44,[39]BOP!$A$59:$IV$59,[39]BOP!#REF!,[39]BOP!#REF!,[39]BOP!$A$81:$IV$88</definedName>
    <definedName name="Z_9E0C48FA_FFCC_11D1_98BA_00C04FC96ABD_.wvu.Rows" localSheetId="43" hidden="1">[39]BOP!$A$36:$IV$36,[39]BOP!$A$44:$IV$44,[39]BOP!$A$59:$IV$59,[39]BOP!#REF!,[39]BOP!#REF!,[39]BOP!$A$81:$IV$88</definedName>
    <definedName name="Z_9E0C48FA_FFCC_11D1_98BA_00C04FC96ABD_.wvu.Rows" localSheetId="44" hidden="1">[39]BOP!$A$36:$IV$36,[39]BOP!$A$44:$IV$44,[39]BOP!$A$59:$IV$59,[39]BOP!#REF!,[39]BOP!#REF!,[39]BOP!$A$81:$IV$88</definedName>
    <definedName name="Z_9E0C48FA_FFCC_11D1_98BA_00C04FC96ABD_.wvu.Rows" localSheetId="39" hidden="1">[39]BOP!$A$36:$IV$36,[39]BOP!$A$44:$IV$44,[39]BOP!$A$59:$IV$59,[39]BOP!#REF!,[39]BOP!#REF!,[39]BOP!$A$81:$IV$88</definedName>
    <definedName name="Z_9E0C48FA_FFCC_11D1_98BA_00C04FC96ABD_.wvu.Rows" localSheetId="45" hidden="1">[39]BOP!$A$36:$IV$36,[39]BOP!$A$44:$IV$44,[39]BOP!$A$59:$IV$59,[39]BOP!#REF!,[39]BOP!#REF!,[39]BOP!$A$81:$IV$88</definedName>
    <definedName name="Z_9E0C48FA_FFCC_11D1_98BA_00C04FC96ABD_.wvu.Rows" hidden="1">[39]BOP!$A$36:$IV$36,[39]BOP!$A$44:$IV$44,[39]BOP!$A$59:$IV$59,[39]BOP!#REF!,[39]BOP!#REF!,[39]BOP!$A$81:$IV$88</definedName>
    <definedName name="Z_9E0C48FB_FFCC_11D1_98BA_00C04FC96ABD_.wvu.Rows" localSheetId="43" hidden="1">[39]BOP!$A$36:$IV$36,[39]BOP!$A$44:$IV$44,[39]BOP!$A$59:$IV$59,[39]BOP!#REF!,[39]BOP!#REF!,[39]BOP!$A$81:$IV$88</definedName>
    <definedName name="Z_9E0C48FB_FFCC_11D1_98BA_00C04FC96ABD_.wvu.Rows" localSheetId="44" hidden="1">[39]BOP!$A$36:$IV$36,[39]BOP!$A$44:$IV$44,[39]BOP!$A$59:$IV$59,[39]BOP!#REF!,[39]BOP!#REF!,[39]BOP!$A$81:$IV$88</definedName>
    <definedName name="Z_9E0C48FB_FFCC_11D1_98BA_00C04FC96ABD_.wvu.Rows" localSheetId="39" hidden="1">[39]BOP!$A$36:$IV$36,[39]BOP!$A$44:$IV$44,[39]BOP!$A$59:$IV$59,[39]BOP!#REF!,[39]BOP!#REF!,[39]BOP!$A$81:$IV$88</definedName>
    <definedName name="Z_9E0C48FB_FFCC_11D1_98BA_00C04FC96ABD_.wvu.Rows" localSheetId="45" hidden="1">[39]BOP!$A$36:$IV$36,[39]BOP!$A$44:$IV$44,[39]BOP!$A$59:$IV$59,[39]BOP!#REF!,[39]BOP!#REF!,[39]BOP!$A$81:$IV$88</definedName>
    <definedName name="Z_9E0C48FB_FFCC_11D1_98BA_00C04FC96ABD_.wvu.Rows" hidden="1">[39]BOP!$A$36:$IV$36,[39]BOP!$A$44:$IV$44,[39]BOP!$A$59:$IV$59,[39]BOP!#REF!,[39]BOP!#REF!,[39]BOP!$A$81:$IV$88</definedName>
    <definedName name="Z_9E0C48FC_FFCC_11D1_98BA_00C04FC96ABD_.wvu.Rows" localSheetId="43" hidden="1">[39]BOP!$A$36:$IV$36,[39]BOP!$A$44:$IV$44,[39]BOP!$A$59:$IV$59,[39]BOP!#REF!,[39]BOP!#REF!,[39]BOP!$A$79:$IV$79,[39]BOP!$A$81:$IV$88,[39]BOP!#REF!</definedName>
    <definedName name="Z_9E0C48FC_FFCC_11D1_98BA_00C04FC96ABD_.wvu.Rows" localSheetId="44" hidden="1">[39]BOP!$A$36:$IV$36,[39]BOP!$A$44:$IV$44,[39]BOP!$A$59:$IV$59,[39]BOP!#REF!,[39]BOP!#REF!,[39]BOP!$A$79:$IV$79,[39]BOP!$A$81:$IV$88,[39]BOP!#REF!</definedName>
    <definedName name="Z_9E0C48FC_FFCC_11D1_98BA_00C04FC96ABD_.wvu.Rows" localSheetId="39" hidden="1">[39]BOP!$A$36:$IV$36,[39]BOP!$A$44:$IV$44,[39]BOP!$A$59:$IV$59,[39]BOP!#REF!,[39]BOP!#REF!,[39]BOP!$A$79:$IV$79,[39]BOP!$A$81:$IV$88,[39]BOP!#REF!</definedName>
    <definedName name="Z_9E0C48FC_FFCC_11D1_98BA_00C04FC96ABD_.wvu.Rows" localSheetId="45" hidden="1">[39]BOP!$A$36:$IV$36,[39]BOP!$A$44:$IV$44,[39]BOP!$A$59:$IV$59,[39]BOP!#REF!,[39]BOP!#REF!,[39]BOP!$A$79:$IV$79,[39]BOP!$A$81:$IV$88,[39]BOP!#REF!</definedName>
    <definedName name="Z_9E0C48FC_FFCC_11D1_98BA_00C04FC96ABD_.wvu.Rows" hidden="1">[39]BOP!$A$36:$IV$36,[39]BOP!$A$44:$IV$44,[39]BOP!$A$59:$IV$59,[39]BOP!#REF!,[39]BOP!#REF!,[39]BOP!$A$79:$IV$79,[39]BOP!$A$81:$IV$88,[39]BOP!#REF!</definedName>
    <definedName name="Z_9E0C48FD_FFCC_11D1_98BA_00C04FC96ABD_.wvu.Rows" localSheetId="43" hidden="1">[39]BOP!$A$36:$IV$36,[39]BOP!$A$44:$IV$44,[39]BOP!$A$59:$IV$59,[39]BOP!#REF!,[39]BOP!#REF!,[39]BOP!$A$79:$IV$79,[39]BOP!$A$81:$IV$88</definedName>
    <definedName name="Z_9E0C48FD_FFCC_11D1_98BA_00C04FC96ABD_.wvu.Rows" localSheetId="44" hidden="1">[39]BOP!$A$36:$IV$36,[39]BOP!$A$44:$IV$44,[39]BOP!$A$59:$IV$59,[39]BOP!#REF!,[39]BOP!#REF!,[39]BOP!$A$79:$IV$79,[39]BOP!$A$81:$IV$88</definedName>
    <definedName name="Z_9E0C48FD_FFCC_11D1_98BA_00C04FC96ABD_.wvu.Rows" localSheetId="39" hidden="1">[39]BOP!$A$36:$IV$36,[39]BOP!$A$44:$IV$44,[39]BOP!$A$59:$IV$59,[39]BOP!#REF!,[39]BOP!#REF!,[39]BOP!$A$79:$IV$79,[39]BOP!$A$81:$IV$88</definedName>
    <definedName name="Z_9E0C48FD_FFCC_11D1_98BA_00C04FC96ABD_.wvu.Rows" localSheetId="45" hidden="1">[39]BOP!$A$36:$IV$36,[39]BOP!$A$44:$IV$44,[39]BOP!$A$59:$IV$59,[39]BOP!#REF!,[39]BOP!#REF!,[39]BOP!$A$79:$IV$79,[39]BOP!$A$81:$IV$88</definedName>
    <definedName name="Z_9E0C48FD_FFCC_11D1_98BA_00C04FC96ABD_.wvu.Rows" hidden="1">[39]BOP!$A$36:$IV$36,[39]BOP!$A$44:$IV$44,[39]BOP!$A$59:$IV$59,[39]BOP!#REF!,[39]BOP!#REF!,[39]BOP!$A$79:$IV$79,[39]BOP!$A$81:$IV$88</definedName>
    <definedName name="Z_9E0C48FE_FFCC_11D1_98BA_00C04FC96ABD_.wvu.Rows" localSheetId="43" hidden="1">[39]BOP!$A$36:$IV$36,[39]BOP!$A$44:$IV$44,[39]BOP!$A$59:$IV$59,[39]BOP!#REF!,[39]BOP!#REF!,[39]BOP!$A$79:$IV$79,[39]BOP!#REF!</definedName>
    <definedName name="Z_9E0C48FE_FFCC_11D1_98BA_00C04FC96ABD_.wvu.Rows" localSheetId="44" hidden="1">[39]BOP!$A$36:$IV$36,[39]BOP!$A$44:$IV$44,[39]BOP!$A$59:$IV$59,[39]BOP!#REF!,[39]BOP!#REF!,[39]BOP!$A$79:$IV$79,[39]BOP!#REF!</definedName>
    <definedName name="Z_9E0C48FE_FFCC_11D1_98BA_00C04FC96ABD_.wvu.Rows" localSheetId="39" hidden="1">[39]BOP!$A$36:$IV$36,[39]BOP!$A$44:$IV$44,[39]BOP!$A$59:$IV$59,[39]BOP!#REF!,[39]BOP!#REF!,[39]BOP!$A$79:$IV$79,[39]BOP!#REF!</definedName>
    <definedName name="Z_9E0C48FE_FFCC_11D1_98BA_00C04FC96ABD_.wvu.Rows" localSheetId="45" hidden="1">[39]BOP!$A$36:$IV$36,[39]BOP!$A$44:$IV$44,[39]BOP!$A$59:$IV$59,[39]BOP!#REF!,[39]BOP!#REF!,[39]BOP!$A$79:$IV$79,[39]BOP!#REF!</definedName>
    <definedName name="Z_9E0C48FE_FFCC_11D1_98BA_00C04FC96ABD_.wvu.Rows" hidden="1">[39]BOP!$A$36:$IV$36,[39]BOP!$A$44:$IV$44,[39]BOP!$A$59:$IV$59,[39]BOP!#REF!,[39]BOP!#REF!,[39]BOP!$A$79:$IV$79,[39]BOP!#REF!</definedName>
    <definedName name="Z_9E0C48FF_FFCC_11D1_98BA_00C04FC96ABD_.wvu.Rows" localSheetId="43" hidden="1">[39]BOP!$A$36:$IV$36,[39]BOP!$A$44:$IV$44,[39]BOP!$A$59:$IV$59,[39]BOP!#REF!,[39]BOP!#REF!,[39]BOP!$A$79:$IV$79,[39]BOP!$A$81:$IV$88,[39]BOP!#REF!</definedName>
    <definedName name="Z_9E0C48FF_FFCC_11D1_98BA_00C04FC96ABD_.wvu.Rows" localSheetId="44" hidden="1">[39]BOP!$A$36:$IV$36,[39]BOP!$A$44:$IV$44,[39]BOP!$A$59:$IV$59,[39]BOP!#REF!,[39]BOP!#REF!,[39]BOP!$A$79:$IV$79,[39]BOP!$A$81:$IV$88,[39]BOP!#REF!</definedName>
    <definedName name="Z_9E0C48FF_FFCC_11D1_98BA_00C04FC96ABD_.wvu.Rows" localSheetId="39" hidden="1">[39]BOP!$A$36:$IV$36,[39]BOP!$A$44:$IV$44,[39]BOP!$A$59:$IV$59,[39]BOP!#REF!,[39]BOP!#REF!,[39]BOP!$A$79:$IV$79,[39]BOP!$A$81:$IV$88,[39]BOP!#REF!</definedName>
    <definedName name="Z_9E0C48FF_FFCC_11D1_98BA_00C04FC96ABD_.wvu.Rows" localSheetId="45" hidden="1">[39]BOP!$A$36:$IV$36,[39]BOP!$A$44:$IV$44,[39]BOP!$A$59:$IV$59,[39]BOP!#REF!,[39]BOP!#REF!,[39]BOP!$A$79:$IV$79,[39]BOP!$A$81:$IV$88,[39]BOP!#REF!</definedName>
    <definedName name="Z_9E0C48FF_FFCC_11D1_98BA_00C04FC96ABD_.wvu.Rows" hidden="1">[39]BOP!$A$36:$IV$36,[39]BOP!$A$44:$IV$44,[39]BOP!$A$59:$IV$59,[39]BOP!#REF!,[39]BOP!#REF!,[39]BOP!$A$79:$IV$79,[39]BOP!$A$81:$IV$88,[39]BOP!#REF!</definedName>
    <definedName name="Z_9E0C4900_FFCC_11D1_98BA_00C04FC96ABD_.wvu.Rows" localSheetId="43" hidden="1">[39]BOP!$A$36:$IV$36,[39]BOP!$A$44:$IV$44,[39]BOP!$A$59:$IV$59,[39]BOP!#REF!,[39]BOP!#REF!,[39]BOP!$A$79:$IV$79,[39]BOP!$A$81:$IV$88,[39]BOP!#REF!</definedName>
    <definedName name="Z_9E0C4900_FFCC_11D1_98BA_00C04FC96ABD_.wvu.Rows" localSheetId="44" hidden="1">[39]BOP!$A$36:$IV$36,[39]BOP!$A$44:$IV$44,[39]BOP!$A$59:$IV$59,[39]BOP!#REF!,[39]BOP!#REF!,[39]BOP!$A$79:$IV$79,[39]BOP!$A$81:$IV$88,[39]BOP!#REF!</definedName>
    <definedName name="Z_9E0C4900_FFCC_11D1_98BA_00C04FC96ABD_.wvu.Rows" localSheetId="39" hidden="1">[39]BOP!$A$36:$IV$36,[39]BOP!$A$44:$IV$44,[39]BOP!$A$59:$IV$59,[39]BOP!#REF!,[39]BOP!#REF!,[39]BOP!$A$79:$IV$79,[39]BOP!$A$81:$IV$88,[39]BOP!#REF!</definedName>
    <definedName name="Z_9E0C4900_FFCC_11D1_98BA_00C04FC96ABD_.wvu.Rows" localSheetId="45" hidden="1">[39]BOP!$A$36:$IV$36,[39]BOP!$A$44:$IV$44,[39]BOP!$A$59:$IV$59,[39]BOP!#REF!,[39]BOP!#REF!,[39]BOP!$A$79:$IV$79,[39]BOP!$A$81:$IV$88,[39]BOP!#REF!</definedName>
    <definedName name="Z_9E0C4900_FFCC_11D1_98BA_00C04FC96ABD_.wvu.Rows" hidden="1">[39]BOP!$A$36:$IV$36,[39]BOP!$A$44:$IV$44,[39]BOP!$A$59:$IV$59,[39]BOP!#REF!,[39]BOP!#REF!,[39]BOP!$A$79:$IV$79,[39]BOP!$A$81:$IV$88,[39]BOP!#REF!</definedName>
    <definedName name="Z_9E0C4901_FFCC_11D1_98BA_00C04FC96ABD_.wvu.Rows" localSheetId="43" hidden="1">[39]BOP!$A$36:$IV$36,[39]BOP!$A$44:$IV$44,[39]BOP!$A$59:$IV$59,[39]BOP!#REF!,[39]BOP!#REF!,[39]BOP!$A$79:$IV$79,[39]BOP!$A$81:$IV$88,[39]BOP!#REF!</definedName>
    <definedName name="Z_9E0C4901_FFCC_11D1_98BA_00C04FC96ABD_.wvu.Rows" localSheetId="44" hidden="1">[39]BOP!$A$36:$IV$36,[39]BOP!$A$44:$IV$44,[39]BOP!$A$59:$IV$59,[39]BOP!#REF!,[39]BOP!#REF!,[39]BOP!$A$79:$IV$79,[39]BOP!$A$81:$IV$88,[39]BOP!#REF!</definedName>
    <definedName name="Z_9E0C4901_FFCC_11D1_98BA_00C04FC96ABD_.wvu.Rows" localSheetId="39" hidden="1">[39]BOP!$A$36:$IV$36,[39]BOP!$A$44:$IV$44,[39]BOP!$A$59:$IV$59,[39]BOP!#REF!,[39]BOP!#REF!,[39]BOP!$A$79:$IV$79,[39]BOP!$A$81:$IV$88,[39]BOP!#REF!</definedName>
    <definedName name="Z_9E0C4901_FFCC_11D1_98BA_00C04FC96ABD_.wvu.Rows" localSheetId="45" hidden="1">[39]BOP!$A$36:$IV$36,[39]BOP!$A$44:$IV$44,[39]BOP!$A$59:$IV$59,[39]BOP!#REF!,[39]BOP!#REF!,[39]BOP!$A$79:$IV$79,[39]BOP!$A$81:$IV$88,[39]BOP!#REF!</definedName>
    <definedName name="Z_9E0C4901_FFCC_11D1_98BA_00C04FC96ABD_.wvu.Rows" hidden="1">[39]BOP!$A$36:$IV$36,[39]BOP!$A$44:$IV$44,[39]BOP!$A$59:$IV$59,[39]BOP!#REF!,[39]BOP!#REF!,[39]BOP!$A$79:$IV$79,[39]BOP!$A$81:$IV$88,[39]BOP!#REF!</definedName>
    <definedName name="Z_9E0C4903_FFCC_11D1_98BA_00C04FC96ABD_.wvu.Rows" localSheetId="43" hidden="1">[39]BOP!$A$36:$IV$36,[39]BOP!$A$44:$IV$44,[39]BOP!$A$59:$IV$59,[39]BOP!#REF!,[39]BOP!#REF!,[39]BOP!$A$79:$IV$79,[39]BOP!$A$81:$IV$88,[39]BOP!#REF!,[39]BOP!#REF!</definedName>
    <definedName name="Z_9E0C4903_FFCC_11D1_98BA_00C04FC96ABD_.wvu.Rows" localSheetId="44" hidden="1">[39]BOP!$A$36:$IV$36,[39]BOP!$A$44:$IV$44,[39]BOP!$A$59:$IV$59,[39]BOP!#REF!,[39]BOP!#REF!,[39]BOP!$A$79:$IV$79,[39]BOP!$A$81:$IV$88,[39]BOP!#REF!,[39]BOP!#REF!</definedName>
    <definedName name="Z_9E0C4903_FFCC_11D1_98BA_00C04FC96ABD_.wvu.Rows" localSheetId="39" hidden="1">[39]BOP!$A$36:$IV$36,[39]BOP!$A$44:$IV$44,[39]BOP!$A$59:$IV$59,[39]BOP!#REF!,[39]BOP!#REF!,[39]BOP!$A$79:$IV$79,[39]BOP!$A$81:$IV$88,[39]BOP!#REF!,[39]BOP!#REF!</definedName>
    <definedName name="Z_9E0C4903_FFCC_11D1_98BA_00C04FC96ABD_.wvu.Rows" localSheetId="45" hidden="1">[39]BOP!$A$36:$IV$36,[39]BOP!$A$44:$IV$44,[39]BOP!$A$59:$IV$59,[39]BOP!#REF!,[39]BOP!#REF!,[39]BOP!$A$79:$IV$79,[39]BOP!$A$81:$IV$88,[39]BOP!#REF!,[39]BOP!#REF!</definedName>
    <definedName name="Z_9E0C4903_FFCC_11D1_98BA_00C04FC96ABD_.wvu.Rows" hidden="1">[39]BOP!$A$36:$IV$36,[39]BOP!$A$44:$IV$44,[39]BOP!$A$59:$IV$59,[39]BOP!#REF!,[39]BOP!#REF!,[39]BOP!$A$79:$IV$79,[39]BOP!$A$81:$IV$88,[39]BOP!#REF!,[39]BOP!#REF!</definedName>
    <definedName name="Z_9E0C4904_FFCC_11D1_98BA_00C04FC96ABD_.wvu.Rows" localSheetId="43" hidden="1">[39]BOP!$A$36:$IV$36,[39]BOP!$A$44:$IV$44,[39]BOP!$A$59:$IV$59,[39]BOP!#REF!,[39]BOP!#REF!,[39]BOP!$A$79:$IV$79,[39]BOP!$A$81:$IV$88,[39]BOP!#REF!,[39]BOP!#REF!</definedName>
    <definedName name="Z_9E0C4904_FFCC_11D1_98BA_00C04FC96ABD_.wvu.Rows" localSheetId="44" hidden="1">[39]BOP!$A$36:$IV$36,[39]BOP!$A$44:$IV$44,[39]BOP!$A$59:$IV$59,[39]BOP!#REF!,[39]BOP!#REF!,[39]BOP!$A$79:$IV$79,[39]BOP!$A$81:$IV$88,[39]BOP!#REF!,[39]BOP!#REF!</definedName>
    <definedName name="Z_9E0C4904_FFCC_11D1_98BA_00C04FC96ABD_.wvu.Rows" localSheetId="39" hidden="1">[39]BOP!$A$36:$IV$36,[39]BOP!$A$44:$IV$44,[39]BOP!$A$59:$IV$59,[39]BOP!#REF!,[39]BOP!#REF!,[39]BOP!$A$79:$IV$79,[39]BOP!$A$81:$IV$88,[39]BOP!#REF!,[39]BOP!#REF!</definedName>
    <definedName name="Z_9E0C4904_FFCC_11D1_98BA_00C04FC96ABD_.wvu.Rows" localSheetId="45" hidden="1">[39]BOP!$A$36:$IV$36,[39]BOP!$A$44:$IV$44,[39]BOP!$A$59:$IV$59,[39]BOP!#REF!,[39]BOP!#REF!,[39]BOP!$A$79:$IV$79,[39]BOP!$A$81:$IV$88,[39]BOP!#REF!,[39]BOP!#REF!</definedName>
    <definedName name="Z_9E0C4904_FFCC_11D1_98BA_00C04FC96ABD_.wvu.Rows" hidden="1">[39]BOP!$A$36:$IV$36,[39]BOP!$A$44:$IV$44,[39]BOP!$A$59:$IV$59,[39]BOP!#REF!,[39]BOP!#REF!,[39]BOP!$A$79:$IV$79,[39]BOP!$A$81:$IV$88,[39]BOP!#REF!,[39]BOP!#REF!</definedName>
    <definedName name="Z_9E0C4905_FFCC_11D1_98BA_00C04FC96ABD_.wvu.Rows" localSheetId="43" hidden="1">[39]BOP!$A$36:$IV$36,[39]BOP!$A$44:$IV$44,[39]BOP!$A$59:$IV$59,[39]BOP!#REF!,[39]BOP!#REF!,[39]BOP!$A$79:$IV$79</definedName>
    <definedName name="Z_9E0C4905_FFCC_11D1_98BA_00C04FC96ABD_.wvu.Rows" localSheetId="44" hidden="1">[39]BOP!$A$36:$IV$36,[39]BOP!$A$44:$IV$44,[39]BOP!$A$59:$IV$59,[39]BOP!#REF!,[39]BOP!#REF!,[39]BOP!$A$79:$IV$79</definedName>
    <definedName name="Z_9E0C4905_FFCC_11D1_98BA_00C04FC96ABD_.wvu.Rows" localSheetId="39" hidden="1">[39]BOP!$A$36:$IV$36,[39]BOP!$A$44:$IV$44,[39]BOP!$A$59:$IV$59,[39]BOP!#REF!,[39]BOP!#REF!,[39]BOP!$A$79:$IV$79</definedName>
    <definedName name="Z_9E0C4905_FFCC_11D1_98BA_00C04FC96ABD_.wvu.Rows" localSheetId="45" hidden="1">[39]BOP!$A$36:$IV$36,[39]BOP!$A$44:$IV$44,[39]BOP!$A$59:$IV$59,[39]BOP!#REF!,[39]BOP!#REF!,[39]BOP!$A$79:$IV$79</definedName>
    <definedName name="Z_9E0C4905_FFCC_11D1_98BA_00C04FC96ABD_.wvu.Rows" hidden="1">[39]BOP!$A$36:$IV$36,[39]BOP!$A$44:$IV$44,[39]BOP!$A$59:$IV$59,[39]BOP!#REF!,[39]BOP!#REF!,[39]BOP!$A$79:$IV$79</definedName>
    <definedName name="Z_C21FAE85_013A_11D2_98BD_00C04FC96ABD_.wvu.Rows" localSheetId="43" hidden="1">[39]BOP!$A$36:$IV$36,[39]BOP!$A$44:$IV$44,[39]BOP!$A$59:$IV$59,[39]BOP!#REF!,[39]BOP!#REF!,[39]BOP!$A$81:$IV$88</definedName>
    <definedName name="Z_C21FAE85_013A_11D2_98BD_00C04FC96ABD_.wvu.Rows" localSheetId="44" hidden="1">[39]BOP!$A$36:$IV$36,[39]BOP!$A$44:$IV$44,[39]BOP!$A$59:$IV$59,[39]BOP!#REF!,[39]BOP!#REF!,[39]BOP!$A$81:$IV$88</definedName>
    <definedName name="Z_C21FAE85_013A_11D2_98BD_00C04FC96ABD_.wvu.Rows" localSheetId="39" hidden="1">[39]BOP!$A$36:$IV$36,[39]BOP!$A$44:$IV$44,[39]BOP!$A$59:$IV$59,[39]BOP!#REF!,[39]BOP!#REF!,[39]BOP!$A$81:$IV$88</definedName>
    <definedName name="Z_C21FAE85_013A_11D2_98BD_00C04FC96ABD_.wvu.Rows" localSheetId="45" hidden="1">[39]BOP!$A$36:$IV$36,[39]BOP!$A$44:$IV$44,[39]BOP!$A$59:$IV$59,[39]BOP!#REF!,[39]BOP!#REF!,[39]BOP!$A$81:$IV$88</definedName>
    <definedName name="Z_C21FAE85_013A_11D2_98BD_00C04FC96ABD_.wvu.Rows" hidden="1">[39]BOP!$A$36:$IV$36,[39]BOP!$A$44:$IV$44,[39]BOP!$A$59:$IV$59,[39]BOP!#REF!,[39]BOP!#REF!,[39]BOP!$A$81:$IV$88</definedName>
    <definedName name="Z_C21FAE86_013A_11D2_98BD_00C04FC96ABD_.wvu.Rows" localSheetId="43" hidden="1">[39]BOP!$A$36:$IV$36,[39]BOP!$A$44:$IV$44,[39]BOP!$A$59:$IV$59,[39]BOP!#REF!,[39]BOP!#REF!,[39]BOP!$A$81:$IV$88</definedName>
    <definedName name="Z_C21FAE86_013A_11D2_98BD_00C04FC96ABD_.wvu.Rows" localSheetId="44" hidden="1">[39]BOP!$A$36:$IV$36,[39]BOP!$A$44:$IV$44,[39]BOP!$A$59:$IV$59,[39]BOP!#REF!,[39]BOP!#REF!,[39]BOP!$A$81:$IV$88</definedName>
    <definedName name="Z_C21FAE86_013A_11D2_98BD_00C04FC96ABD_.wvu.Rows" localSheetId="39" hidden="1">[39]BOP!$A$36:$IV$36,[39]BOP!$A$44:$IV$44,[39]BOP!$A$59:$IV$59,[39]BOP!#REF!,[39]BOP!#REF!,[39]BOP!$A$81:$IV$88</definedName>
    <definedName name="Z_C21FAE86_013A_11D2_98BD_00C04FC96ABD_.wvu.Rows" localSheetId="45" hidden="1">[39]BOP!$A$36:$IV$36,[39]BOP!$A$44:$IV$44,[39]BOP!$A$59:$IV$59,[39]BOP!#REF!,[39]BOP!#REF!,[39]BOP!$A$81:$IV$88</definedName>
    <definedName name="Z_C21FAE86_013A_11D2_98BD_00C04FC96ABD_.wvu.Rows" hidden="1">[39]BOP!$A$36:$IV$36,[39]BOP!$A$44:$IV$44,[39]BOP!$A$59:$IV$59,[39]BOP!#REF!,[39]BOP!#REF!,[39]BOP!$A$81:$IV$88</definedName>
    <definedName name="Z_C21FAE87_013A_11D2_98BD_00C04FC96ABD_.wvu.Rows" localSheetId="43" hidden="1">[39]BOP!$A$36:$IV$36,[39]BOP!$A$44:$IV$44,[39]BOP!$A$59:$IV$59,[39]BOP!#REF!,[39]BOP!#REF!,[39]BOP!$A$81:$IV$88</definedName>
    <definedName name="Z_C21FAE87_013A_11D2_98BD_00C04FC96ABD_.wvu.Rows" localSheetId="44" hidden="1">[39]BOP!$A$36:$IV$36,[39]BOP!$A$44:$IV$44,[39]BOP!$A$59:$IV$59,[39]BOP!#REF!,[39]BOP!#REF!,[39]BOP!$A$81:$IV$88</definedName>
    <definedName name="Z_C21FAE87_013A_11D2_98BD_00C04FC96ABD_.wvu.Rows" localSheetId="39" hidden="1">[39]BOP!$A$36:$IV$36,[39]BOP!$A$44:$IV$44,[39]BOP!$A$59:$IV$59,[39]BOP!#REF!,[39]BOP!#REF!,[39]BOP!$A$81:$IV$88</definedName>
    <definedName name="Z_C21FAE87_013A_11D2_98BD_00C04FC96ABD_.wvu.Rows" localSheetId="45" hidden="1">[39]BOP!$A$36:$IV$36,[39]BOP!$A$44:$IV$44,[39]BOP!$A$59:$IV$59,[39]BOP!#REF!,[39]BOP!#REF!,[39]BOP!$A$81:$IV$88</definedName>
    <definedName name="Z_C21FAE87_013A_11D2_98BD_00C04FC96ABD_.wvu.Rows" hidden="1">[39]BOP!$A$36:$IV$36,[39]BOP!$A$44:$IV$44,[39]BOP!$A$59:$IV$59,[39]BOP!#REF!,[39]BOP!#REF!,[39]BOP!$A$81:$IV$88</definedName>
    <definedName name="Z_C21FAE88_013A_11D2_98BD_00C04FC96ABD_.wvu.Rows" localSheetId="43" hidden="1">[39]BOP!$A$36:$IV$36,[39]BOP!$A$44:$IV$44,[39]BOP!$A$59:$IV$59,[39]BOP!#REF!,[39]BOP!#REF!,[39]BOP!$A$81:$IV$88</definedName>
    <definedName name="Z_C21FAE88_013A_11D2_98BD_00C04FC96ABD_.wvu.Rows" localSheetId="44" hidden="1">[39]BOP!$A$36:$IV$36,[39]BOP!$A$44:$IV$44,[39]BOP!$A$59:$IV$59,[39]BOP!#REF!,[39]BOP!#REF!,[39]BOP!$A$81:$IV$88</definedName>
    <definedName name="Z_C21FAE88_013A_11D2_98BD_00C04FC96ABD_.wvu.Rows" localSheetId="39" hidden="1">[39]BOP!$A$36:$IV$36,[39]BOP!$A$44:$IV$44,[39]BOP!$A$59:$IV$59,[39]BOP!#REF!,[39]BOP!#REF!,[39]BOP!$A$81:$IV$88</definedName>
    <definedName name="Z_C21FAE88_013A_11D2_98BD_00C04FC96ABD_.wvu.Rows" localSheetId="45" hidden="1">[39]BOP!$A$36:$IV$36,[39]BOP!$A$44:$IV$44,[39]BOP!$A$59:$IV$59,[39]BOP!#REF!,[39]BOP!#REF!,[39]BOP!$A$81:$IV$88</definedName>
    <definedName name="Z_C21FAE88_013A_11D2_98BD_00C04FC96ABD_.wvu.Rows" hidden="1">[39]BOP!$A$36:$IV$36,[39]BOP!$A$44:$IV$44,[39]BOP!$A$59:$IV$59,[39]BOP!#REF!,[39]BOP!#REF!,[39]BOP!$A$81:$IV$88</definedName>
    <definedName name="Z_C21FAE89_013A_11D2_98BD_00C04FC96ABD_.wvu.Rows" localSheetId="43" hidden="1">[39]BOP!$A$36:$IV$36,[39]BOP!$A$44:$IV$44,[39]BOP!$A$59:$IV$59,[39]BOP!#REF!,[39]BOP!#REF!,[39]BOP!$A$79:$IV$79,[39]BOP!$A$81:$IV$88,[39]BOP!#REF!</definedName>
    <definedName name="Z_C21FAE89_013A_11D2_98BD_00C04FC96ABD_.wvu.Rows" localSheetId="44" hidden="1">[39]BOP!$A$36:$IV$36,[39]BOP!$A$44:$IV$44,[39]BOP!$A$59:$IV$59,[39]BOP!#REF!,[39]BOP!#REF!,[39]BOP!$A$79:$IV$79,[39]BOP!$A$81:$IV$88,[39]BOP!#REF!</definedName>
    <definedName name="Z_C21FAE89_013A_11D2_98BD_00C04FC96ABD_.wvu.Rows" localSheetId="39" hidden="1">[39]BOP!$A$36:$IV$36,[39]BOP!$A$44:$IV$44,[39]BOP!$A$59:$IV$59,[39]BOP!#REF!,[39]BOP!#REF!,[39]BOP!$A$79:$IV$79,[39]BOP!$A$81:$IV$88,[39]BOP!#REF!</definedName>
    <definedName name="Z_C21FAE89_013A_11D2_98BD_00C04FC96ABD_.wvu.Rows" localSheetId="45" hidden="1">[39]BOP!$A$36:$IV$36,[39]BOP!$A$44:$IV$44,[39]BOP!$A$59:$IV$59,[39]BOP!#REF!,[39]BOP!#REF!,[39]BOP!$A$79:$IV$79,[39]BOP!$A$81:$IV$88,[39]BOP!#REF!</definedName>
    <definedName name="Z_C21FAE89_013A_11D2_98BD_00C04FC96ABD_.wvu.Rows" hidden="1">[39]BOP!$A$36:$IV$36,[39]BOP!$A$44:$IV$44,[39]BOP!$A$59:$IV$59,[39]BOP!#REF!,[39]BOP!#REF!,[39]BOP!$A$79:$IV$79,[39]BOP!$A$81:$IV$88,[39]BOP!#REF!</definedName>
    <definedName name="Z_C21FAE8A_013A_11D2_98BD_00C04FC96ABD_.wvu.Rows" localSheetId="43" hidden="1">[39]BOP!$A$36:$IV$36,[39]BOP!$A$44:$IV$44,[39]BOP!$A$59:$IV$59,[39]BOP!#REF!,[39]BOP!#REF!,[39]BOP!$A$79:$IV$79,[39]BOP!$A$81:$IV$88</definedName>
    <definedName name="Z_C21FAE8A_013A_11D2_98BD_00C04FC96ABD_.wvu.Rows" localSheetId="44" hidden="1">[39]BOP!$A$36:$IV$36,[39]BOP!$A$44:$IV$44,[39]BOP!$A$59:$IV$59,[39]BOP!#REF!,[39]BOP!#REF!,[39]BOP!$A$79:$IV$79,[39]BOP!$A$81:$IV$88</definedName>
    <definedName name="Z_C21FAE8A_013A_11D2_98BD_00C04FC96ABD_.wvu.Rows" localSheetId="39" hidden="1">[39]BOP!$A$36:$IV$36,[39]BOP!$A$44:$IV$44,[39]BOP!$A$59:$IV$59,[39]BOP!#REF!,[39]BOP!#REF!,[39]BOP!$A$79:$IV$79,[39]BOP!$A$81:$IV$88</definedName>
    <definedName name="Z_C21FAE8A_013A_11D2_98BD_00C04FC96ABD_.wvu.Rows" localSheetId="45" hidden="1">[39]BOP!$A$36:$IV$36,[39]BOP!$A$44:$IV$44,[39]BOP!$A$59:$IV$59,[39]BOP!#REF!,[39]BOP!#REF!,[39]BOP!$A$79:$IV$79,[39]BOP!$A$81:$IV$88</definedName>
    <definedName name="Z_C21FAE8A_013A_11D2_98BD_00C04FC96ABD_.wvu.Rows" hidden="1">[39]BOP!$A$36:$IV$36,[39]BOP!$A$44:$IV$44,[39]BOP!$A$59:$IV$59,[39]BOP!#REF!,[39]BOP!#REF!,[39]BOP!$A$79:$IV$79,[39]BOP!$A$81:$IV$88</definedName>
    <definedName name="Z_C21FAE8B_013A_11D2_98BD_00C04FC96ABD_.wvu.Rows" localSheetId="43" hidden="1">[39]BOP!$A$36:$IV$36,[39]BOP!$A$44:$IV$44,[39]BOP!$A$59:$IV$59,[39]BOP!#REF!,[39]BOP!#REF!,[39]BOP!$A$79:$IV$79,[39]BOP!#REF!</definedName>
    <definedName name="Z_C21FAE8B_013A_11D2_98BD_00C04FC96ABD_.wvu.Rows" localSheetId="44" hidden="1">[39]BOP!$A$36:$IV$36,[39]BOP!$A$44:$IV$44,[39]BOP!$A$59:$IV$59,[39]BOP!#REF!,[39]BOP!#REF!,[39]BOP!$A$79:$IV$79,[39]BOP!#REF!</definedName>
    <definedName name="Z_C21FAE8B_013A_11D2_98BD_00C04FC96ABD_.wvu.Rows" localSheetId="39" hidden="1">[39]BOP!$A$36:$IV$36,[39]BOP!$A$44:$IV$44,[39]BOP!$A$59:$IV$59,[39]BOP!#REF!,[39]BOP!#REF!,[39]BOP!$A$79:$IV$79,[39]BOP!#REF!</definedName>
    <definedName name="Z_C21FAE8B_013A_11D2_98BD_00C04FC96ABD_.wvu.Rows" localSheetId="45" hidden="1">[39]BOP!$A$36:$IV$36,[39]BOP!$A$44:$IV$44,[39]BOP!$A$59:$IV$59,[39]BOP!#REF!,[39]BOP!#REF!,[39]BOP!$A$79:$IV$79,[39]BOP!#REF!</definedName>
    <definedName name="Z_C21FAE8B_013A_11D2_98BD_00C04FC96ABD_.wvu.Rows" hidden="1">[39]BOP!$A$36:$IV$36,[39]BOP!$A$44:$IV$44,[39]BOP!$A$59:$IV$59,[39]BOP!#REF!,[39]BOP!#REF!,[39]BOP!$A$79:$IV$79,[39]BOP!#REF!</definedName>
    <definedName name="Z_C21FAE8C_013A_11D2_98BD_00C04FC96ABD_.wvu.Rows" localSheetId="43" hidden="1">[39]BOP!$A$36:$IV$36,[39]BOP!$A$44:$IV$44,[39]BOP!$A$59:$IV$59,[39]BOP!#REF!,[39]BOP!#REF!,[39]BOP!$A$79:$IV$79,[39]BOP!$A$81:$IV$88,[39]BOP!#REF!</definedName>
    <definedName name="Z_C21FAE8C_013A_11D2_98BD_00C04FC96ABD_.wvu.Rows" localSheetId="44" hidden="1">[39]BOP!$A$36:$IV$36,[39]BOP!$A$44:$IV$44,[39]BOP!$A$59:$IV$59,[39]BOP!#REF!,[39]BOP!#REF!,[39]BOP!$A$79:$IV$79,[39]BOP!$A$81:$IV$88,[39]BOP!#REF!</definedName>
    <definedName name="Z_C21FAE8C_013A_11D2_98BD_00C04FC96ABD_.wvu.Rows" localSheetId="39" hidden="1">[39]BOP!$A$36:$IV$36,[39]BOP!$A$44:$IV$44,[39]BOP!$A$59:$IV$59,[39]BOP!#REF!,[39]BOP!#REF!,[39]BOP!$A$79:$IV$79,[39]BOP!$A$81:$IV$88,[39]BOP!#REF!</definedName>
    <definedName name="Z_C21FAE8C_013A_11D2_98BD_00C04FC96ABD_.wvu.Rows" localSheetId="45" hidden="1">[39]BOP!$A$36:$IV$36,[39]BOP!$A$44:$IV$44,[39]BOP!$A$59:$IV$59,[39]BOP!#REF!,[39]BOP!#REF!,[39]BOP!$A$79:$IV$79,[39]BOP!$A$81:$IV$88,[39]BOP!#REF!</definedName>
    <definedName name="Z_C21FAE8C_013A_11D2_98BD_00C04FC96ABD_.wvu.Rows" hidden="1">[39]BOP!$A$36:$IV$36,[39]BOP!$A$44:$IV$44,[39]BOP!$A$59:$IV$59,[39]BOP!#REF!,[39]BOP!#REF!,[39]BOP!$A$79:$IV$79,[39]BOP!$A$81:$IV$88,[39]BOP!#REF!</definedName>
    <definedName name="Z_C21FAE8D_013A_11D2_98BD_00C04FC96ABD_.wvu.Rows" localSheetId="43" hidden="1">[39]BOP!$A$36:$IV$36,[39]BOP!$A$44:$IV$44,[39]BOP!$A$59:$IV$59,[39]BOP!#REF!,[39]BOP!#REF!,[39]BOP!$A$79:$IV$79,[39]BOP!$A$81:$IV$88,[39]BOP!#REF!</definedName>
    <definedName name="Z_C21FAE8D_013A_11D2_98BD_00C04FC96ABD_.wvu.Rows" localSheetId="44" hidden="1">[39]BOP!$A$36:$IV$36,[39]BOP!$A$44:$IV$44,[39]BOP!$A$59:$IV$59,[39]BOP!#REF!,[39]BOP!#REF!,[39]BOP!$A$79:$IV$79,[39]BOP!$A$81:$IV$88,[39]BOP!#REF!</definedName>
    <definedName name="Z_C21FAE8D_013A_11D2_98BD_00C04FC96ABD_.wvu.Rows" localSheetId="39" hidden="1">[39]BOP!$A$36:$IV$36,[39]BOP!$A$44:$IV$44,[39]BOP!$A$59:$IV$59,[39]BOP!#REF!,[39]BOP!#REF!,[39]BOP!$A$79:$IV$79,[39]BOP!$A$81:$IV$88,[39]BOP!#REF!</definedName>
    <definedName name="Z_C21FAE8D_013A_11D2_98BD_00C04FC96ABD_.wvu.Rows" localSheetId="45" hidden="1">[39]BOP!$A$36:$IV$36,[39]BOP!$A$44:$IV$44,[39]BOP!$A$59:$IV$59,[39]BOP!#REF!,[39]BOP!#REF!,[39]BOP!$A$79:$IV$79,[39]BOP!$A$81:$IV$88,[39]BOP!#REF!</definedName>
    <definedName name="Z_C21FAE8D_013A_11D2_98BD_00C04FC96ABD_.wvu.Rows" hidden="1">[39]BOP!$A$36:$IV$36,[39]BOP!$A$44:$IV$44,[39]BOP!$A$59:$IV$59,[39]BOP!#REF!,[39]BOP!#REF!,[39]BOP!$A$79:$IV$79,[39]BOP!$A$81:$IV$88,[39]BOP!#REF!</definedName>
    <definedName name="Z_C21FAE8E_013A_11D2_98BD_00C04FC96ABD_.wvu.Rows" localSheetId="43" hidden="1">[39]BOP!$A$36:$IV$36,[39]BOP!$A$44:$IV$44,[39]BOP!$A$59:$IV$59,[39]BOP!#REF!,[39]BOP!#REF!,[39]BOP!$A$79:$IV$79,[39]BOP!$A$81:$IV$88,[39]BOP!#REF!</definedName>
    <definedName name="Z_C21FAE8E_013A_11D2_98BD_00C04FC96ABD_.wvu.Rows" localSheetId="44" hidden="1">[39]BOP!$A$36:$IV$36,[39]BOP!$A$44:$IV$44,[39]BOP!$A$59:$IV$59,[39]BOP!#REF!,[39]BOP!#REF!,[39]BOP!$A$79:$IV$79,[39]BOP!$A$81:$IV$88,[39]BOP!#REF!</definedName>
    <definedName name="Z_C21FAE8E_013A_11D2_98BD_00C04FC96ABD_.wvu.Rows" localSheetId="39" hidden="1">[39]BOP!$A$36:$IV$36,[39]BOP!$A$44:$IV$44,[39]BOP!$A$59:$IV$59,[39]BOP!#REF!,[39]BOP!#REF!,[39]BOP!$A$79:$IV$79,[39]BOP!$A$81:$IV$88,[39]BOP!#REF!</definedName>
    <definedName name="Z_C21FAE8E_013A_11D2_98BD_00C04FC96ABD_.wvu.Rows" localSheetId="45" hidden="1">[39]BOP!$A$36:$IV$36,[39]BOP!$A$44:$IV$44,[39]BOP!$A$59:$IV$59,[39]BOP!#REF!,[39]BOP!#REF!,[39]BOP!$A$79:$IV$79,[39]BOP!$A$81:$IV$88,[39]BOP!#REF!</definedName>
    <definedName name="Z_C21FAE8E_013A_11D2_98BD_00C04FC96ABD_.wvu.Rows" hidden="1">[39]BOP!$A$36:$IV$36,[39]BOP!$A$44:$IV$44,[39]BOP!$A$59:$IV$59,[39]BOP!#REF!,[39]BOP!#REF!,[39]BOP!$A$79:$IV$79,[39]BOP!$A$81:$IV$88,[39]BOP!#REF!</definedName>
    <definedName name="Z_C21FAE90_013A_11D2_98BD_00C04FC96ABD_.wvu.Rows" localSheetId="43" hidden="1">[39]BOP!$A$36:$IV$36,[39]BOP!$A$44:$IV$44,[39]BOP!$A$59:$IV$59,[39]BOP!#REF!,[39]BOP!#REF!,[39]BOP!$A$79:$IV$79,[39]BOP!$A$81:$IV$88,[39]BOP!#REF!,[39]BOP!#REF!</definedName>
    <definedName name="Z_C21FAE90_013A_11D2_98BD_00C04FC96ABD_.wvu.Rows" localSheetId="44" hidden="1">[39]BOP!$A$36:$IV$36,[39]BOP!$A$44:$IV$44,[39]BOP!$A$59:$IV$59,[39]BOP!#REF!,[39]BOP!#REF!,[39]BOP!$A$79:$IV$79,[39]BOP!$A$81:$IV$88,[39]BOP!#REF!,[39]BOP!#REF!</definedName>
    <definedName name="Z_C21FAE90_013A_11D2_98BD_00C04FC96ABD_.wvu.Rows" localSheetId="39" hidden="1">[39]BOP!$A$36:$IV$36,[39]BOP!$A$44:$IV$44,[39]BOP!$A$59:$IV$59,[39]BOP!#REF!,[39]BOP!#REF!,[39]BOP!$A$79:$IV$79,[39]BOP!$A$81:$IV$88,[39]BOP!#REF!,[39]BOP!#REF!</definedName>
    <definedName name="Z_C21FAE90_013A_11D2_98BD_00C04FC96ABD_.wvu.Rows" localSheetId="45" hidden="1">[39]BOP!$A$36:$IV$36,[39]BOP!$A$44:$IV$44,[39]BOP!$A$59:$IV$59,[39]BOP!#REF!,[39]BOP!#REF!,[39]BOP!$A$79:$IV$79,[39]BOP!$A$81:$IV$88,[39]BOP!#REF!,[39]BOP!#REF!</definedName>
    <definedName name="Z_C21FAE90_013A_11D2_98BD_00C04FC96ABD_.wvu.Rows" hidden="1">[39]BOP!$A$36:$IV$36,[39]BOP!$A$44:$IV$44,[39]BOP!$A$59:$IV$59,[39]BOP!#REF!,[39]BOP!#REF!,[39]BOP!$A$79:$IV$79,[39]BOP!$A$81:$IV$88,[39]BOP!#REF!,[39]BOP!#REF!</definedName>
    <definedName name="Z_C21FAE91_013A_11D2_98BD_00C04FC96ABD_.wvu.Rows" localSheetId="43" hidden="1">[39]BOP!$A$36:$IV$36,[39]BOP!$A$44:$IV$44,[39]BOP!$A$59:$IV$59,[39]BOP!#REF!,[39]BOP!#REF!,[39]BOP!$A$79:$IV$79,[39]BOP!$A$81:$IV$88,[39]BOP!#REF!,[39]BOP!#REF!</definedName>
    <definedName name="Z_C21FAE91_013A_11D2_98BD_00C04FC96ABD_.wvu.Rows" localSheetId="44" hidden="1">[39]BOP!$A$36:$IV$36,[39]BOP!$A$44:$IV$44,[39]BOP!$A$59:$IV$59,[39]BOP!#REF!,[39]BOP!#REF!,[39]BOP!$A$79:$IV$79,[39]BOP!$A$81:$IV$88,[39]BOP!#REF!,[39]BOP!#REF!</definedName>
    <definedName name="Z_C21FAE91_013A_11D2_98BD_00C04FC96ABD_.wvu.Rows" localSheetId="39" hidden="1">[39]BOP!$A$36:$IV$36,[39]BOP!$A$44:$IV$44,[39]BOP!$A$59:$IV$59,[39]BOP!#REF!,[39]BOP!#REF!,[39]BOP!$A$79:$IV$79,[39]BOP!$A$81:$IV$88,[39]BOP!#REF!,[39]BOP!#REF!</definedName>
    <definedName name="Z_C21FAE91_013A_11D2_98BD_00C04FC96ABD_.wvu.Rows" localSheetId="45" hidden="1">[39]BOP!$A$36:$IV$36,[39]BOP!$A$44:$IV$44,[39]BOP!$A$59:$IV$59,[39]BOP!#REF!,[39]BOP!#REF!,[39]BOP!$A$79:$IV$79,[39]BOP!$A$81:$IV$88,[39]BOP!#REF!,[39]BOP!#REF!</definedName>
    <definedName name="Z_C21FAE91_013A_11D2_98BD_00C04FC96ABD_.wvu.Rows" hidden="1">[39]BOP!$A$36:$IV$36,[39]BOP!$A$44:$IV$44,[39]BOP!$A$59:$IV$59,[39]BOP!#REF!,[39]BOP!#REF!,[39]BOP!$A$79:$IV$79,[39]BOP!$A$81:$IV$88,[39]BOP!#REF!,[39]BOP!#REF!</definedName>
    <definedName name="Z_C21FAE92_013A_11D2_98BD_00C04FC96ABD_.wvu.Rows" localSheetId="43" hidden="1">[39]BOP!$A$36:$IV$36,[39]BOP!$A$44:$IV$44,[39]BOP!$A$59:$IV$59,[39]BOP!#REF!,[39]BOP!#REF!,[39]BOP!$A$79:$IV$79</definedName>
    <definedName name="Z_C21FAE92_013A_11D2_98BD_00C04FC96ABD_.wvu.Rows" localSheetId="44" hidden="1">[39]BOP!$A$36:$IV$36,[39]BOP!$A$44:$IV$44,[39]BOP!$A$59:$IV$59,[39]BOP!#REF!,[39]BOP!#REF!,[39]BOP!$A$79:$IV$79</definedName>
    <definedName name="Z_C21FAE92_013A_11D2_98BD_00C04FC96ABD_.wvu.Rows" localSheetId="39" hidden="1">[39]BOP!$A$36:$IV$36,[39]BOP!$A$44:$IV$44,[39]BOP!$A$59:$IV$59,[39]BOP!#REF!,[39]BOP!#REF!,[39]BOP!$A$79:$IV$79</definedName>
    <definedName name="Z_C21FAE92_013A_11D2_98BD_00C04FC96ABD_.wvu.Rows" localSheetId="45" hidden="1">[39]BOP!$A$36:$IV$36,[39]BOP!$A$44:$IV$44,[39]BOP!$A$59:$IV$59,[39]BOP!#REF!,[39]BOP!#REF!,[39]BOP!$A$79:$IV$79</definedName>
    <definedName name="Z_C21FAE92_013A_11D2_98BD_00C04FC96ABD_.wvu.Rows" hidden="1">[39]BOP!$A$36:$IV$36,[39]BOP!$A$44:$IV$44,[39]BOP!$A$59:$IV$59,[39]BOP!#REF!,[39]BOP!#REF!,[39]BOP!$A$79:$IV$79</definedName>
    <definedName name="Z_CF25EF4A_FFAB_11D1_98B7_00C04FC96ABD_.wvu.Rows" localSheetId="43" hidden="1">[39]BOP!$A$36:$IV$36,[39]BOP!$A$44:$IV$44,[39]BOP!$A$59:$IV$59,[39]BOP!#REF!,[39]BOP!#REF!,[39]BOP!$A$81:$IV$88</definedName>
    <definedName name="Z_CF25EF4A_FFAB_11D1_98B7_00C04FC96ABD_.wvu.Rows" localSheetId="44" hidden="1">[39]BOP!$A$36:$IV$36,[39]BOP!$A$44:$IV$44,[39]BOP!$A$59:$IV$59,[39]BOP!#REF!,[39]BOP!#REF!,[39]BOP!$A$81:$IV$88</definedName>
    <definedName name="Z_CF25EF4A_FFAB_11D1_98B7_00C04FC96ABD_.wvu.Rows" localSheetId="39" hidden="1">[39]BOP!$A$36:$IV$36,[39]BOP!$A$44:$IV$44,[39]BOP!$A$59:$IV$59,[39]BOP!#REF!,[39]BOP!#REF!,[39]BOP!$A$81:$IV$88</definedName>
    <definedName name="Z_CF25EF4A_FFAB_11D1_98B7_00C04FC96ABD_.wvu.Rows" localSheetId="45" hidden="1">[39]BOP!$A$36:$IV$36,[39]BOP!$A$44:$IV$44,[39]BOP!$A$59:$IV$59,[39]BOP!#REF!,[39]BOP!#REF!,[39]BOP!$A$81:$IV$88</definedName>
    <definedName name="Z_CF25EF4A_FFAB_11D1_98B7_00C04FC96ABD_.wvu.Rows" hidden="1">[39]BOP!$A$36:$IV$36,[39]BOP!$A$44:$IV$44,[39]BOP!$A$59:$IV$59,[39]BOP!#REF!,[39]BOP!#REF!,[39]BOP!$A$81:$IV$88</definedName>
    <definedName name="Z_CF25EF4B_FFAB_11D1_98B7_00C04FC96ABD_.wvu.Rows" localSheetId="43" hidden="1">[39]BOP!$A$36:$IV$36,[39]BOP!$A$44:$IV$44,[39]BOP!$A$59:$IV$59,[39]BOP!#REF!,[39]BOP!#REF!,[39]BOP!$A$81:$IV$88</definedName>
    <definedName name="Z_CF25EF4B_FFAB_11D1_98B7_00C04FC96ABD_.wvu.Rows" localSheetId="44" hidden="1">[39]BOP!$A$36:$IV$36,[39]BOP!$A$44:$IV$44,[39]BOP!$A$59:$IV$59,[39]BOP!#REF!,[39]BOP!#REF!,[39]BOP!$A$81:$IV$88</definedName>
    <definedName name="Z_CF25EF4B_FFAB_11D1_98B7_00C04FC96ABD_.wvu.Rows" localSheetId="39" hidden="1">[39]BOP!$A$36:$IV$36,[39]BOP!$A$44:$IV$44,[39]BOP!$A$59:$IV$59,[39]BOP!#REF!,[39]BOP!#REF!,[39]BOP!$A$81:$IV$88</definedName>
    <definedName name="Z_CF25EF4B_FFAB_11D1_98B7_00C04FC96ABD_.wvu.Rows" localSheetId="45" hidden="1">[39]BOP!$A$36:$IV$36,[39]BOP!$A$44:$IV$44,[39]BOP!$A$59:$IV$59,[39]BOP!#REF!,[39]BOP!#REF!,[39]BOP!$A$81:$IV$88</definedName>
    <definedName name="Z_CF25EF4B_FFAB_11D1_98B7_00C04FC96ABD_.wvu.Rows" hidden="1">[39]BOP!$A$36:$IV$36,[39]BOP!$A$44:$IV$44,[39]BOP!$A$59:$IV$59,[39]BOP!#REF!,[39]BOP!#REF!,[39]BOP!$A$81:$IV$88</definedName>
    <definedName name="Z_CF25EF4C_FFAB_11D1_98B7_00C04FC96ABD_.wvu.Rows" localSheetId="43" hidden="1">[39]BOP!$A$36:$IV$36,[39]BOP!$A$44:$IV$44,[39]BOP!$A$59:$IV$59,[39]BOP!#REF!,[39]BOP!#REF!,[39]BOP!$A$81:$IV$88</definedName>
    <definedName name="Z_CF25EF4C_FFAB_11D1_98B7_00C04FC96ABD_.wvu.Rows" localSheetId="44" hidden="1">[39]BOP!$A$36:$IV$36,[39]BOP!$A$44:$IV$44,[39]BOP!$A$59:$IV$59,[39]BOP!#REF!,[39]BOP!#REF!,[39]BOP!$A$81:$IV$88</definedName>
    <definedName name="Z_CF25EF4C_FFAB_11D1_98B7_00C04FC96ABD_.wvu.Rows" localSheetId="39" hidden="1">[39]BOP!$A$36:$IV$36,[39]BOP!$A$44:$IV$44,[39]BOP!$A$59:$IV$59,[39]BOP!#REF!,[39]BOP!#REF!,[39]BOP!$A$81:$IV$88</definedName>
    <definedName name="Z_CF25EF4C_FFAB_11D1_98B7_00C04FC96ABD_.wvu.Rows" localSheetId="45" hidden="1">[39]BOP!$A$36:$IV$36,[39]BOP!$A$44:$IV$44,[39]BOP!$A$59:$IV$59,[39]BOP!#REF!,[39]BOP!#REF!,[39]BOP!$A$81:$IV$88</definedName>
    <definedName name="Z_CF25EF4C_FFAB_11D1_98B7_00C04FC96ABD_.wvu.Rows" hidden="1">[39]BOP!$A$36:$IV$36,[39]BOP!$A$44:$IV$44,[39]BOP!$A$59:$IV$59,[39]BOP!#REF!,[39]BOP!#REF!,[39]BOP!$A$81:$IV$88</definedName>
    <definedName name="Z_CF25EF4D_FFAB_11D1_98B7_00C04FC96ABD_.wvu.Rows" localSheetId="43" hidden="1">[39]BOP!$A$36:$IV$36,[39]BOP!$A$44:$IV$44,[39]BOP!$A$59:$IV$59,[39]BOP!#REF!,[39]BOP!#REF!,[39]BOP!$A$81:$IV$88</definedName>
    <definedName name="Z_CF25EF4D_FFAB_11D1_98B7_00C04FC96ABD_.wvu.Rows" localSheetId="44" hidden="1">[39]BOP!$A$36:$IV$36,[39]BOP!$A$44:$IV$44,[39]BOP!$A$59:$IV$59,[39]BOP!#REF!,[39]BOP!#REF!,[39]BOP!$A$81:$IV$88</definedName>
    <definedName name="Z_CF25EF4D_FFAB_11D1_98B7_00C04FC96ABD_.wvu.Rows" localSheetId="39" hidden="1">[39]BOP!$A$36:$IV$36,[39]BOP!$A$44:$IV$44,[39]BOP!$A$59:$IV$59,[39]BOP!#REF!,[39]BOP!#REF!,[39]BOP!$A$81:$IV$88</definedName>
    <definedName name="Z_CF25EF4D_FFAB_11D1_98B7_00C04FC96ABD_.wvu.Rows" localSheetId="45" hidden="1">[39]BOP!$A$36:$IV$36,[39]BOP!$A$44:$IV$44,[39]BOP!$A$59:$IV$59,[39]BOP!#REF!,[39]BOP!#REF!,[39]BOP!$A$81:$IV$88</definedName>
    <definedName name="Z_CF25EF4D_FFAB_11D1_98B7_00C04FC96ABD_.wvu.Rows" hidden="1">[39]BOP!$A$36:$IV$36,[39]BOP!$A$44:$IV$44,[39]BOP!$A$59:$IV$59,[39]BOP!#REF!,[39]BOP!#REF!,[39]BOP!$A$81:$IV$88</definedName>
    <definedName name="Z_CF25EF4E_FFAB_11D1_98B7_00C04FC96ABD_.wvu.Rows" localSheetId="43" hidden="1">[39]BOP!$A$36:$IV$36,[39]BOP!$A$44:$IV$44,[39]BOP!$A$59:$IV$59,[39]BOP!#REF!,[39]BOP!#REF!,[39]BOP!$A$79:$IV$79,[39]BOP!$A$81:$IV$88,[39]BOP!#REF!</definedName>
    <definedName name="Z_CF25EF4E_FFAB_11D1_98B7_00C04FC96ABD_.wvu.Rows" localSheetId="44" hidden="1">[39]BOP!$A$36:$IV$36,[39]BOP!$A$44:$IV$44,[39]BOP!$A$59:$IV$59,[39]BOP!#REF!,[39]BOP!#REF!,[39]BOP!$A$79:$IV$79,[39]BOP!$A$81:$IV$88,[39]BOP!#REF!</definedName>
    <definedName name="Z_CF25EF4E_FFAB_11D1_98B7_00C04FC96ABD_.wvu.Rows" localSheetId="39" hidden="1">[39]BOP!$A$36:$IV$36,[39]BOP!$A$44:$IV$44,[39]BOP!$A$59:$IV$59,[39]BOP!#REF!,[39]BOP!#REF!,[39]BOP!$A$79:$IV$79,[39]BOP!$A$81:$IV$88,[39]BOP!#REF!</definedName>
    <definedName name="Z_CF25EF4E_FFAB_11D1_98B7_00C04FC96ABD_.wvu.Rows" localSheetId="45" hidden="1">[39]BOP!$A$36:$IV$36,[39]BOP!$A$44:$IV$44,[39]BOP!$A$59:$IV$59,[39]BOP!#REF!,[39]BOP!#REF!,[39]BOP!$A$79:$IV$79,[39]BOP!$A$81:$IV$88,[39]BOP!#REF!</definedName>
    <definedName name="Z_CF25EF4E_FFAB_11D1_98B7_00C04FC96ABD_.wvu.Rows" hidden="1">[39]BOP!$A$36:$IV$36,[39]BOP!$A$44:$IV$44,[39]BOP!$A$59:$IV$59,[39]BOP!#REF!,[39]BOP!#REF!,[39]BOP!$A$79:$IV$79,[39]BOP!$A$81:$IV$88,[39]BOP!#REF!</definedName>
    <definedName name="Z_CF25EF4F_FFAB_11D1_98B7_00C04FC96ABD_.wvu.Rows" localSheetId="43" hidden="1">[39]BOP!$A$36:$IV$36,[39]BOP!$A$44:$IV$44,[39]BOP!$A$59:$IV$59,[39]BOP!#REF!,[39]BOP!#REF!,[39]BOP!$A$79:$IV$79,[39]BOP!$A$81:$IV$88</definedName>
    <definedName name="Z_CF25EF4F_FFAB_11D1_98B7_00C04FC96ABD_.wvu.Rows" localSheetId="44" hidden="1">[39]BOP!$A$36:$IV$36,[39]BOP!$A$44:$IV$44,[39]BOP!$A$59:$IV$59,[39]BOP!#REF!,[39]BOP!#REF!,[39]BOP!$A$79:$IV$79,[39]BOP!$A$81:$IV$88</definedName>
    <definedName name="Z_CF25EF4F_FFAB_11D1_98B7_00C04FC96ABD_.wvu.Rows" localSheetId="39" hidden="1">[39]BOP!$A$36:$IV$36,[39]BOP!$A$44:$IV$44,[39]BOP!$A$59:$IV$59,[39]BOP!#REF!,[39]BOP!#REF!,[39]BOP!$A$79:$IV$79,[39]BOP!$A$81:$IV$88</definedName>
    <definedName name="Z_CF25EF4F_FFAB_11D1_98B7_00C04FC96ABD_.wvu.Rows" localSheetId="45" hidden="1">[39]BOP!$A$36:$IV$36,[39]BOP!$A$44:$IV$44,[39]BOP!$A$59:$IV$59,[39]BOP!#REF!,[39]BOP!#REF!,[39]BOP!$A$79:$IV$79,[39]BOP!$A$81:$IV$88</definedName>
    <definedName name="Z_CF25EF4F_FFAB_11D1_98B7_00C04FC96ABD_.wvu.Rows" hidden="1">[39]BOP!$A$36:$IV$36,[39]BOP!$A$44:$IV$44,[39]BOP!$A$59:$IV$59,[39]BOP!#REF!,[39]BOP!#REF!,[39]BOP!$A$79:$IV$79,[39]BOP!$A$81:$IV$88</definedName>
    <definedName name="Z_CF25EF50_FFAB_11D1_98B7_00C04FC96ABD_.wvu.Rows" localSheetId="43" hidden="1">[39]BOP!$A$36:$IV$36,[39]BOP!$A$44:$IV$44,[39]BOP!$A$59:$IV$59,[39]BOP!#REF!,[39]BOP!#REF!,[39]BOP!$A$79:$IV$79,[39]BOP!#REF!</definedName>
    <definedName name="Z_CF25EF50_FFAB_11D1_98B7_00C04FC96ABD_.wvu.Rows" localSheetId="44" hidden="1">[39]BOP!$A$36:$IV$36,[39]BOP!$A$44:$IV$44,[39]BOP!$A$59:$IV$59,[39]BOP!#REF!,[39]BOP!#REF!,[39]BOP!$A$79:$IV$79,[39]BOP!#REF!</definedName>
    <definedName name="Z_CF25EF50_FFAB_11D1_98B7_00C04FC96ABD_.wvu.Rows" localSheetId="39" hidden="1">[39]BOP!$A$36:$IV$36,[39]BOP!$A$44:$IV$44,[39]BOP!$A$59:$IV$59,[39]BOP!#REF!,[39]BOP!#REF!,[39]BOP!$A$79:$IV$79,[39]BOP!#REF!</definedName>
    <definedName name="Z_CF25EF50_FFAB_11D1_98B7_00C04FC96ABD_.wvu.Rows" localSheetId="45" hidden="1">[39]BOP!$A$36:$IV$36,[39]BOP!$A$44:$IV$44,[39]BOP!$A$59:$IV$59,[39]BOP!#REF!,[39]BOP!#REF!,[39]BOP!$A$79:$IV$79,[39]BOP!#REF!</definedName>
    <definedName name="Z_CF25EF50_FFAB_11D1_98B7_00C04FC96ABD_.wvu.Rows" hidden="1">[39]BOP!$A$36:$IV$36,[39]BOP!$A$44:$IV$44,[39]BOP!$A$59:$IV$59,[39]BOP!#REF!,[39]BOP!#REF!,[39]BOP!$A$79:$IV$79,[39]BOP!#REF!</definedName>
    <definedName name="Z_CF25EF51_FFAB_11D1_98B7_00C04FC96ABD_.wvu.Rows" localSheetId="43" hidden="1">[39]BOP!$A$36:$IV$36,[39]BOP!$A$44:$IV$44,[39]BOP!$A$59:$IV$59,[39]BOP!#REF!,[39]BOP!#REF!,[39]BOP!$A$79:$IV$79,[39]BOP!$A$81:$IV$88,[39]BOP!#REF!</definedName>
    <definedName name="Z_CF25EF51_FFAB_11D1_98B7_00C04FC96ABD_.wvu.Rows" localSheetId="44" hidden="1">[39]BOP!$A$36:$IV$36,[39]BOP!$A$44:$IV$44,[39]BOP!$A$59:$IV$59,[39]BOP!#REF!,[39]BOP!#REF!,[39]BOP!$A$79:$IV$79,[39]BOP!$A$81:$IV$88,[39]BOP!#REF!</definedName>
    <definedName name="Z_CF25EF51_FFAB_11D1_98B7_00C04FC96ABD_.wvu.Rows" localSheetId="39" hidden="1">[39]BOP!$A$36:$IV$36,[39]BOP!$A$44:$IV$44,[39]BOP!$A$59:$IV$59,[39]BOP!#REF!,[39]BOP!#REF!,[39]BOP!$A$79:$IV$79,[39]BOP!$A$81:$IV$88,[39]BOP!#REF!</definedName>
    <definedName name="Z_CF25EF51_FFAB_11D1_98B7_00C04FC96ABD_.wvu.Rows" localSheetId="45" hidden="1">[39]BOP!$A$36:$IV$36,[39]BOP!$A$44:$IV$44,[39]BOP!$A$59:$IV$59,[39]BOP!#REF!,[39]BOP!#REF!,[39]BOP!$A$79:$IV$79,[39]BOP!$A$81:$IV$88,[39]BOP!#REF!</definedName>
    <definedName name="Z_CF25EF51_FFAB_11D1_98B7_00C04FC96ABD_.wvu.Rows" hidden="1">[39]BOP!$A$36:$IV$36,[39]BOP!$A$44:$IV$44,[39]BOP!$A$59:$IV$59,[39]BOP!#REF!,[39]BOP!#REF!,[39]BOP!$A$79:$IV$79,[39]BOP!$A$81:$IV$88,[39]BOP!#REF!</definedName>
    <definedName name="Z_CF25EF52_FFAB_11D1_98B7_00C04FC96ABD_.wvu.Rows" localSheetId="43" hidden="1">[39]BOP!$A$36:$IV$36,[39]BOP!$A$44:$IV$44,[39]BOP!$A$59:$IV$59,[39]BOP!#REF!,[39]BOP!#REF!,[39]BOP!$A$79:$IV$79,[39]BOP!$A$81:$IV$88,[39]BOP!#REF!</definedName>
    <definedName name="Z_CF25EF52_FFAB_11D1_98B7_00C04FC96ABD_.wvu.Rows" localSheetId="44" hidden="1">[39]BOP!$A$36:$IV$36,[39]BOP!$A$44:$IV$44,[39]BOP!$A$59:$IV$59,[39]BOP!#REF!,[39]BOP!#REF!,[39]BOP!$A$79:$IV$79,[39]BOP!$A$81:$IV$88,[39]BOP!#REF!</definedName>
    <definedName name="Z_CF25EF52_FFAB_11D1_98B7_00C04FC96ABD_.wvu.Rows" localSheetId="39" hidden="1">[39]BOP!$A$36:$IV$36,[39]BOP!$A$44:$IV$44,[39]BOP!$A$59:$IV$59,[39]BOP!#REF!,[39]BOP!#REF!,[39]BOP!$A$79:$IV$79,[39]BOP!$A$81:$IV$88,[39]BOP!#REF!</definedName>
    <definedName name="Z_CF25EF52_FFAB_11D1_98B7_00C04FC96ABD_.wvu.Rows" localSheetId="45" hidden="1">[39]BOP!$A$36:$IV$36,[39]BOP!$A$44:$IV$44,[39]BOP!$A$59:$IV$59,[39]BOP!#REF!,[39]BOP!#REF!,[39]BOP!$A$79:$IV$79,[39]BOP!$A$81:$IV$88,[39]BOP!#REF!</definedName>
    <definedName name="Z_CF25EF52_FFAB_11D1_98B7_00C04FC96ABD_.wvu.Rows" hidden="1">[39]BOP!$A$36:$IV$36,[39]BOP!$A$44:$IV$44,[39]BOP!$A$59:$IV$59,[39]BOP!#REF!,[39]BOP!#REF!,[39]BOP!$A$79:$IV$79,[39]BOP!$A$81:$IV$88,[39]BOP!#REF!</definedName>
    <definedName name="Z_CF25EF53_FFAB_11D1_98B7_00C04FC96ABD_.wvu.Rows" localSheetId="43" hidden="1">[39]BOP!$A$36:$IV$36,[39]BOP!$A$44:$IV$44,[39]BOP!$A$59:$IV$59,[39]BOP!#REF!,[39]BOP!#REF!,[39]BOP!$A$79:$IV$79,[39]BOP!$A$81:$IV$88,[39]BOP!#REF!</definedName>
    <definedName name="Z_CF25EF53_FFAB_11D1_98B7_00C04FC96ABD_.wvu.Rows" localSheetId="44" hidden="1">[39]BOP!$A$36:$IV$36,[39]BOP!$A$44:$IV$44,[39]BOP!$A$59:$IV$59,[39]BOP!#REF!,[39]BOP!#REF!,[39]BOP!$A$79:$IV$79,[39]BOP!$A$81:$IV$88,[39]BOP!#REF!</definedName>
    <definedName name="Z_CF25EF53_FFAB_11D1_98B7_00C04FC96ABD_.wvu.Rows" localSheetId="39" hidden="1">[39]BOP!$A$36:$IV$36,[39]BOP!$A$44:$IV$44,[39]BOP!$A$59:$IV$59,[39]BOP!#REF!,[39]BOP!#REF!,[39]BOP!$A$79:$IV$79,[39]BOP!$A$81:$IV$88,[39]BOP!#REF!</definedName>
    <definedName name="Z_CF25EF53_FFAB_11D1_98B7_00C04FC96ABD_.wvu.Rows" localSheetId="45" hidden="1">[39]BOP!$A$36:$IV$36,[39]BOP!$A$44:$IV$44,[39]BOP!$A$59:$IV$59,[39]BOP!#REF!,[39]BOP!#REF!,[39]BOP!$A$79:$IV$79,[39]BOP!$A$81:$IV$88,[39]BOP!#REF!</definedName>
    <definedName name="Z_CF25EF53_FFAB_11D1_98B7_00C04FC96ABD_.wvu.Rows" hidden="1">[39]BOP!$A$36:$IV$36,[39]BOP!$A$44:$IV$44,[39]BOP!$A$59:$IV$59,[39]BOP!#REF!,[39]BOP!#REF!,[39]BOP!$A$79:$IV$79,[39]BOP!$A$81:$IV$88,[39]BOP!#REF!</definedName>
    <definedName name="Z_CF25EF55_FFAB_11D1_98B7_00C04FC96ABD_.wvu.Rows" localSheetId="43" hidden="1">[39]BOP!$A$36:$IV$36,[39]BOP!$A$44:$IV$44,[39]BOP!$A$59:$IV$59,[39]BOP!#REF!,[39]BOP!#REF!,[39]BOP!$A$79:$IV$79,[39]BOP!$A$81:$IV$88,[39]BOP!#REF!,[39]BOP!#REF!</definedName>
    <definedName name="Z_CF25EF55_FFAB_11D1_98B7_00C04FC96ABD_.wvu.Rows" localSheetId="44" hidden="1">[39]BOP!$A$36:$IV$36,[39]BOP!$A$44:$IV$44,[39]BOP!$A$59:$IV$59,[39]BOP!#REF!,[39]BOP!#REF!,[39]BOP!$A$79:$IV$79,[39]BOP!$A$81:$IV$88,[39]BOP!#REF!,[39]BOP!#REF!</definedName>
    <definedName name="Z_CF25EF55_FFAB_11D1_98B7_00C04FC96ABD_.wvu.Rows" localSheetId="39" hidden="1">[39]BOP!$A$36:$IV$36,[39]BOP!$A$44:$IV$44,[39]BOP!$A$59:$IV$59,[39]BOP!#REF!,[39]BOP!#REF!,[39]BOP!$A$79:$IV$79,[39]BOP!$A$81:$IV$88,[39]BOP!#REF!,[39]BOP!#REF!</definedName>
    <definedName name="Z_CF25EF55_FFAB_11D1_98B7_00C04FC96ABD_.wvu.Rows" localSheetId="45" hidden="1">[39]BOP!$A$36:$IV$36,[39]BOP!$A$44:$IV$44,[39]BOP!$A$59:$IV$59,[39]BOP!#REF!,[39]BOP!#REF!,[39]BOP!$A$79:$IV$79,[39]BOP!$A$81:$IV$88,[39]BOP!#REF!,[39]BOP!#REF!</definedName>
    <definedName name="Z_CF25EF55_FFAB_11D1_98B7_00C04FC96ABD_.wvu.Rows" hidden="1">[39]BOP!$A$36:$IV$36,[39]BOP!$A$44:$IV$44,[39]BOP!$A$59:$IV$59,[39]BOP!#REF!,[39]BOP!#REF!,[39]BOP!$A$79:$IV$79,[39]BOP!$A$81:$IV$88,[39]BOP!#REF!,[39]BOP!#REF!</definedName>
    <definedName name="Z_CF25EF56_FFAB_11D1_98B7_00C04FC96ABD_.wvu.Rows" localSheetId="43" hidden="1">[39]BOP!$A$36:$IV$36,[39]BOP!$A$44:$IV$44,[39]BOP!$A$59:$IV$59,[39]BOP!#REF!,[39]BOP!#REF!,[39]BOP!$A$79:$IV$79,[39]BOP!$A$81:$IV$88,[39]BOP!#REF!,[39]BOP!#REF!</definedName>
    <definedName name="Z_CF25EF56_FFAB_11D1_98B7_00C04FC96ABD_.wvu.Rows" localSheetId="44" hidden="1">[39]BOP!$A$36:$IV$36,[39]BOP!$A$44:$IV$44,[39]BOP!$A$59:$IV$59,[39]BOP!#REF!,[39]BOP!#REF!,[39]BOP!$A$79:$IV$79,[39]BOP!$A$81:$IV$88,[39]BOP!#REF!,[39]BOP!#REF!</definedName>
    <definedName name="Z_CF25EF56_FFAB_11D1_98B7_00C04FC96ABD_.wvu.Rows" localSheetId="39" hidden="1">[39]BOP!$A$36:$IV$36,[39]BOP!$A$44:$IV$44,[39]BOP!$A$59:$IV$59,[39]BOP!#REF!,[39]BOP!#REF!,[39]BOP!$A$79:$IV$79,[39]BOP!$A$81:$IV$88,[39]BOP!#REF!,[39]BOP!#REF!</definedName>
    <definedName name="Z_CF25EF56_FFAB_11D1_98B7_00C04FC96ABD_.wvu.Rows" localSheetId="45" hidden="1">[39]BOP!$A$36:$IV$36,[39]BOP!$A$44:$IV$44,[39]BOP!$A$59:$IV$59,[39]BOP!#REF!,[39]BOP!#REF!,[39]BOP!$A$79:$IV$79,[39]BOP!$A$81:$IV$88,[39]BOP!#REF!,[39]BOP!#REF!</definedName>
    <definedName name="Z_CF25EF56_FFAB_11D1_98B7_00C04FC96ABD_.wvu.Rows" hidden="1">[39]BOP!$A$36:$IV$36,[39]BOP!$A$44:$IV$44,[39]BOP!$A$59:$IV$59,[39]BOP!#REF!,[39]BOP!#REF!,[39]BOP!$A$79:$IV$79,[39]BOP!$A$81:$IV$88,[39]BOP!#REF!,[39]BOP!#REF!</definedName>
    <definedName name="Z_CF25EF57_FFAB_11D1_98B7_00C04FC96ABD_.wvu.Rows" localSheetId="43" hidden="1">[39]BOP!$A$36:$IV$36,[39]BOP!$A$44:$IV$44,[39]BOP!$A$59:$IV$59,[39]BOP!#REF!,[39]BOP!#REF!,[39]BOP!$A$79:$IV$79</definedName>
    <definedName name="Z_CF25EF57_FFAB_11D1_98B7_00C04FC96ABD_.wvu.Rows" localSheetId="44" hidden="1">[39]BOP!$A$36:$IV$36,[39]BOP!$A$44:$IV$44,[39]BOP!$A$59:$IV$59,[39]BOP!#REF!,[39]BOP!#REF!,[39]BOP!$A$79:$IV$79</definedName>
    <definedName name="Z_CF25EF57_FFAB_11D1_98B7_00C04FC96ABD_.wvu.Rows" localSheetId="39" hidden="1">[39]BOP!$A$36:$IV$36,[39]BOP!$A$44:$IV$44,[39]BOP!$A$59:$IV$59,[39]BOP!#REF!,[39]BOP!#REF!,[39]BOP!$A$79:$IV$79</definedName>
    <definedName name="Z_CF25EF57_FFAB_11D1_98B7_00C04FC96ABD_.wvu.Rows" localSheetId="45" hidden="1">[39]BOP!$A$36:$IV$36,[39]BOP!$A$44:$IV$44,[39]BOP!$A$59:$IV$59,[39]BOP!#REF!,[39]BOP!#REF!,[39]BOP!$A$79:$IV$79</definedName>
    <definedName name="Z_CF25EF57_FFAB_11D1_98B7_00C04FC96ABD_.wvu.Rows" hidden="1">[39]BOP!$A$36:$IV$36,[39]BOP!$A$44:$IV$44,[39]BOP!$A$59:$IV$59,[39]BOP!#REF!,[39]BOP!#REF!,[39]BOP!$A$79:$IV$79</definedName>
    <definedName name="Z_EA8011E5_017A_11D2_98BD_00C04FC96ABD_.wvu.Rows" localSheetId="43" hidden="1">[39]BOP!$A$36:$IV$36,[39]BOP!$A$44:$IV$44,[39]BOP!$A$59:$IV$59,[39]BOP!#REF!,[39]BOP!#REF!,[39]BOP!$A$79:$IV$79,[39]BOP!$A$81:$IV$88</definedName>
    <definedName name="Z_EA8011E5_017A_11D2_98BD_00C04FC96ABD_.wvu.Rows" localSheetId="44" hidden="1">[39]BOP!$A$36:$IV$36,[39]BOP!$A$44:$IV$44,[39]BOP!$A$59:$IV$59,[39]BOP!#REF!,[39]BOP!#REF!,[39]BOP!$A$79:$IV$79,[39]BOP!$A$81:$IV$88</definedName>
    <definedName name="Z_EA8011E5_017A_11D2_98BD_00C04FC96ABD_.wvu.Rows" localSheetId="39" hidden="1">[39]BOP!$A$36:$IV$36,[39]BOP!$A$44:$IV$44,[39]BOP!$A$59:$IV$59,[39]BOP!#REF!,[39]BOP!#REF!,[39]BOP!$A$79:$IV$79,[39]BOP!$A$81:$IV$88</definedName>
    <definedName name="Z_EA8011E5_017A_11D2_98BD_00C04FC96ABD_.wvu.Rows" localSheetId="45" hidden="1">[39]BOP!$A$36:$IV$36,[39]BOP!$A$44:$IV$44,[39]BOP!$A$59:$IV$59,[39]BOP!#REF!,[39]BOP!#REF!,[39]BOP!$A$79:$IV$79,[39]BOP!$A$81:$IV$88</definedName>
    <definedName name="Z_EA8011E5_017A_11D2_98BD_00C04FC96ABD_.wvu.Rows" hidden="1">[39]BOP!$A$36:$IV$36,[39]BOP!$A$44:$IV$44,[39]BOP!$A$59:$IV$59,[39]BOP!#REF!,[39]BOP!#REF!,[39]BOP!$A$79:$IV$79,[39]BOP!$A$81:$IV$88</definedName>
    <definedName name="Z_EA8011E6_017A_11D2_98BD_00C04FC96ABD_.wvu.Rows" localSheetId="43" hidden="1">[39]BOP!$A$36:$IV$36,[39]BOP!$A$44:$IV$44,[39]BOP!$A$59:$IV$59,[39]BOP!#REF!,[39]BOP!#REF!,[39]BOP!$A$79:$IV$79,[39]BOP!#REF!</definedName>
    <definedName name="Z_EA8011E6_017A_11D2_98BD_00C04FC96ABD_.wvu.Rows" localSheetId="44" hidden="1">[39]BOP!$A$36:$IV$36,[39]BOP!$A$44:$IV$44,[39]BOP!$A$59:$IV$59,[39]BOP!#REF!,[39]BOP!#REF!,[39]BOP!$A$79:$IV$79,[39]BOP!#REF!</definedName>
    <definedName name="Z_EA8011E6_017A_11D2_98BD_00C04FC96ABD_.wvu.Rows" localSheetId="39" hidden="1">[39]BOP!$A$36:$IV$36,[39]BOP!$A$44:$IV$44,[39]BOP!$A$59:$IV$59,[39]BOP!#REF!,[39]BOP!#REF!,[39]BOP!$A$79:$IV$79,[39]BOP!#REF!</definedName>
    <definedName name="Z_EA8011E6_017A_11D2_98BD_00C04FC96ABD_.wvu.Rows" localSheetId="45" hidden="1">[39]BOP!$A$36:$IV$36,[39]BOP!$A$44:$IV$44,[39]BOP!$A$59:$IV$59,[39]BOP!#REF!,[39]BOP!#REF!,[39]BOP!$A$79:$IV$79,[39]BOP!#REF!</definedName>
    <definedName name="Z_EA8011E6_017A_11D2_98BD_00C04FC96ABD_.wvu.Rows" hidden="1">[39]BOP!$A$36:$IV$36,[39]BOP!$A$44:$IV$44,[39]BOP!$A$59:$IV$59,[39]BOP!#REF!,[39]BOP!#REF!,[39]BOP!$A$79:$IV$79,[39]BOP!#REF!</definedName>
    <definedName name="Z_EA8011E9_017A_11D2_98BD_00C04FC96ABD_.wvu.Rows" localSheetId="43" hidden="1">[39]BOP!$A$36:$IV$36,[39]BOP!$A$44:$IV$44,[39]BOP!$A$59:$IV$59,[39]BOP!#REF!,[39]BOP!#REF!,[39]BOP!$A$79:$IV$79,[39]BOP!$A$81:$IV$88,[39]BOP!#REF!</definedName>
    <definedName name="Z_EA8011E9_017A_11D2_98BD_00C04FC96ABD_.wvu.Rows" localSheetId="44" hidden="1">[39]BOP!$A$36:$IV$36,[39]BOP!$A$44:$IV$44,[39]BOP!$A$59:$IV$59,[39]BOP!#REF!,[39]BOP!#REF!,[39]BOP!$A$79:$IV$79,[39]BOP!$A$81:$IV$88,[39]BOP!#REF!</definedName>
    <definedName name="Z_EA8011E9_017A_11D2_98BD_00C04FC96ABD_.wvu.Rows" localSheetId="39" hidden="1">[39]BOP!$A$36:$IV$36,[39]BOP!$A$44:$IV$44,[39]BOP!$A$59:$IV$59,[39]BOP!#REF!,[39]BOP!#REF!,[39]BOP!$A$79:$IV$79,[39]BOP!$A$81:$IV$88,[39]BOP!#REF!</definedName>
    <definedName name="Z_EA8011E9_017A_11D2_98BD_00C04FC96ABD_.wvu.Rows" localSheetId="45" hidden="1">[39]BOP!$A$36:$IV$36,[39]BOP!$A$44:$IV$44,[39]BOP!$A$59:$IV$59,[39]BOP!#REF!,[39]BOP!#REF!,[39]BOP!$A$79:$IV$79,[39]BOP!$A$81:$IV$88,[39]BOP!#REF!</definedName>
    <definedName name="Z_EA8011E9_017A_11D2_98BD_00C04FC96ABD_.wvu.Rows" hidden="1">[39]BOP!$A$36:$IV$36,[39]BOP!$A$44:$IV$44,[39]BOP!$A$59:$IV$59,[39]BOP!#REF!,[39]BOP!#REF!,[39]BOP!$A$79:$IV$79,[39]BOP!$A$81:$IV$88,[39]BOP!#REF!</definedName>
    <definedName name="Z_EA8011EC_017A_11D2_98BD_00C04FC96ABD_.wvu.Rows" localSheetId="43" hidden="1">[39]BOP!$A$36:$IV$36,[39]BOP!$A$44:$IV$44,[39]BOP!$A$59:$IV$59,[39]BOP!#REF!,[39]BOP!#REF!,[39]BOP!$A$79:$IV$79,[39]BOP!$A$81:$IV$88,[39]BOP!#REF!,[39]BOP!#REF!</definedName>
    <definedName name="Z_EA8011EC_017A_11D2_98BD_00C04FC96ABD_.wvu.Rows" localSheetId="44" hidden="1">[39]BOP!$A$36:$IV$36,[39]BOP!$A$44:$IV$44,[39]BOP!$A$59:$IV$59,[39]BOP!#REF!,[39]BOP!#REF!,[39]BOP!$A$79:$IV$79,[39]BOP!$A$81:$IV$88,[39]BOP!#REF!,[39]BOP!#REF!</definedName>
    <definedName name="Z_EA8011EC_017A_11D2_98BD_00C04FC96ABD_.wvu.Rows" localSheetId="39" hidden="1">[39]BOP!$A$36:$IV$36,[39]BOP!$A$44:$IV$44,[39]BOP!$A$59:$IV$59,[39]BOP!#REF!,[39]BOP!#REF!,[39]BOP!$A$79:$IV$79,[39]BOP!$A$81:$IV$88,[39]BOP!#REF!,[39]BOP!#REF!</definedName>
    <definedName name="Z_EA8011EC_017A_11D2_98BD_00C04FC96ABD_.wvu.Rows" localSheetId="45" hidden="1">[39]BOP!$A$36:$IV$36,[39]BOP!$A$44:$IV$44,[39]BOP!$A$59:$IV$59,[39]BOP!#REF!,[39]BOP!#REF!,[39]BOP!$A$79:$IV$79,[39]BOP!$A$81:$IV$88,[39]BOP!#REF!,[39]BOP!#REF!</definedName>
    <definedName name="Z_EA8011EC_017A_11D2_98BD_00C04FC96ABD_.wvu.Rows" hidden="1">[39]BOP!$A$36:$IV$36,[39]BOP!$A$44:$IV$44,[39]BOP!$A$59:$IV$59,[39]BOP!#REF!,[39]BOP!#REF!,[39]BOP!$A$79:$IV$79,[39]BOP!$A$81:$IV$88,[39]BOP!#REF!,[39]BOP!#REF!</definedName>
    <definedName name="Z_EA86CE3A_00A2_11D2_98BC_00C04FC96ABD_.wvu.Rows" localSheetId="43" hidden="1">[39]BOP!$A$36:$IV$36,[39]BOP!$A$44:$IV$44,[39]BOP!$A$59:$IV$59,[39]BOP!#REF!,[39]BOP!#REF!,[39]BOP!$A$81:$IV$88</definedName>
    <definedName name="Z_EA86CE3A_00A2_11D2_98BC_00C04FC96ABD_.wvu.Rows" localSheetId="44" hidden="1">[39]BOP!$A$36:$IV$36,[39]BOP!$A$44:$IV$44,[39]BOP!$A$59:$IV$59,[39]BOP!#REF!,[39]BOP!#REF!,[39]BOP!$A$81:$IV$88</definedName>
    <definedName name="Z_EA86CE3A_00A2_11D2_98BC_00C04FC96ABD_.wvu.Rows" localSheetId="39" hidden="1">[39]BOP!$A$36:$IV$36,[39]BOP!$A$44:$IV$44,[39]BOP!$A$59:$IV$59,[39]BOP!#REF!,[39]BOP!#REF!,[39]BOP!$A$81:$IV$88</definedName>
    <definedName name="Z_EA86CE3A_00A2_11D2_98BC_00C04FC96ABD_.wvu.Rows" localSheetId="45" hidden="1">[39]BOP!$A$36:$IV$36,[39]BOP!$A$44:$IV$44,[39]BOP!$A$59:$IV$59,[39]BOP!#REF!,[39]BOP!#REF!,[39]BOP!$A$81:$IV$88</definedName>
    <definedName name="Z_EA86CE3A_00A2_11D2_98BC_00C04FC96ABD_.wvu.Rows" hidden="1">[39]BOP!$A$36:$IV$36,[39]BOP!$A$44:$IV$44,[39]BOP!$A$59:$IV$59,[39]BOP!#REF!,[39]BOP!#REF!,[39]BOP!$A$81:$IV$88</definedName>
    <definedName name="Z_EA86CE3B_00A2_11D2_98BC_00C04FC96ABD_.wvu.Rows" localSheetId="43" hidden="1">[39]BOP!$A$36:$IV$36,[39]BOP!$A$44:$IV$44,[39]BOP!$A$59:$IV$59,[39]BOP!#REF!,[39]BOP!#REF!,[39]BOP!$A$81:$IV$88</definedName>
    <definedName name="Z_EA86CE3B_00A2_11D2_98BC_00C04FC96ABD_.wvu.Rows" localSheetId="44" hidden="1">[39]BOP!$A$36:$IV$36,[39]BOP!$A$44:$IV$44,[39]BOP!$A$59:$IV$59,[39]BOP!#REF!,[39]BOP!#REF!,[39]BOP!$A$81:$IV$88</definedName>
    <definedName name="Z_EA86CE3B_00A2_11D2_98BC_00C04FC96ABD_.wvu.Rows" localSheetId="39" hidden="1">[39]BOP!$A$36:$IV$36,[39]BOP!$A$44:$IV$44,[39]BOP!$A$59:$IV$59,[39]BOP!#REF!,[39]BOP!#REF!,[39]BOP!$A$81:$IV$88</definedName>
    <definedName name="Z_EA86CE3B_00A2_11D2_98BC_00C04FC96ABD_.wvu.Rows" localSheetId="45" hidden="1">[39]BOP!$A$36:$IV$36,[39]BOP!$A$44:$IV$44,[39]BOP!$A$59:$IV$59,[39]BOP!#REF!,[39]BOP!#REF!,[39]BOP!$A$81:$IV$88</definedName>
    <definedName name="Z_EA86CE3B_00A2_11D2_98BC_00C04FC96ABD_.wvu.Rows" hidden="1">[39]BOP!$A$36:$IV$36,[39]BOP!$A$44:$IV$44,[39]BOP!$A$59:$IV$59,[39]BOP!#REF!,[39]BOP!#REF!,[39]BOP!$A$81:$IV$88</definedName>
    <definedName name="Z_EA86CE3C_00A2_11D2_98BC_00C04FC96ABD_.wvu.Rows" localSheetId="43" hidden="1">[39]BOP!$A$36:$IV$36,[39]BOP!$A$44:$IV$44,[39]BOP!$A$59:$IV$59,[39]BOP!#REF!,[39]BOP!#REF!,[39]BOP!$A$81:$IV$88</definedName>
    <definedName name="Z_EA86CE3C_00A2_11D2_98BC_00C04FC96ABD_.wvu.Rows" localSheetId="44" hidden="1">[39]BOP!$A$36:$IV$36,[39]BOP!$A$44:$IV$44,[39]BOP!$A$59:$IV$59,[39]BOP!#REF!,[39]BOP!#REF!,[39]BOP!$A$81:$IV$88</definedName>
    <definedName name="Z_EA86CE3C_00A2_11D2_98BC_00C04FC96ABD_.wvu.Rows" localSheetId="39" hidden="1">[39]BOP!$A$36:$IV$36,[39]BOP!$A$44:$IV$44,[39]BOP!$A$59:$IV$59,[39]BOP!#REF!,[39]BOP!#REF!,[39]BOP!$A$81:$IV$88</definedName>
    <definedName name="Z_EA86CE3C_00A2_11D2_98BC_00C04FC96ABD_.wvu.Rows" localSheetId="45" hidden="1">[39]BOP!$A$36:$IV$36,[39]BOP!$A$44:$IV$44,[39]BOP!$A$59:$IV$59,[39]BOP!#REF!,[39]BOP!#REF!,[39]BOP!$A$81:$IV$88</definedName>
    <definedName name="Z_EA86CE3C_00A2_11D2_98BC_00C04FC96ABD_.wvu.Rows" hidden="1">[39]BOP!$A$36:$IV$36,[39]BOP!$A$44:$IV$44,[39]BOP!$A$59:$IV$59,[39]BOP!#REF!,[39]BOP!#REF!,[39]BOP!$A$81:$IV$88</definedName>
    <definedName name="Z_EA86CE3D_00A2_11D2_98BC_00C04FC96ABD_.wvu.Rows" localSheetId="43" hidden="1">[39]BOP!$A$36:$IV$36,[39]BOP!$A$44:$IV$44,[39]BOP!$A$59:$IV$59,[39]BOP!#REF!,[39]BOP!#REF!,[39]BOP!$A$81:$IV$88</definedName>
    <definedName name="Z_EA86CE3D_00A2_11D2_98BC_00C04FC96ABD_.wvu.Rows" localSheetId="44" hidden="1">[39]BOP!$A$36:$IV$36,[39]BOP!$A$44:$IV$44,[39]BOP!$A$59:$IV$59,[39]BOP!#REF!,[39]BOP!#REF!,[39]BOP!$A$81:$IV$88</definedName>
    <definedName name="Z_EA86CE3D_00A2_11D2_98BC_00C04FC96ABD_.wvu.Rows" localSheetId="39" hidden="1">[39]BOP!$A$36:$IV$36,[39]BOP!$A$44:$IV$44,[39]BOP!$A$59:$IV$59,[39]BOP!#REF!,[39]BOP!#REF!,[39]BOP!$A$81:$IV$88</definedName>
    <definedName name="Z_EA86CE3D_00A2_11D2_98BC_00C04FC96ABD_.wvu.Rows" localSheetId="45" hidden="1">[39]BOP!$A$36:$IV$36,[39]BOP!$A$44:$IV$44,[39]BOP!$A$59:$IV$59,[39]BOP!#REF!,[39]BOP!#REF!,[39]BOP!$A$81:$IV$88</definedName>
    <definedName name="Z_EA86CE3D_00A2_11D2_98BC_00C04FC96ABD_.wvu.Rows" hidden="1">[39]BOP!$A$36:$IV$36,[39]BOP!$A$44:$IV$44,[39]BOP!$A$59:$IV$59,[39]BOP!#REF!,[39]BOP!#REF!,[39]BOP!$A$81:$IV$88</definedName>
    <definedName name="Z_EA86CE3E_00A2_11D2_98BC_00C04FC96ABD_.wvu.Rows" localSheetId="43" hidden="1">[39]BOP!$A$36:$IV$36,[39]BOP!$A$44:$IV$44,[39]BOP!$A$59:$IV$59,[39]BOP!#REF!,[39]BOP!#REF!,[39]BOP!$A$79:$IV$79,[39]BOP!$A$81:$IV$88,[39]BOP!#REF!</definedName>
    <definedName name="Z_EA86CE3E_00A2_11D2_98BC_00C04FC96ABD_.wvu.Rows" localSheetId="44" hidden="1">[39]BOP!$A$36:$IV$36,[39]BOP!$A$44:$IV$44,[39]BOP!$A$59:$IV$59,[39]BOP!#REF!,[39]BOP!#REF!,[39]BOP!$A$79:$IV$79,[39]BOP!$A$81:$IV$88,[39]BOP!#REF!</definedName>
    <definedName name="Z_EA86CE3E_00A2_11D2_98BC_00C04FC96ABD_.wvu.Rows" localSheetId="39" hidden="1">[39]BOP!$A$36:$IV$36,[39]BOP!$A$44:$IV$44,[39]BOP!$A$59:$IV$59,[39]BOP!#REF!,[39]BOP!#REF!,[39]BOP!$A$79:$IV$79,[39]BOP!$A$81:$IV$88,[39]BOP!#REF!</definedName>
    <definedName name="Z_EA86CE3E_00A2_11D2_98BC_00C04FC96ABD_.wvu.Rows" localSheetId="45" hidden="1">[39]BOP!$A$36:$IV$36,[39]BOP!$A$44:$IV$44,[39]BOP!$A$59:$IV$59,[39]BOP!#REF!,[39]BOP!#REF!,[39]BOP!$A$79:$IV$79,[39]BOP!$A$81:$IV$88,[39]BOP!#REF!</definedName>
    <definedName name="Z_EA86CE3E_00A2_11D2_98BC_00C04FC96ABD_.wvu.Rows" hidden="1">[39]BOP!$A$36:$IV$36,[39]BOP!$A$44:$IV$44,[39]BOP!$A$59:$IV$59,[39]BOP!#REF!,[39]BOP!#REF!,[39]BOP!$A$79:$IV$79,[39]BOP!$A$81:$IV$88,[39]BOP!#REF!</definedName>
    <definedName name="Z_EA86CE3F_00A2_11D2_98BC_00C04FC96ABD_.wvu.Rows" localSheetId="43" hidden="1">[39]BOP!$A$36:$IV$36,[39]BOP!$A$44:$IV$44,[39]BOP!$A$59:$IV$59,[39]BOP!#REF!,[39]BOP!#REF!,[39]BOP!$A$79:$IV$79,[39]BOP!$A$81:$IV$88</definedName>
    <definedName name="Z_EA86CE3F_00A2_11D2_98BC_00C04FC96ABD_.wvu.Rows" localSheetId="44" hidden="1">[39]BOP!$A$36:$IV$36,[39]BOP!$A$44:$IV$44,[39]BOP!$A$59:$IV$59,[39]BOP!#REF!,[39]BOP!#REF!,[39]BOP!$A$79:$IV$79,[39]BOP!$A$81:$IV$88</definedName>
    <definedName name="Z_EA86CE3F_00A2_11D2_98BC_00C04FC96ABD_.wvu.Rows" localSheetId="39" hidden="1">[39]BOP!$A$36:$IV$36,[39]BOP!$A$44:$IV$44,[39]BOP!$A$59:$IV$59,[39]BOP!#REF!,[39]BOP!#REF!,[39]BOP!$A$79:$IV$79,[39]BOP!$A$81:$IV$88</definedName>
    <definedName name="Z_EA86CE3F_00A2_11D2_98BC_00C04FC96ABD_.wvu.Rows" localSheetId="45" hidden="1">[39]BOP!$A$36:$IV$36,[39]BOP!$A$44:$IV$44,[39]BOP!$A$59:$IV$59,[39]BOP!#REF!,[39]BOP!#REF!,[39]BOP!$A$79:$IV$79,[39]BOP!$A$81:$IV$88</definedName>
    <definedName name="Z_EA86CE3F_00A2_11D2_98BC_00C04FC96ABD_.wvu.Rows" hidden="1">[39]BOP!$A$36:$IV$36,[39]BOP!$A$44:$IV$44,[39]BOP!$A$59:$IV$59,[39]BOP!#REF!,[39]BOP!#REF!,[39]BOP!$A$79:$IV$79,[39]BOP!$A$81:$IV$88</definedName>
    <definedName name="Z_EA86CE40_00A2_11D2_98BC_00C04FC96ABD_.wvu.Rows" localSheetId="43" hidden="1">[39]BOP!$A$36:$IV$36,[39]BOP!$A$44:$IV$44,[39]BOP!$A$59:$IV$59,[39]BOP!#REF!,[39]BOP!#REF!,[39]BOP!$A$79:$IV$79,[39]BOP!#REF!</definedName>
    <definedName name="Z_EA86CE40_00A2_11D2_98BC_00C04FC96ABD_.wvu.Rows" localSheetId="44" hidden="1">[39]BOP!$A$36:$IV$36,[39]BOP!$A$44:$IV$44,[39]BOP!$A$59:$IV$59,[39]BOP!#REF!,[39]BOP!#REF!,[39]BOP!$A$79:$IV$79,[39]BOP!#REF!</definedName>
    <definedName name="Z_EA86CE40_00A2_11D2_98BC_00C04FC96ABD_.wvu.Rows" localSheetId="39" hidden="1">[39]BOP!$A$36:$IV$36,[39]BOP!$A$44:$IV$44,[39]BOP!$A$59:$IV$59,[39]BOP!#REF!,[39]BOP!#REF!,[39]BOP!$A$79:$IV$79,[39]BOP!#REF!</definedName>
    <definedName name="Z_EA86CE40_00A2_11D2_98BC_00C04FC96ABD_.wvu.Rows" localSheetId="45" hidden="1">[39]BOP!$A$36:$IV$36,[39]BOP!$A$44:$IV$44,[39]BOP!$A$59:$IV$59,[39]BOP!#REF!,[39]BOP!#REF!,[39]BOP!$A$79:$IV$79,[39]BOP!#REF!</definedName>
    <definedName name="Z_EA86CE40_00A2_11D2_98BC_00C04FC96ABD_.wvu.Rows" hidden="1">[39]BOP!$A$36:$IV$36,[39]BOP!$A$44:$IV$44,[39]BOP!$A$59:$IV$59,[39]BOP!#REF!,[39]BOP!#REF!,[39]BOP!$A$79:$IV$79,[39]BOP!#REF!</definedName>
    <definedName name="Z_EA86CE41_00A2_11D2_98BC_00C04FC96ABD_.wvu.Rows" localSheetId="43" hidden="1">[39]BOP!$A$36:$IV$36,[39]BOP!$A$44:$IV$44,[39]BOP!$A$59:$IV$59,[39]BOP!#REF!,[39]BOP!#REF!,[39]BOP!$A$79:$IV$79,[39]BOP!$A$81:$IV$88,[39]BOP!#REF!</definedName>
    <definedName name="Z_EA86CE41_00A2_11D2_98BC_00C04FC96ABD_.wvu.Rows" localSheetId="44" hidden="1">[39]BOP!$A$36:$IV$36,[39]BOP!$A$44:$IV$44,[39]BOP!$A$59:$IV$59,[39]BOP!#REF!,[39]BOP!#REF!,[39]BOP!$A$79:$IV$79,[39]BOP!$A$81:$IV$88,[39]BOP!#REF!</definedName>
    <definedName name="Z_EA86CE41_00A2_11D2_98BC_00C04FC96ABD_.wvu.Rows" localSheetId="39" hidden="1">[39]BOP!$A$36:$IV$36,[39]BOP!$A$44:$IV$44,[39]BOP!$A$59:$IV$59,[39]BOP!#REF!,[39]BOP!#REF!,[39]BOP!$A$79:$IV$79,[39]BOP!$A$81:$IV$88,[39]BOP!#REF!</definedName>
    <definedName name="Z_EA86CE41_00A2_11D2_98BC_00C04FC96ABD_.wvu.Rows" localSheetId="45" hidden="1">[39]BOP!$A$36:$IV$36,[39]BOP!$A$44:$IV$44,[39]BOP!$A$59:$IV$59,[39]BOP!#REF!,[39]BOP!#REF!,[39]BOP!$A$79:$IV$79,[39]BOP!$A$81:$IV$88,[39]BOP!#REF!</definedName>
    <definedName name="Z_EA86CE41_00A2_11D2_98BC_00C04FC96ABD_.wvu.Rows" hidden="1">[39]BOP!$A$36:$IV$36,[39]BOP!$A$44:$IV$44,[39]BOP!$A$59:$IV$59,[39]BOP!#REF!,[39]BOP!#REF!,[39]BOP!$A$79:$IV$79,[39]BOP!$A$81:$IV$88,[39]BOP!#REF!</definedName>
    <definedName name="Z_EA86CE42_00A2_11D2_98BC_00C04FC96ABD_.wvu.Rows" localSheetId="43" hidden="1">[39]BOP!$A$36:$IV$36,[39]BOP!$A$44:$IV$44,[39]BOP!$A$59:$IV$59,[39]BOP!#REF!,[39]BOP!#REF!,[39]BOP!$A$79:$IV$79,[39]BOP!$A$81:$IV$88,[39]BOP!#REF!</definedName>
    <definedName name="Z_EA86CE42_00A2_11D2_98BC_00C04FC96ABD_.wvu.Rows" localSheetId="44" hidden="1">[39]BOP!$A$36:$IV$36,[39]BOP!$A$44:$IV$44,[39]BOP!$A$59:$IV$59,[39]BOP!#REF!,[39]BOP!#REF!,[39]BOP!$A$79:$IV$79,[39]BOP!$A$81:$IV$88,[39]BOP!#REF!</definedName>
    <definedName name="Z_EA86CE42_00A2_11D2_98BC_00C04FC96ABD_.wvu.Rows" localSheetId="39" hidden="1">[39]BOP!$A$36:$IV$36,[39]BOP!$A$44:$IV$44,[39]BOP!$A$59:$IV$59,[39]BOP!#REF!,[39]BOP!#REF!,[39]BOP!$A$79:$IV$79,[39]BOP!$A$81:$IV$88,[39]BOP!#REF!</definedName>
    <definedName name="Z_EA86CE42_00A2_11D2_98BC_00C04FC96ABD_.wvu.Rows" localSheetId="45" hidden="1">[39]BOP!$A$36:$IV$36,[39]BOP!$A$44:$IV$44,[39]BOP!$A$59:$IV$59,[39]BOP!#REF!,[39]BOP!#REF!,[39]BOP!$A$79:$IV$79,[39]BOP!$A$81:$IV$88,[39]BOP!#REF!</definedName>
    <definedName name="Z_EA86CE42_00A2_11D2_98BC_00C04FC96ABD_.wvu.Rows" hidden="1">[39]BOP!$A$36:$IV$36,[39]BOP!$A$44:$IV$44,[39]BOP!$A$59:$IV$59,[39]BOP!#REF!,[39]BOP!#REF!,[39]BOP!$A$79:$IV$79,[39]BOP!$A$81:$IV$88,[39]BOP!#REF!</definedName>
    <definedName name="Z_EA86CE43_00A2_11D2_98BC_00C04FC96ABD_.wvu.Rows" localSheetId="43" hidden="1">[39]BOP!$A$36:$IV$36,[39]BOP!$A$44:$IV$44,[39]BOP!$A$59:$IV$59,[39]BOP!#REF!,[39]BOP!#REF!,[39]BOP!$A$79:$IV$79,[39]BOP!$A$81:$IV$88,[39]BOP!#REF!</definedName>
    <definedName name="Z_EA86CE43_00A2_11D2_98BC_00C04FC96ABD_.wvu.Rows" localSheetId="44" hidden="1">[39]BOP!$A$36:$IV$36,[39]BOP!$A$44:$IV$44,[39]BOP!$A$59:$IV$59,[39]BOP!#REF!,[39]BOP!#REF!,[39]BOP!$A$79:$IV$79,[39]BOP!$A$81:$IV$88,[39]BOP!#REF!</definedName>
    <definedName name="Z_EA86CE43_00A2_11D2_98BC_00C04FC96ABD_.wvu.Rows" localSheetId="39" hidden="1">[39]BOP!$A$36:$IV$36,[39]BOP!$A$44:$IV$44,[39]BOP!$A$59:$IV$59,[39]BOP!#REF!,[39]BOP!#REF!,[39]BOP!$A$79:$IV$79,[39]BOP!$A$81:$IV$88,[39]BOP!#REF!</definedName>
    <definedName name="Z_EA86CE43_00A2_11D2_98BC_00C04FC96ABD_.wvu.Rows" localSheetId="45" hidden="1">[39]BOP!$A$36:$IV$36,[39]BOP!$A$44:$IV$44,[39]BOP!$A$59:$IV$59,[39]BOP!#REF!,[39]BOP!#REF!,[39]BOP!$A$79:$IV$79,[39]BOP!$A$81:$IV$88,[39]BOP!#REF!</definedName>
    <definedName name="Z_EA86CE43_00A2_11D2_98BC_00C04FC96ABD_.wvu.Rows" hidden="1">[39]BOP!$A$36:$IV$36,[39]BOP!$A$44:$IV$44,[39]BOP!$A$59:$IV$59,[39]BOP!#REF!,[39]BOP!#REF!,[39]BOP!$A$79:$IV$79,[39]BOP!$A$81:$IV$88,[39]BOP!#REF!</definedName>
    <definedName name="Z_EA86CE45_00A2_11D2_98BC_00C04FC96ABD_.wvu.Rows" localSheetId="43" hidden="1">[39]BOP!$A$36:$IV$36,[39]BOP!$A$44:$IV$44,[39]BOP!$A$59:$IV$59,[39]BOP!#REF!,[39]BOP!#REF!,[39]BOP!$A$79:$IV$79,[39]BOP!$A$81:$IV$88,[39]BOP!#REF!,[39]BOP!#REF!</definedName>
    <definedName name="Z_EA86CE45_00A2_11D2_98BC_00C04FC96ABD_.wvu.Rows" localSheetId="44" hidden="1">[39]BOP!$A$36:$IV$36,[39]BOP!$A$44:$IV$44,[39]BOP!$A$59:$IV$59,[39]BOP!#REF!,[39]BOP!#REF!,[39]BOP!$A$79:$IV$79,[39]BOP!$A$81:$IV$88,[39]BOP!#REF!,[39]BOP!#REF!</definedName>
    <definedName name="Z_EA86CE45_00A2_11D2_98BC_00C04FC96ABD_.wvu.Rows" localSheetId="39" hidden="1">[39]BOP!$A$36:$IV$36,[39]BOP!$A$44:$IV$44,[39]BOP!$A$59:$IV$59,[39]BOP!#REF!,[39]BOP!#REF!,[39]BOP!$A$79:$IV$79,[39]BOP!$A$81:$IV$88,[39]BOP!#REF!,[39]BOP!#REF!</definedName>
    <definedName name="Z_EA86CE45_00A2_11D2_98BC_00C04FC96ABD_.wvu.Rows" localSheetId="45" hidden="1">[39]BOP!$A$36:$IV$36,[39]BOP!$A$44:$IV$44,[39]BOP!$A$59:$IV$59,[39]BOP!#REF!,[39]BOP!#REF!,[39]BOP!$A$79:$IV$79,[39]BOP!$A$81:$IV$88,[39]BOP!#REF!,[39]BOP!#REF!</definedName>
    <definedName name="Z_EA86CE45_00A2_11D2_98BC_00C04FC96ABD_.wvu.Rows" hidden="1">[39]BOP!$A$36:$IV$36,[39]BOP!$A$44:$IV$44,[39]BOP!$A$59:$IV$59,[39]BOP!#REF!,[39]BOP!#REF!,[39]BOP!$A$79:$IV$79,[39]BOP!$A$81:$IV$88,[39]BOP!#REF!,[39]BOP!#REF!</definedName>
    <definedName name="Z_EA86CE46_00A2_11D2_98BC_00C04FC96ABD_.wvu.Rows" localSheetId="43" hidden="1">[39]BOP!$A$36:$IV$36,[39]BOP!$A$44:$IV$44,[39]BOP!$A$59:$IV$59,[39]BOP!#REF!,[39]BOP!#REF!,[39]BOP!$A$79:$IV$79,[39]BOP!$A$81:$IV$88,[39]BOP!#REF!,[39]BOP!#REF!</definedName>
    <definedName name="Z_EA86CE46_00A2_11D2_98BC_00C04FC96ABD_.wvu.Rows" localSheetId="44" hidden="1">[39]BOP!$A$36:$IV$36,[39]BOP!$A$44:$IV$44,[39]BOP!$A$59:$IV$59,[39]BOP!#REF!,[39]BOP!#REF!,[39]BOP!$A$79:$IV$79,[39]BOP!$A$81:$IV$88,[39]BOP!#REF!,[39]BOP!#REF!</definedName>
    <definedName name="Z_EA86CE46_00A2_11D2_98BC_00C04FC96ABD_.wvu.Rows" localSheetId="39" hidden="1">[39]BOP!$A$36:$IV$36,[39]BOP!$A$44:$IV$44,[39]BOP!$A$59:$IV$59,[39]BOP!#REF!,[39]BOP!#REF!,[39]BOP!$A$79:$IV$79,[39]BOP!$A$81:$IV$88,[39]BOP!#REF!,[39]BOP!#REF!</definedName>
    <definedName name="Z_EA86CE46_00A2_11D2_98BC_00C04FC96ABD_.wvu.Rows" localSheetId="45" hidden="1">[39]BOP!$A$36:$IV$36,[39]BOP!$A$44:$IV$44,[39]BOP!$A$59:$IV$59,[39]BOP!#REF!,[39]BOP!#REF!,[39]BOP!$A$79:$IV$79,[39]BOP!$A$81:$IV$88,[39]BOP!#REF!,[39]BOP!#REF!</definedName>
    <definedName name="Z_EA86CE46_00A2_11D2_98BC_00C04FC96ABD_.wvu.Rows" hidden="1">[39]BOP!$A$36:$IV$36,[39]BOP!$A$44:$IV$44,[39]BOP!$A$59:$IV$59,[39]BOP!#REF!,[39]BOP!#REF!,[39]BOP!$A$79:$IV$79,[39]BOP!$A$81:$IV$88,[39]BOP!#REF!,[39]BOP!#REF!</definedName>
    <definedName name="Z_EA86CE47_00A2_11D2_98BC_00C04FC96ABD_.wvu.Rows" localSheetId="43" hidden="1">[39]BOP!$A$36:$IV$36,[39]BOP!$A$44:$IV$44,[39]BOP!$A$59:$IV$59,[39]BOP!#REF!,[39]BOP!#REF!,[39]BOP!$A$79:$IV$79</definedName>
    <definedName name="Z_EA86CE47_00A2_11D2_98BC_00C04FC96ABD_.wvu.Rows" localSheetId="44" hidden="1">[39]BOP!$A$36:$IV$36,[39]BOP!$A$44:$IV$44,[39]BOP!$A$59:$IV$59,[39]BOP!#REF!,[39]BOP!#REF!,[39]BOP!$A$79:$IV$79</definedName>
    <definedName name="Z_EA86CE47_00A2_11D2_98BC_00C04FC96ABD_.wvu.Rows" localSheetId="39" hidden="1">[39]BOP!$A$36:$IV$36,[39]BOP!$A$44:$IV$44,[39]BOP!$A$59:$IV$59,[39]BOP!#REF!,[39]BOP!#REF!,[39]BOP!$A$79:$IV$79</definedName>
    <definedName name="Z_EA86CE47_00A2_11D2_98BC_00C04FC96ABD_.wvu.Rows" localSheetId="45" hidden="1">[39]BOP!$A$36:$IV$36,[39]BOP!$A$44:$IV$44,[39]BOP!$A$59:$IV$59,[39]BOP!#REF!,[39]BOP!#REF!,[39]BOP!$A$79:$IV$79</definedName>
    <definedName name="Z_EA86CE47_00A2_11D2_98BC_00C04FC96ABD_.wvu.Rows" hidden="1">[39]BOP!$A$36:$IV$36,[39]BOP!$A$44:$IV$44,[39]BOP!$A$59:$IV$59,[39]BOP!#REF!,[39]BOP!#REF!,[39]BOP!$A$79:$IV$79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8" i="54" l="1"/>
  <c r="G18" i="54"/>
  <c r="F18" i="54"/>
  <c r="E18" i="54"/>
  <c r="D18" i="54"/>
  <c r="C18" i="54"/>
  <c r="L53" i="14"/>
  <c r="L47" i="14"/>
  <c r="F18" i="35"/>
  <c r="L29" i="42"/>
  <c r="L41" i="1"/>
  <c r="J21" i="80"/>
  <c r="K41" i="17"/>
  <c r="J41" i="17"/>
  <c r="K40" i="17"/>
  <c r="J40" i="17"/>
  <c r="K37" i="17"/>
  <c r="J37" i="17"/>
  <c r="K36" i="17"/>
  <c r="J36" i="17"/>
  <c r="K35" i="17"/>
  <c r="J35" i="17"/>
  <c r="K34" i="17"/>
  <c r="J34" i="17"/>
  <c r="K33" i="17"/>
  <c r="J33" i="17"/>
  <c r="L38" i="25"/>
  <c r="K42" i="134"/>
  <c r="J62" i="11"/>
  <c r="I62" i="11"/>
  <c r="H62" i="11"/>
  <c r="G62" i="11"/>
  <c r="F62" i="11"/>
  <c r="E62" i="11"/>
  <c r="D62" i="11"/>
  <c r="J61" i="11"/>
  <c r="I61" i="11"/>
  <c r="H61" i="11"/>
  <c r="G61" i="11"/>
  <c r="F61" i="11"/>
  <c r="E61" i="11"/>
  <c r="D61" i="11"/>
  <c r="J60" i="11"/>
  <c r="I60" i="11"/>
  <c r="H60" i="11"/>
  <c r="G60" i="11"/>
  <c r="F60" i="11"/>
  <c r="E60" i="11"/>
  <c r="D60" i="11"/>
  <c r="R33" i="11"/>
  <c r="Q33" i="11"/>
  <c r="P33" i="11"/>
  <c r="R32" i="11"/>
  <c r="Q32" i="11"/>
  <c r="P32" i="11"/>
  <c r="R31" i="11"/>
  <c r="Q31" i="11"/>
  <c r="P31" i="11"/>
  <c r="R30" i="11"/>
  <c r="Q30" i="11"/>
  <c r="P30" i="11"/>
  <c r="R29" i="11"/>
  <c r="Q29" i="11"/>
  <c r="P29" i="11"/>
  <c r="R27" i="11"/>
  <c r="Q27" i="11"/>
  <c r="P27" i="11"/>
  <c r="R25" i="11"/>
  <c r="Q25" i="11"/>
  <c r="P25" i="11"/>
  <c r="R24" i="11"/>
  <c r="Q24" i="11"/>
  <c r="P24" i="11"/>
  <c r="R23" i="11"/>
  <c r="Q23" i="11"/>
  <c r="P23" i="11"/>
  <c r="R22" i="11"/>
  <c r="Q22" i="11"/>
  <c r="P22" i="11"/>
  <c r="R21" i="11"/>
  <c r="Q21" i="11"/>
  <c r="P21" i="11"/>
  <c r="R20" i="11"/>
  <c r="Q20" i="11"/>
  <c r="P20" i="11"/>
  <c r="R19" i="11"/>
  <c r="Q19" i="11"/>
  <c r="P19" i="11"/>
  <c r="R18" i="11"/>
  <c r="Q18" i="11"/>
  <c r="P18" i="11"/>
  <c r="R17" i="11"/>
  <c r="Q17" i="11"/>
  <c r="P17" i="11"/>
  <c r="R16" i="11"/>
  <c r="Q16" i="11"/>
  <c r="P16" i="11"/>
  <c r="R15" i="11"/>
  <c r="Q15" i="11"/>
  <c r="P15" i="11"/>
  <c r="R13" i="11"/>
  <c r="Q13" i="11"/>
  <c r="P13" i="11"/>
  <c r="R12" i="11"/>
  <c r="Q12" i="11"/>
  <c r="P12" i="11"/>
  <c r="R11" i="11"/>
  <c r="L11" i="11" s="1"/>
  <c r="Q11" i="11"/>
  <c r="P11" i="11"/>
  <c r="R10" i="11"/>
  <c r="Q10" i="11"/>
  <c r="P10" i="11"/>
  <c r="R9" i="11"/>
  <c r="Q9" i="11"/>
  <c r="P9" i="11"/>
  <c r="R8" i="11"/>
  <c r="Q8" i="11"/>
  <c r="P8" i="11"/>
  <c r="R7" i="11"/>
  <c r="Q7" i="11"/>
  <c r="P7" i="11"/>
  <c r="R6" i="11"/>
  <c r="Q6" i="11"/>
  <c r="P6" i="11"/>
  <c r="R5" i="11"/>
  <c r="Q5" i="11"/>
  <c r="P5" i="11"/>
  <c r="L13" i="11"/>
  <c r="L12" i="11"/>
  <c r="H28" i="82"/>
  <c r="H28" i="157"/>
  <c r="H28" i="19"/>
  <c r="H28" i="22"/>
  <c r="L40" i="1"/>
  <c r="J20" i="80"/>
  <c r="J19" i="80"/>
  <c r="F106" i="198"/>
  <c r="F103" i="198"/>
  <c r="I38" i="54" l="1"/>
  <c r="I34" i="51"/>
  <c r="G22" i="29" l="1"/>
  <c r="D7" i="29" l="1"/>
  <c r="D8" i="29"/>
  <c r="D9" i="29"/>
  <c r="D10" i="29"/>
  <c r="D11" i="29"/>
  <c r="D12" i="29"/>
  <c r="G28" i="29"/>
  <c r="O17" i="36" l="1"/>
  <c r="B5" i="198" l="1"/>
  <c r="B13" i="198" s="1"/>
  <c r="B14" i="198" s="1"/>
  <c r="B15" i="198" s="1"/>
  <c r="B16" i="198" s="1"/>
  <c r="B17" i="198" s="1"/>
  <c r="B18" i="198" s="1"/>
  <c r="B19" i="198" s="1"/>
  <c r="B20" i="198" s="1"/>
  <c r="B21" i="198" s="1"/>
  <c r="B22" i="198" s="1"/>
  <c r="B23" i="198" s="1"/>
  <c r="B24" i="198" s="1"/>
  <c r="B25" i="198" s="1"/>
  <c r="B26" i="198" s="1"/>
  <c r="B27" i="198" s="1"/>
  <c r="B28" i="198" s="1"/>
  <c r="B29" i="198" s="1"/>
  <c r="E130" i="198"/>
  <c r="E129" i="198"/>
  <c r="J8" i="198" l="1"/>
  <c r="J6" i="198" l="1"/>
  <c r="J9" i="198"/>
  <c r="J7" i="198"/>
  <c r="N57" i="42" l="1"/>
  <c r="O23" i="134"/>
  <c r="J9" i="144"/>
  <c r="O29" i="134"/>
  <c r="E120" i="198" l="1"/>
  <c r="J32" i="59" l="1"/>
  <c r="H8" i="54" l="1"/>
  <c r="H36" i="54"/>
  <c r="H34" i="54" s="1"/>
  <c r="L36" i="11"/>
  <c r="N40" i="51"/>
  <c r="I43" i="51"/>
  <c r="I41" i="51"/>
  <c r="I42" i="51"/>
  <c r="I40" i="51"/>
  <c r="J40" i="51" s="1"/>
  <c r="I37" i="51"/>
  <c r="I36" i="51"/>
  <c r="I35" i="51"/>
  <c r="J34" i="51"/>
  <c r="N39" i="51"/>
  <c r="J43" i="51" l="1"/>
  <c r="J42" i="51"/>
  <c r="J41" i="51"/>
  <c r="J37" i="51"/>
  <c r="J36" i="51"/>
  <c r="J35" i="51"/>
  <c r="E53" i="198"/>
  <c r="K15" i="7" l="1"/>
  <c r="K10" i="7"/>
  <c r="J8" i="7"/>
  <c r="K9" i="7"/>
  <c r="H9" i="39"/>
  <c r="K14" i="42" s="1"/>
  <c r="G9" i="39"/>
  <c r="G8" i="39" s="1"/>
  <c r="J13" i="42" s="1"/>
  <c r="J12" i="42" s="1"/>
  <c r="J14" i="42" l="1"/>
  <c r="H8" i="39"/>
  <c r="K13" i="42" s="1"/>
  <c r="K12" i="42" s="1"/>
  <c r="K5" i="42" s="1"/>
  <c r="K47" i="42" s="1"/>
  <c r="J5" i="42"/>
  <c r="J47" i="42" s="1"/>
  <c r="K8" i="7"/>
  <c r="K41" i="42" l="1"/>
  <c r="K43" i="42" s="1"/>
  <c r="J41" i="42"/>
  <c r="J43" i="42" s="1"/>
  <c r="J13" i="7" s="1"/>
  <c r="J7" i="7" s="1"/>
  <c r="E12" i="198" l="1"/>
  <c r="I19" i="39" l="1"/>
  <c r="I24" i="39"/>
  <c r="I23" i="39" s="1"/>
  <c r="I18" i="39" s="1"/>
  <c r="H30" i="30"/>
  <c r="I17" i="39" l="1"/>
  <c r="E43" i="198"/>
  <c r="D65" i="11"/>
  <c r="D69" i="11"/>
  <c r="F17" i="36"/>
  <c r="D11" i="30" l="1"/>
  <c r="E11" i="30" s="1"/>
  <c r="D12" i="30"/>
  <c r="E12" i="30" s="1"/>
  <c r="D39" i="54" l="1"/>
  <c r="E39" i="54"/>
  <c r="C39" i="54" l="1"/>
  <c r="F39" i="54"/>
  <c r="I15" i="31"/>
  <c r="G24" i="54" l="1"/>
  <c r="H24" i="54"/>
  <c r="G25" i="54"/>
  <c r="F25" i="54"/>
  <c r="D25" i="54"/>
  <c r="C25" i="54"/>
  <c r="H30" i="54"/>
  <c r="H31" i="54"/>
  <c r="H29" i="54"/>
  <c r="J12" i="40" l="1"/>
  <c r="J8" i="40" s="1"/>
  <c r="J16" i="40" s="1"/>
  <c r="J6" i="40" s="1"/>
  <c r="E44" i="198" l="1"/>
  <c r="E23" i="198" l="1"/>
  <c r="I18" i="16" l="1"/>
  <c r="I20" i="16" s="1"/>
  <c r="H18" i="16"/>
  <c r="H20" i="16" s="1"/>
  <c r="G18" i="16"/>
  <c r="G20" i="16" s="1"/>
  <c r="F18" i="16"/>
  <c r="F20" i="16" s="1"/>
  <c r="E18" i="16"/>
  <c r="E20" i="16" s="1"/>
  <c r="D18" i="16"/>
  <c r="D20" i="16" s="1"/>
  <c r="K46" i="16"/>
  <c r="J46" i="16"/>
  <c r="I46" i="16"/>
  <c r="H46" i="16"/>
  <c r="G46" i="16"/>
  <c r="F46" i="16"/>
  <c r="E46" i="16"/>
  <c r="D46" i="16"/>
  <c r="J42" i="16"/>
  <c r="I42" i="16"/>
  <c r="H42" i="16"/>
  <c r="G42" i="16"/>
  <c r="F42" i="16"/>
  <c r="E42" i="16"/>
  <c r="D42" i="16"/>
  <c r="L14" i="42" l="1"/>
  <c r="K36" i="16"/>
  <c r="K42" i="16" s="1"/>
  <c r="E24" i="16"/>
  <c r="F24" i="16"/>
  <c r="G24" i="16"/>
  <c r="H24" i="16"/>
  <c r="I24" i="16"/>
  <c r="J24" i="16"/>
  <c r="K24" i="16"/>
  <c r="D24" i="16"/>
  <c r="E47" i="16" l="1"/>
  <c r="E41" i="16" s="1"/>
  <c r="F47" i="16"/>
  <c r="F41" i="16" s="1"/>
  <c r="G47" i="16"/>
  <c r="G41" i="16" s="1"/>
  <c r="H47" i="16"/>
  <c r="H41" i="16" s="1"/>
  <c r="I47" i="16"/>
  <c r="I41" i="16" s="1"/>
  <c r="J47" i="16"/>
  <c r="J41" i="16" s="1"/>
  <c r="K47" i="16"/>
  <c r="K41" i="16" s="1"/>
  <c r="D47" i="16"/>
  <c r="D41" i="16" s="1"/>
  <c r="K51" i="16" l="1"/>
  <c r="K28" i="16" s="1"/>
  <c r="H51" i="16"/>
  <c r="H28" i="16" s="1"/>
  <c r="G51" i="16"/>
  <c r="G28" i="16" s="1"/>
  <c r="I51" i="16"/>
  <c r="I28" i="16" s="1"/>
  <c r="E51" i="16"/>
  <c r="E28" i="16" s="1"/>
  <c r="D51" i="16"/>
  <c r="D28" i="16" s="1"/>
  <c r="J51" i="16"/>
  <c r="J28" i="16" s="1"/>
  <c r="J30" i="16" s="1"/>
  <c r="F51" i="16"/>
  <c r="F28" i="16" s="1"/>
  <c r="G30" i="16" l="1"/>
  <c r="D30" i="16"/>
  <c r="H30" i="16"/>
  <c r="E30" i="16"/>
  <c r="K30" i="16"/>
  <c r="F30" i="16"/>
  <c r="I30" i="16"/>
  <c r="I7" i="144" l="1"/>
  <c r="I8" i="144"/>
  <c r="J7" i="144"/>
  <c r="J8" i="144"/>
  <c r="C25" i="47"/>
  <c r="E31" i="59" l="1"/>
  <c r="H40" i="34" l="1"/>
  <c r="K38" i="81" l="1"/>
  <c r="E7" i="29" l="1"/>
  <c r="G24" i="29"/>
  <c r="E8" i="29"/>
  <c r="E9" i="29"/>
  <c r="E10" i="29"/>
  <c r="E11" i="29"/>
  <c r="E12" i="29"/>
  <c r="E13" i="29"/>
  <c r="D13" i="29" s="1"/>
  <c r="K25" i="134" l="1"/>
  <c r="J6" i="59"/>
  <c r="I6" i="59"/>
  <c r="M7" i="144"/>
  <c r="M6" i="144"/>
  <c r="I6" i="144"/>
  <c r="G49" i="134" l="1"/>
  <c r="G45" i="134"/>
  <c r="G41" i="134"/>
  <c r="G48" i="134"/>
  <c r="G44" i="134"/>
  <c r="G40" i="134"/>
  <c r="G47" i="134"/>
  <c r="G43" i="134"/>
  <c r="G39" i="134"/>
  <c r="G50" i="134"/>
  <c r="G46" i="134"/>
  <c r="G42" i="134"/>
  <c r="F12" i="29"/>
  <c r="L63" i="42"/>
  <c r="L46" i="42" l="1"/>
  <c r="G29" i="34"/>
  <c r="H32" i="34"/>
  <c r="H31" i="34" s="1"/>
  <c r="I31" i="34" s="1"/>
  <c r="G32" i="34" l="1"/>
  <c r="F32" i="34" l="1"/>
  <c r="E32" i="34" s="1"/>
  <c r="D32" i="34" s="1"/>
  <c r="C32" i="34" s="1"/>
  <c r="F31" i="34"/>
  <c r="E31" i="34" l="1"/>
  <c r="D31" i="34" s="1"/>
  <c r="C31" i="34" s="1"/>
  <c r="D32" i="81" l="1"/>
  <c r="G16" i="54"/>
  <c r="F16" i="54"/>
  <c r="E16" i="54"/>
  <c r="D16" i="54"/>
  <c r="C16" i="54"/>
  <c r="L28" i="7"/>
  <c r="F24" i="54"/>
  <c r="E24" i="54"/>
  <c r="D24" i="54"/>
  <c r="C24" i="54"/>
  <c r="F27" i="54" l="1"/>
  <c r="E27" i="54"/>
  <c r="D27" i="54"/>
  <c r="E25" i="54"/>
  <c r="C27" i="54"/>
  <c r="G27" i="54"/>
  <c r="F29" i="34"/>
  <c r="J7" i="43"/>
  <c r="L26" i="16"/>
  <c r="L18" i="7" l="1"/>
  <c r="L10" i="8" s="1"/>
  <c r="G18" i="157"/>
  <c r="G30" i="34"/>
  <c r="E29" i="34"/>
  <c r="H26" i="54" l="1"/>
  <c r="H25" i="54" s="1"/>
  <c r="F30" i="34"/>
  <c r="D29" i="34"/>
  <c r="F18" i="157"/>
  <c r="E35" i="157"/>
  <c r="L21" i="15" l="1"/>
  <c r="E30" i="34"/>
  <c r="C29" i="34"/>
  <c r="D30" i="34" s="1"/>
  <c r="O18" i="35"/>
  <c r="O22" i="35" l="1"/>
  <c r="D47" i="54" l="1"/>
  <c r="E47" i="54"/>
  <c r="F47" i="54"/>
  <c r="G47" i="54"/>
  <c r="C47" i="54"/>
  <c r="E3" i="80"/>
  <c r="F3" i="80" s="1"/>
  <c r="G3" i="80" s="1"/>
  <c r="H3" i="80" s="1"/>
  <c r="I3" i="80" s="1"/>
  <c r="J31" i="59"/>
  <c r="F16" i="35" l="1"/>
  <c r="G9" i="31" l="1"/>
  <c r="G10" i="31"/>
  <c r="G11" i="31"/>
  <c r="G12" i="31"/>
  <c r="G13" i="31"/>
  <c r="L86" i="2" l="1"/>
  <c r="L83" i="2"/>
  <c r="I31" i="59" l="1"/>
  <c r="D31" i="59" s="1"/>
  <c r="J29" i="80" l="1"/>
  <c r="M14" i="37" l="1"/>
  <c r="J20" i="30" l="1"/>
  <c r="L20" i="30" s="1"/>
  <c r="D6" i="49"/>
  <c r="E6" i="49" l="1"/>
  <c r="F6" i="49" s="1"/>
  <c r="G6" i="49" s="1"/>
  <c r="H6" i="49" s="1"/>
  <c r="I6" i="49" s="1"/>
  <c r="J6" i="49" s="1"/>
  <c r="K6" i="49" s="1"/>
  <c r="L50" i="14"/>
  <c r="L28" i="14" l="1"/>
  <c r="L29" i="14"/>
  <c r="L30" i="14"/>
  <c r="L31" i="14"/>
  <c r="E3" i="43"/>
  <c r="F3" i="43" s="1"/>
  <c r="G3" i="43" s="1"/>
  <c r="H3" i="43" s="1"/>
  <c r="I3" i="43" s="1"/>
  <c r="J3" i="43" s="1"/>
  <c r="L3" i="42"/>
  <c r="L3" i="2"/>
  <c r="L44" i="14" l="1"/>
  <c r="L11" i="14"/>
  <c r="L10" i="14"/>
  <c r="L34" i="2" l="1"/>
  <c r="L17" i="2" s="1"/>
  <c r="I14" i="31" l="1"/>
  <c r="K14" i="31" s="1"/>
  <c r="L22" i="25" l="1"/>
  <c r="M18" i="37" l="1"/>
  <c r="I9" i="31" l="1"/>
  <c r="K9" i="31" s="1"/>
  <c r="I10" i="31"/>
  <c r="K10" i="31" s="1"/>
  <c r="I11" i="31"/>
  <c r="K11" i="31" s="1"/>
  <c r="I12" i="31"/>
  <c r="K12" i="31" s="1"/>
  <c r="I13" i="31"/>
  <c r="K13" i="31" s="1"/>
  <c r="I8" i="31"/>
  <c r="K8" i="31" s="1"/>
  <c r="L45" i="16" l="1"/>
  <c r="N7" i="144" l="1"/>
  <c r="E35" i="22" l="1"/>
  <c r="E33" i="22"/>
  <c r="E35" i="19"/>
  <c r="E35" i="82"/>
  <c r="L26" i="7" l="1"/>
  <c r="L29" i="7"/>
  <c r="E38" i="54"/>
  <c r="D38" i="54"/>
  <c r="C38" i="54"/>
  <c r="F38" i="54"/>
  <c r="L7" i="8" l="1"/>
  <c r="F68" i="87"/>
  <c r="J68" i="87" s="1"/>
  <c r="D68" i="87"/>
  <c r="F67" i="87"/>
  <c r="J67" i="87" s="1"/>
  <c r="D67" i="87"/>
  <c r="F66" i="87"/>
  <c r="J66" i="87" s="1"/>
  <c r="D66" i="87"/>
  <c r="F65" i="87"/>
  <c r="J65" i="87" s="1"/>
  <c r="D65" i="87"/>
  <c r="F64" i="87"/>
  <c r="J64" i="87" s="1"/>
  <c r="D64" i="87"/>
  <c r="F63" i="87"/>
  <c r="J63" i="87" s="1"/>
  <c r="D63" i="87"/>
  <c r="F62" i="87"/>
  <c r="J62" i="87" s="1"/>
  <c r="D62" i="87"/>
  <c r="F61" i="87"/>
  <c r="J61" i="87" s="1"/>
  <c r="D61" i="87"/>
  <c r="F60" i="87"/>
  <c r="J60" i="87" s="1"/>
  <c r="D60" i="87"/>
  <c r="F59" i="87"/>
  <c r="J59" i="87" s="1"/>
  <c r="D59" i="87"/>
  <c r="F58" i="87"/>
  <c r="J58" i="87" s="1"/>
  <c r="D58" i="87"/>
  <c r="F57" i="87"/>
  <c r="J57" i="87" s="1"/>
  <c r="D57" i="87"/>
  <c r="F56" i="87"/>
  <c r="J56" i="87" s="1"/>
  <c r="D56" i="87"/>
  <c r="F55" i="87"/>
  <c r="J55" i="87" s="1"/>
  <c r="D55" i="87"/>
  <c r="F54" i="87"/>
  <c r="J54" i="87" s="1"/>
  <c r="D54" i="87"/>
  <c r="F53" i="87"/>
  <c r="J53" i="87" s="1"/>
  <c r="D53" i="87"/>
  <c r="F52" i="87"/>
  <c r="J52" i="87" s="1"/>
  <c r="D52" i="87"/>
  <c r="F51" i="87"/>
  <c r="J51" i="87" s="1"/>
  <c r="D51" i="87"/>
  <c r="F50" i="87"/>
  <c r="J50" i="87" s="1"/>
  <c r="D50" i="87"/>
  <c r="F49" i="87"/>
  <c r="J49" i="87" s="1"/>
  <c r="D49" i="87"/>
  <c r="F48" i="87"/>
  <c r="J48" i="87" s="1"/>
  <c r="D48" i="87"/>
  <c r="F47" i="87"/>
  <c r="J47" i="87" s="1"/>
  <c r="D47" i="87"/>
  <c r="F46" i="87"/>
  <c r="J46" i="87" s="1"/>
  <c r="D46" i="87"/>
  <c r="F45" i="87"/>
  <c r="J45" i="87" s="1"/>
  <c r="D45" i="87"/>
  <c r="F44" i="87"/>
  <c r="J44" i="87" s="1"/>
  <c r="D44" i="87"/>
  <c r="F43" i="87"/>
  <c r="J43" i="87" s="1"/>
  <c r="D43" i="87"/>
  <c r="F42" i="87"/>
  <c r="J42" i="87" s="1"/>
  <c r="D42" i="87"/>
  <c r="F41" i="87"/>
  <c r="J41" i="87" s="1"/>
  <c r="D41" i="87"/>
  <c r="F40" i="87"/>
  <c r="J40" i="87" s="1"/>
  <c r="D40" i="87"/>
  <c r="F39" i="87"/>
  <c r="J39" i="87" s="1"/>
  <c r="D39" i="87"/>
  <c r="F38" i="87"/>
  <c r="J38" i="87" s="1"/>
  <c r="D38" i="87"/>
  <c r="F37" i="87"/>
  <c r="J37" i="87" s="1"/>
  <c r="D37" i="87"/>
  <c r="F36" i="87"/>
  <c r="J36" i="87" s="1"/>
  <c r="D36" i="87"/>
  <c r="F35" i="87"/>
  <c r="J35" i="87" s="1"/>
  <c r="D35" i="87"/>
  <c r="F34" i="87"/>
  <c r="J34" i="87" s="1"/>
  <c r="D34" i="87"/>
  <c r="F33" i="87"/>
  <c r="J33" i="87" s="1"/>
  <c r="D33" i="87"/>
  <c r="F32" i="87"/>
  <c r="J32" i="87" s="1"/>
  <c r="D32" i="87"/>
  <c r="F31" i="87"/>
  <c r="J31" i="87" s="1"/>
  <c r="D31" i="87"/>
  <c r="F30" i="87"/>
  <c r="J30" i="87" s="1"/>
  <c r="D30" i="87"/>
  <c r="F29" i="87"/>
  <c r="J29" i="87" s="1"/>
  <c r="D29" i="87"/>
  <c r="F28" i="87"/>
  <c r="J28" i="87" s="1"/>
  <c r="D28" i="87"/>
  <c r="F27" i="87"/>
  <c r="J27" i="87" s="1"/>
  <c r="E27" i="87"/>
  <c r="E28" i="87" s="1"/>
  <c r="E29" i="87" s="1"/>
  <c r="E30" i="87" s="1"/>
  <c r="E31" i="87" s="1"/>
  <c r="E32" i="87" s="1"/>
  <c r="E33" i="87" s="1"/>
  <c r="E34" i="87" s="1"/>
  <c r="E35" i="87" s="1"/>
  <c r="E36" i="87" s="1"/>
  <c r="E37" i="87" s="1"/>
  <c r="E38" i="87" s="1"/>
  <c r="E39" i="87" s="1"/>
  <c r="E40" i="87" s="1"/>
  <c r="E41" i="87" s="1"/>
  <c r="E42" i="87" s="1"/>
  <c r="E43" i="87" s="1"/>
  <c r="E44" i="87" s="1"/>
  <c r="E45" i="87" s="1"/>
  <c r="E46" i="87" s="1"/>
  <c r="E47" i="87" s="1"/>
  <c r="E48" i="87" s="1"/>
  <c r="E49" i="87" s="1"/>
  <c r="E50" i="87" s="1"/>
  <c r="E51" i="87" s="1"/>
  <c r="E52" i="87" s="1"/>
  <c r="E53" i="87" s="1"/>
  <c r="E54" i="87" s="1"/>
  <c r="E55" i="87" s="1"/>
  <c r="E56" i="87" s="1"/>
  <c r="E57" i="87" s="1"/>
  <c r="E58" i="87" s="1"/>
  <c r="E59" i="87" s="1"/>
  <c r="E60" i="87" s="1"/>
  <c r="E61" i="87" s="1"/>
  <c r="E62" i="87" s="1"/>
  <c r="E63" i="87" s="1"/>
  <c r="E64" i="87" s="1"/>
  <c r="E65" i="87" s="1"/>
  <c r="E66" i="87" s="1"/>
  <c r="E67" i="87" s="1"/>
  <c r="E68" i="87" s="1"/>
  <c r="D27" i="87"/>
  <c r="B27" i="87"/>
  <c r="B28" i="87" s="1"/>
  <c r="B29" i="87" s="1"/>
  <c r="B30" i="87" s="1"/>
  <c r="B31" i="87" s="1"/>
  <c r="B32" i="87" s="1"/>
  <c r="B33" i="87" s="1"/>
  <c r="B34" i="87" s="1"/>
  <c r="B35" i="87" s="1"/>
  <c r="B36" i="87" s="1"/>
  <c r="B37" i="87" s="1"/>
  <c r="B38" i="87" s="1"/>
  <c r="B39" i="87" s="1"/>
  <c r="B40" i="87" s="1"/>
  <c r="B41" i="87" s="1"/>
  <c r="B42" i="87" s="1"/>
  <c r="B43" i="87" s="1"/>
  <c r="B44" i="87" s="1"/>
  <c r="B45" i="87" s="1"/>
  <c r="B46" i="87" s="1"/>
  <c r="B47" i="87" s="1"/>
  <c r="B48" i="87" s="1"/>
  <c r="B49" i="87" s="1"/>
  <c r="B50" i="87" s="1"/>
  <c r="B51" i="87" s="1"/>
  <c r="B52" i="87" s="1"/>
  <c r="B53" i="87" s="1"/>
  <c r="B54" i="87" s="1"/>
  <c r="B55" i="87" s="1"/>
  <c r="B56" i="87" s="1"/>
  <c r="B57" i="87" s="1"/>
  <c r="B58" i="87" s="1"/>
  <c r="B59" i="87" s="1"/>
  <c r="B60" i="87" s="1"/>
  <c r="B61" i="87" s="1"/>
  <c r="B62" i="87" s="1"/>
  <c r="B63" i="87" s="1"/>
  <c r="B64" i="87" s="1"/>
  <c r="B65" i="87" s="1"/>
  <c r="B66" i="87" s="1"/>
  <c r="B67" i="87" s="1"/>
  <c r="B68" i="87" s="1"/>
  <c r="F26" i="87"/>
  <c r="J26" i="87" s="1"/>
  <c r="D26" i="87"/>
  <c r="K35" i="87" l="1"/>
  <c r="K51" i="87"/>
  <c r="K48" i="87"/>
  <c r="K59" i="87"/>
  <c r="K33" i="87"/>
  <c r="K37" i="87"/>
  <c r="K45" i="87"/>
  <c r="K49" i="87"/>
  <c r="K26" i="87"/>
  <c r="K29" i="87"/>
  <c r="K54" i="87"/>
  <c r="K43" i="87"/>
  <c r="K67" i="87"/>
  <c r="K28" i="87"/>
  <c r="K44" i="87"/>
  <c r="K50" i="87"/>
  <c r="K66" i="87"/>
  <c r="K31" i="87"/>
  <c r="K38" i="87"/>
  <c r="K47" i="87"/>
  <c r="K53" i="87"/>
  <c r="K60" i="87"/>
  <c r="K32" i="87"/>
  <c r="K41" i="87"/>
  <c r="K63" i="87"/>
  <c r="K42" i="87"/>
  <c r="K57" i="87"/>
  <c r="K64" i="87"/>
  <c r="K36" i="87"/>
  <c r="K58" i="87"/>
  <c r="K30" i="87"/>
  <c r="K39" i="87"/>
  <c r="K46" i="87"/>
  <c r="K52" i="87"/>
  <c r="K61" i="87"/>
  <c r="K68" i="87"/>
  <c r="K27" i="87"/>
  <c r="K40" i="87"/>
  <c r="K55" i="87"/>
  <c r="K62" i="87"/>
  <c r="K34" i="87"/>
  <c r="K56" i="87"/>
  <c r="K65" i="87"/>
  <c r="G22" i="81" l="1"/>
  <c r="G20" i="81"/>
  <c r="C22" i="81" l="1"/>
  <c r="C20" i="81"/>
  <c r="C18" i="81"/>
  <c r="I63" i="11" l="1"/>
  <c r="L27" i="14" l="1"/>
  <c r="F11" i="29" l="1"/>
  <c r="F10" i="29"/>
  <c r="G10" i="29" s="1"/>
  <c r="F9" i="29"/>
  <c r="G9" i="29" s="1"/>
  <c r="F8" i="29"/>
  <c r="G8" i="29" s="1"/>
  <c r="F7" i="29"/>
  <c r="G7" i="29" s="1"/>
  <c r="F6" i="29"/>
  <c r="G6" i="29" s="1"/>
  <c r="G11" i="29" l="1"/>
  <c r="O6" i="144" s="1"/>
  <c r="E6" i="144" s="1"/>
  <c r="N6" i="144"/>
  <c r="G12" i="29"/>
  <c r="O7" i="144" s="1"/>
  <c r="G73" i="11"/>
  <c r="E74" i="11"/>
  <c r="E63" i="11"/>
  <c r="I74" i="11"/>
  <c r="F75" i="11"/>
  <c r="F65" i="11"/>
  <c r="F73" i="11"/>
  <c r="D74" i="11"/>
  <c r="D63" i="11"/>
  <c r="H74" i="11"/>
  <c r="H63" i="11"/>
  <c r="E75" i="11"/>
  <c r="I75" i="11"/>
  <c r="E65" i="11"/>
  <c r="E73" i="11"/>
  <c r="I73" i="11"/>
  <c r="G74" i="11"/>
  <c r="G63" i="11"/>
  <c r="D75" i="11"/>
  <c r="H75" i="11"/>
  <c r="D73" i="11"/>
  <c r="H73" i="11"/>
  <c r="F63" i="11"/>
  <c r="F74" i="11"/>
  <c r="G75" i="11"/>
  <c r="F35" i="54"/>
  <c r="E35" i="54"/>
  <c r="D35" i="54"/>
  <c r="C35" i="54"/>
  <c r="E7" i="144" l="1"/>
  <c r="H69" i="11"/>
  <c r="H65" i="11"/>
  <c r="D70" i="11"/>
  <c r="G65" i="11"/>
  <c r="I70" i="11"/>
  <c r="I65" i="11"/>
  <c r="G68" i="11"/>
  <c r="G69" i="11"/>
  <c r="F70" i="11"/>
  <c r="F69" i="11"/>
  <c r="E70" i="11"/>
  <c r="I68" i="11"/>
  <c r="D71" i="11"/>
  <c r="F68" i="11"/>
  <c r="I69" i="11"/>
  <c r="H68" i="11"/>
  <c r="D68" i="11"/>
  <c r="E68" i="11"/>
  <c r="H70" i="11"/>
  <c r="F71" i="11"/>
  <c r="E69" i="11"/>
  <c r="E71" i="11"/>
  <c r="H71" i="11"/>
  <c r="I71" i="11"/>
  <c r="G70" i="11"/>
  <c r="G71" i="11"/>
  <c r="D67" i="11" l="1"/>
  <c r="F67" i="11"/>
  <c r="H67" i="11"/>
  <c r="I67" i="11"/>
  <c r="E67" i="11"/>
  <c r="G67" i="11"/>
  <c r="F9" i="19" l="1"/>
  <c r="F8" i="19"/>
  <c r="G24" i="22"/>
  <c r="G25" i="22" s="1"/>
  <c r="F24" i="22"/>
  <c r="F22" i="22" s="1"/>
  <c r="G23" i="22"/>
  <c r="E23" i="22" s="1"/>
  <c r="F21" i="22"/>
  <c r="E21" i="22" s="1"/>
  <c r="D21" i="22" s="1"/>
  <c r="I21" i="22" s="1"/>
  <c r="G18" i="22"/>
  <c r="G16" i="22" s="1"/>
  <c r="F18" i="22"/>
  <c r="F16" i="22" s="1"/>
  <c r="F10" i="22"/>
  <c r="F9" i="22"/>
  <c r="F8" i="22"/>
  <c r="J42" i="17"/>
  <c r="I42" i="17"/>
  <c r="H42" i="17"/>
  <c r="G42" i="17"/>
  <c r="F42" i="17"/>
  <c r="E42" i="17"/>
  <c r="D42" i="17"/>
  <c r="I41" i="17"/>
  <c r="H41" i="17"/>
  <c r="G41" i="17"/>
  <c r="F41" i="17"/>
  <c r="E41" i="17"/>
  <c r="D41" i="17"/>
  <c r="I40" i="17"/>
  <c r="H40" i="17"/>
  <c r="G40" i="17"/>
  <c r="F40" i="17"/>
  <c r="E40" i="17"/>
  <c r="D40" i="17"/>
  <c r="I39" i="17"/>
  <c r="H39" i="17"/>
  <c r="G39" i="17"/>
  <c r="F39" i="17"/>
  <c r="E39" i="17"/>
  <c r="D39" i="17"/>
  <c r="I38" i="17"/>
  <c r="H38" i="17"/>
  <c r="G38" i="17"/>
  <c r="F38" i="17"/>
  <c r="E38" i="17"/>
  <c r="D38" i="17"/>
  <c r="I37" i="17"/>
  <c r="H37" i="17"/>
  <c r="G37" i="17"/>
  <c r="F37" i="17"/>
  <c r="E37" i="17"/>
  <c r="D37" i="17"/>
  <c r="I36" i="17"/>
  <c r="H36" i="17"/>
  <c r="G36" i="17"/>
  <c r="F36" i="17"/>
  <c r="E36" i="17"/>
  <c r="D36" i="17"/>
  <c r="I35" i="17"/>
  <c r="H35" i="17"/>
  <c r="G35" i="17"/>
  <c r="F35" i="17"/>
  <c r="E35" i="17"/>
  <c r="D35" i="17"/>
  <c r="I34" i="17"/>
  <c r="H34" i="17"/>
  <c r="G34" i="17"/>
  <c r="F34" i="17"/>
  <c r="E34" i="17"/>
  <c r="D34" i="17"/>
  <c r="I33" i="17"/>
  <c r="H33" i="17"/>
  <c r="G33" i="17"/>
  <c r="F33" i="17"/>
  <c r="E33" i="17"/>
  <c r="D33" i="17"/>
  <c r="H12" i="49"/>
  <c r="G12" i="49"/>
  <c r="F12" i="49"/>
  <c r="E12" i="49"/>
  <c r="D12" i="49"/>
  <c r="C12" i="49"/>
  <c r="H10" i="49"/>
  <c r="G10" i="49"/>
  <c r="F10" i="49"/>
  <c r="E10" i="49"/>
  <c r="D10" i="49"/>
  <c r="C10" i="49"/>
  <c r="J30" i="59"/>
  <c r="I30" i="59"/>
  <c r="J29" i="59"/>
  <c r="I29" i="59"/>
  <c r="J28" i="59"/>
  <c r="I28" i="59"/>
  <c r="J27" i="59"/>
  <c r="I27" i="59"/>
  <c r="J26" i="59"/>
  <c r="I26" i="59"/>
  <c r="J25" i="59"/>
  <c r="I25" i="59"/>
  <c r="J24" i="59"/>
  <c r="I24" i="59"/>
  <c r="J23" i="59"/>
  <c r="I23" i="59"/>
  <c r="J22" i="59"/>
  <c r="I22" i="59"/>
  <c r="J21" i="59"/>
  <c r="I21" i="59"/>
  <c r="J20" i="59"/>
  <c r="I20" i="59"/>
  <c r="J19" i="59"/>
  <c r="I19" i="59"/>
  <c r="J18" i="59"/>
  <c r="I18" i="59"/>
  <c r="J17" i="59"/>
  <c r="I17" i="59"/>
  <c r="J16" i="59"/>
  <c r="I16" i="59"/>
  <c r="J15" i="59"/>
  <c r="I15" i="59"/>
  <c r="J14" i="59"/>
  <c r="I14" i="59"/>
  <c r="J13" i="59"/>
  <c r="I13" i="59"/>
  <c r="J12" i="59"/>
  <c r="I12" i="59"/>
  <c r="J11" i="59"/>
  <c r="I11" i="59"/>
  <c r="J10" i="59"/>
  <c r="I10" i="59"/>
  <c r="J9" i="59"/>
  <c r="I9" i="59"/>
  <c r="J8" i="59"/>
  <c r="I8" i="59"/>
  <c r="J7" i="59"/>
  <c r="I7" i="59"/>
  <c r="I7" i="43"/>
  <c r="H7" i="43"/>
  <c r="G7" i="43"/>
  <c r="F7" i="43"/>
  <c r="E7" i="43"/>
  <c r="D7" i="43"/>
  <c r="G18" i="19"/>
  <c r="G16" i="19" s="1"/>
  <c r="G31" i="54"/>
  <c r="F31" i="54"/>
  <c r="E31" i="54"/>
  <c r="D31" i="54"/>
  <c r="C31" i="54"/>
  <c r="G30" i="54"/>
  <c r="F30" i="54"/>
  <c r="E30" i="54"/>
  <c r="D30" i="54"/>
  <c r="C30" i="54"/>
  <c r="G29" i="54"/>
  <c r="F29" i="54"/>
  <c r="E29" i="54"/>
  <c r="D29" i="54"/>
  <c r="C29" i="54"/>
  <c r="G28" i="54"/>
  <c r="F28" i="54"/>
  <c r="E28" i="54"/>
  <c r="D28" i="54"/>
  <c r="C28" i="54"/>
  <c r="G15" i="54"/>
  <c r="F15" i="54"/>
  <c r="E15" i="54"/>
  <c r="D15" i="54"/>
  <c r="C15" i="54"/>
  <c r="G13" i="54"/>
  <c r="G36" i="54" s="1"/>
  <c r="F13" i="54"/>
  <c r="F36" i="54" s="1"/>
  <c r="F34" i="54" s="1"/>
  <c r="E13" i="54"/>
  <c r="E36" i="54" s="1"/>
  <c r="E34" i="54" s="1"/>
  <c r="D13" i="54"/>
  <c r="D36" i="54" s="1"/>
  <c r="D34" i="54" s="1"/>
  <c r="C13" i="54"/>
  <c r="C36" i="54" s="1"/>
  <c r="C34" i="54" s="1"/>
  <c r="G12" i="54"/>
  <c r="F12" i="54"/>
  <c r="E12" i="54"/>
  <c r="D12" i="54"/>
  <c r="C12" i="54"/>
  <c r="G11" i="54"/>
  <c r="F11" i="54"/>
  <c r="E11" i="54"/>
  <c r="D11" i="54"/>
  <c r="C11" i="54"/>
  <c r="E10" i="54"/>
  <c r="D10" i="54"/>
  <c r="C10" i="54"/>
  <c r="G8" i="54"/>
  <c r="F8" i="54"/>
  <c r="E8" i="54"/>
  <c r="D8" i="54"/>
  <c r="C8" i="54"/>
  <c r="G4" i="54"/>
  <c r="F4" i="54"/>
  <c r="E4" i="54"/>
  <c r="D4" i="54"/>
  <c r="C4" i="54"/>
  <c r="J10" i="37"/>
  <c r="I10" i="37"/>
  <c r="H10" i="37"/>
  <c r="G10" i="37"/>
  <c r="J8" i="37"/>
  <c r="I8" i="37"/>
  <c r="H8" i="37"/>
  <c r="G8" i="37"/>
  <c r="D14" i="31"/>
  <c r="D13" i="31"/>
  <c r="D12" i="31"/>
  <c r="D11" i="31"/>
  <c r="D10" i="31"/>
  <c r="D9" i="31"/>
  <c r="B9" i="31"/>
  <c r="B10" i="31" s="1"/>
  <c r="B11" i="31" s="1"/>
  <c r="B12" i="31" s="1"/>
  <c r="B13" i="31" s="1"/>
  <c r="B14" i="31" s="1"/>
  <c r="D8" i="31"/>
  <c r="E8" i="31" s="1"/>
  <c r="D13" i="30"/>
  <c r="E13" i="30" s="1"/>
  <c r="D10" i="30"/>
  <c r="E10" i="30" s="1"/>
  <c r="D9" i="30"/>
  <c r="E9" i="30" s="1"/>
  <c r="D8" i="30"/>
  <c r="B8" i="30"/>
  <c r="B9" i="30" s="1"/>
  <c r="B10" i="30" s="1"/>
  <c r="B11" i="30" s="1"/>
  <c r="B12" i="30" s="1"/>
  <c r="B13" i="30" s="1"/>
  <c r="B14" i="30" s="1"/>
  <c r="D7" i="30"/>
  <c r="E7" i="30" s="1"/>
  <c r="B7" i="29"/>
  <c r="B8" i="29" s="1"/>
  <c r="B9" i="29" s="1"/>
  <c r="B10" i="29" s="1"/>
  <c r="B11" i="29" s="1"/>
  <c r="B12" i="29" s="1"/>
  <c r="B13" i="29" s="1"/>
  <c r="E45" i="54"/>
  <c r="D10" i="22"/>
  <c r="E33" i="54" l="1"/>
  <c r="E37" i="54" s="1"/>
  <c r="D33" i="54"/>
  <c r="D37" i="54" s="1"/>
  <c r="C33" i="54"/>
  <c r="C37" i="54" s="1"/>
  <c r="G39" i="54"/>
  <c r="J9" i="43"/>
  <c r="D8" i="59"/>
  <c r="D12" i="59"/>
  <c r="D16" i="59"/>
  <c r="D20" i="59"/>
  <c r="D24" i="59"/>
  <c r="D28" i="59"/>
  <c r="D10" i="59"/>
  <c r="D14" i="59"/>
  <c r="D7" i="59"/>
  <c r="D11" i="59"/>
  <c r="D15" i="59"/>
  <c r="D9" i="59"/>
  <c r="D13" i="59"/>
  <c r="D17" i="59"/>
  <c r="D21" i="59"/>
  <c r="D25" i="59"/>
  <c r="D29" i="59"/>
  <c r="D18" i="59"/>
  <c r="D22" i="59"/>
  <c r="D26" i="59"/>
  <c r="D30" i="59"/>
  <c r="D19" i="59"/>
  <c r="D23" i="59"/>
  <c r="D27" i="59"/>
  <c r="H24" i="17"/>
  <c r="C45" i="54"/>
  <c r="D45" i="54"/>
  <c r="D9" i="22"/>
  <c r="E9" i="22" s="1"/>
  <c r="F45" i="54"/>
  <c r="P24" i="3"/>
  <c r="P31" i="3"/>
  <c r="P23" i="3"/>
  <c r="P30" i="3"/>
  <c r="E9" i="31"/>
  <c r="F9" i="31"/>
  <c r="E11" i="31"/>
  <c r="F11" i="31"/>
  <c r="E13" i="31"/>
  <c r="F13" i="31"/>
  <c r="E10" i="31"/>
  <c r="F10" i="31"/>
  <c r="E12" i="31"/>
  <c r="F12" i="31"/>
  <c r="F14" i="31"/>
  <c r="L9" i="14"/>
  <c r="L23" i="7"/>
  <c r="G28" i="17"/>
  <c r="F28" i="17"/>
  <c r="E6" i="17"/>
  <c r="G18" i="17"/>
  <c r="I8" i="17"/>
  <c r="G20" i="17"/>
  <c r="E12" i="17"/>
  <c r="I12" i="17"/>
  <c r="G13" i="17"/>
  <c r="I14" i="17"/>
  <c r="F29" i="17"/>
  <c r="H29" i="17"/>
  <c r="E9" i="17"/>
  <c r="F24" i="17"/>
  <c r="F9" i="17"/>
  <c r="F20" i="17"/>
  <c r="H12" i="17"/>
  <c r="H28" i="17"/>
  <c r="D29" i="17"/>
  <c r="I7" i="17"/>
  <c r="E20" i="17"/>
  <c r="D28" i="17"/>
  <c r="E9" i="43"/>
  <c r="I9" i="43"/>
  <c r="H9" i="17"/>
  <c r="D24" i="17"/>
  <c r="I17" i="17"/>
  <c r="F8" i="17"/>
  <c r="F10" i="17"/>
  <c r="I21" i="17"/>
  <c r="H11" i="17"/>
  <c r="F14" i="17"/>
  <c r="D14" i="49"/>
  <c r="H14" i="49"/>
  <c r="F14" i="49"/>
  <c r="E17" i="17"/>
  <c r="H6" i="17"/>
  <c r="E18" i="17"/>
  <c r="I18" i="17"/>
  <c r="I9" i="17"/>
  <c r="H10" i="17"/>
  <c r="I11" i="17"/>
  <c r="G12" i="17"/>
  <c r="H14" i="17"/>
  <c r="E8" i="17"/>
  <c r="E14" i="17"/>
  <c r="H20" i="17"/>
  <c r="I6" i="17"/>
  <c r="G11" i="17"/>
  <c r="E19" i="17"/>
  <c r="E10" i="22"/>
  <c r="G7" i="17"/>
  <c r="E10" i="17"/>
  <c r="I19" i="17"/>
  <c r="E21" i="17"/>
  <c r="G24" i="17"/>
  <c r="F6" i="17"/>
  <c r="G9" i="17"/>
  <c r="I10" i="17"/>
  <c r="F12" i="17"/>
  <c r="H13" i="17"/>
  <c r="J14" i="17"/>
  <c r="H18" i="17"/>
  <c r="G35" i="54"/>
  <c r="G34" i="54" s="1"/>
  <c r="H7" i="17"/>
  <c r="H19" i="17"/>
  <c r="F21" i="17"/>
  <c r="E29" i="17"/>
  <c r="I29" i="17"/>
  <c r="D17" i="22"/>
  <c r="E17" i="22" s="1"/>
  <c r="F12" i="22"/>
  <c r="F20" i="22"/>
  <c r="F14" i="22" s="1"/>
  <c r="F9" i="43"/>
  <c r="H8" i="17"/>
  <c r="I20" i="17"/>
  <c r="C14" i="49"/>
  <c r="E11" i="17"/>
  <c r="F19" i="17"/>
  <c r="I28" i="17"/>
  <c r="E7" i="17"/>
  <c r="H17" i="17"/>
  <c r="H21" i="17"/>
  <c r="G29" i="17"/>
  <c r="E8" i="30"/>
  <c r="G14" i="49"/>
  <c r="G6" i="17"/>
  <c r="F7" i="17"/>
  <c r="G10" i="17"/>
  <c r="F11" i="17"/>
  <c r="G14" i="17"/>
  <c r="G19" i="17"/>
  <c r="E28" i="17"/>
  <c r="D24" i="22"/>
  <c r="I24" i="22" s="1"/>
  <c r="F10" i="54"/>
  <c r="F33" i="54" s="1"/>
  <c r="F37" i="54" s="1"/>
  <c r="G9" i="43"/>
  <c r="E14" i="49"/>
  <c r="G8" i="17"/>
  <c r="F13" i="17"/>
  <c r="G17" i="17"/>
  <c r="F18" i="17"/>
  <c r="G21" i="17"/>
  <c r="E24" i="17"/>
  <c r="I24" i="17"/>
  <c r="E13" i="17"/>
  <c r="I13" i="17"/>
  <c r="F17" i="17"/>
  <c r="G10" i="54"/>
  <c r="G33" i="54" s="1"/>
  <c r="F10" i="19"/>
  <c r="F12" i="19" s="1"/>
  <c r="P22" i="3"/>
  <c r="D23" i="22"/>
  <c r="E25" i="22"/>
  <c r="D25" i="22" s="1"/>
  <c r="I25" i="22" s="1"/>
  <c r="G22" i="22"/>
  <c r="G20" i="22" s="1"/>
  <c r="G14" i="22" s="1"/>
  <c r="D9" i="43"/>
  <c r="H9" i="43"/>
  <c r="I10" i="49"/>
  <c r="J13" i="17"/>
  <c r="G37" i="54" l="1"/>
  <c r="F44" i="54"/>
  <c r="I11" i="43"/>
  <c r="E44" i="54"/>
  <c r="H11" i="43"/>
  <c r="D11" i="43"/>
  <c r="E11" i="43"/>
  <c r="F11" i="43"/>
  <c r="C44" i="54"/>
  <c r="G11" i="43"/>
  <c r="D44" i="54"/>
  <c r="H32" i="17"/>
  <c r="H27" i="17" s="1"/>
  <c r="F32" i="17"/>
  <c r="F26" i="17" s="1"/>
  <c r="P25" i="3"/>
  <c r="P29" i="3"/>
  <c r="C14" i="31"/>
  <c r="G14" i="31" s="1"/>
  <c r="G45" i="54"/>
  <c r="P21" i="3"/>
  <c r="D32" i="17"/>
  <c r="D25" i="17" s="1"/>
  <c r="E32" i="17"/>
  <c r="E26" i="17" s="1"/>
  <c r="G32" i="17"/>
  <c r="G27" i="17" s="1"/>
  <c r="F28" i="22"/>
  <c r="F30" i="22" s="1"/>
  <c r="H17" i="22"/>
  <c r="I17" i="22" s="1"/>
  <c r="I32" i="17"/>
  <c r="I26" i="17" s="1"/>
  <c r="E15" i="30"/>
  <c r="J12" i="17"/>
  <c r="J29" i="17"/>
  <c r="G28" i="22"/>
  <c r="G30" i="22" s="1"/>
  <c r="I23" i="22"/>
  <c r="D22" i="22"/>
  <c r="I22" i="22" s="1"/>
  <c r="J6" i="17"/>
  <c r="J17" i="17"/>
  <c r="E22" i="22"/>
  <c r="E20" i="22" s="1"/>
  <c r="D20" i="22" s="1"/>
  <c r="I20" i="22" s="1"/>
  <c r="F25" i="17" l="1"/>
  <c r="F27" i="17"/>
  <c r="H26" i="17"/>
  <c r="H25" i="17"/>
  <c r="P26" i="3"/>
  <c r="P27" i="3"/>
  <c r="E14" i="31"/>
  <c r="D26" i="17"/>
  <c r="H13" i="43"/>
  <c r="E27" i="17"/>
  <c r="E25" i="17"/>
  <c r="D13" i="43"/>
  <c r="E13" i="43"/>
  <c r="G13" i="43"/>
  <c r="I13" i="43"/>
  <c r="F13" i="43"/>
  <c r="G26" i="17"/>
  <c r="I25" i="17"/>
  <c r="G25" i="17"/>
  <c r="I27" i="17"/>
  <c r="I12" i="49"/>
  <c r="I14" i="49" s="1"/>
  <c r="G23" i="19"/>
  <c r="J39" i="17"/>
  <c r="P28" i="3" l="1"/>
  <c r="E23" i="19"/>
  <c r="J28" i="17"/>
  <c r="J11" i="17"/>
  <c r="D23" i="19" l="1"/>
  <c r="I23" i="19" l="1"/>
  <c r="I8" i="39" l="1"/>
  <c r="L13" i="42" s="1"/>
  <c r="J18" i="17"/>
  <c r="J7" i="17" l="1"/>
  <c r="J38" i="17"/>
  <c r="J10" i="17" l="1"/>
  <c r="J21" i="17"/>
  <c r="G38" i="54" l="1"/>
  <c r="F18" i="19"/>
  <c r="F16" i="19" l="1"/>
  <c r="L27" i="16" l="1"/>
  <c r="L25" i="16" l="1"/>
  <c r="L29" i="16"/>
  <c r="L12" i="16" l="1"/>
  <c r="K13" i="17" l="1"/>
  <c r="K38" i="17" l="1"/>
  <c r="K21" i="17" s="1"/>
  <c r="K10" i="17" l="1"/>
  <c r="H38" i="54" l="1"/>
  <c r="D24" i="81" l="1"/>
  <c r="K24" i="81" l="1"/>
  <c r="D20" i="81" l="1"/>
  <c r="Q30" i="3" l="1"/>
  <c r="D11" i="81" l="1"/>
  <c r="Q23" i="3" l="1"/>
  <c r="D15" i="81" l="1"/>
  <c r="Q25" i="3"/>
  <c r="C15" i="31" l="1"/>
  <c r="D16" i="81"/>
  <c r="D17" i="81"/>
  <c r="Q27" i="3"/>
  <c r="D22" i="81"/>
  <c r="D34" i="81" l="1"/>
  <c r="G15" i="31"/>
  <c r="Q26" i="3"/>
  <c r="D18" i="81"/>
  <c r="Q31" i="3"/>
  <c r="Q28" i="3" l="1"/>
  <c r="J30" i="30" l="1"/>
  <c r="E33" i="19" l="1"/>
  <c r="D17" i="19" l="1"/>
  <c r="E17" i="19" l="1"/>
  <c r="H17" i="19"/>
  <c r="I17" i="19" s="1"/>
  <c r="E24" i="81" l="1"/>
  <c r="F13" i="29" l="1"/>
  <c r="F14" i="29" s="1"/>
  <c r="E13" i="198" l="1"/>
  <c r="N8" i="144"/>
  <c r="Q24" i="3"/>
  <c r="D12" i="81"/>
  <c r="Q22" i="3"/>
  <c r="D10" i="81"/>
  <c r="D26" i="81" s="1"/>
  <c r="L19" i="2" l="1"/>
  <c r="K32" i="81" s="1"/>
  <c r="K12" i="81" s="1"/>
  <c r="N9" i="144"/>
  <c r="G32" i="59"/>
  <c r="I32" i="59" s="1"/>
  <c r="D32" i="59" s="1"/>
  <c r="D33" i="81"/>
  <c r="Q21" i="3"/>
  <c r="C13" i="29"/>
  <c r="G30" i="29" s="1"/>
  <c r="G32" i="29" s="1"/>
  <c r="K27" i="134" s="1"/>
  <c r="J12" i="81" l="1"/>
  <c r="J13" i="81" s="1"/>
  <c r="I49" i="54" s="1"/>
  <c r="E14" i="29"/>
  <c r="M8" i="144"/>
  <c r="G13" i="29"/>
  <c r="O8" i="144" s="1"/>
  <c r="E8" i="144" s="1"/>
  <c r="G26" i="29"/>
  <c r="L36" i="2"/>
  <c r="L33" i="25"/>
  <c r="H45" i="54"/>
  <c r="E33" i="81"/>
  <c r="D14" i="30"/>
  <c r="E14" i="30" s="1"/>
  <c r="D15" i="31"/>
  <c r="E15" i="31" s="1"/>
  <c r="E34" i="81"/>
  <c r="F15" i="31" l="1"/>
  <c r="K15" i="31" l="1"/>
  <c r="H34" i="34" l="1"/>
  <c r="H29" i="34" l="1"/>
  <c r="L79" i="2"/>
  <c r="H30" i="34" l="1"/>
  <c r="L92" i="2"/>
  <c r="L89" i="2" l="1"/>
  <c r="L8" i="37" l="1"/>
  <c r="P8" i="3"/>
  <c r="P9" i="3"/>
  <c r="D9" i="19"/>
  <c r="E9" i="19" s="1"/>
  <c r="K10" i="37" l="1"/>
  <c r="P7" i="3"/>
  <c r="P37" i="3"/>
  <c r="P38" i="3"/>
  <c r="K8" i="37"/>
  <c r="I20" i="38"/>
  <c r="I16" i="38" l="1"/>
  <c r="L10" i="37"/>
  <c r="K12" i="17"/>
  <c r="P14" i="3"/>
  <c r="P16" i="3"/>
  <c r="P36" i="3"/>
  <c r="P11" i="3"/>
  <c r="P15" i="3"/>
  <c r="P44" i="3"/>
  <c r="P13" i="3"/>
  <c r="K29" i="17" l="1"/>
  <c r="P40" i="3"/>
  <c r="P45" i="3"/>
  <c r="P42" i="3"/>
  <c r="P12" i="3" l="1"/>
  <c r="P41" i="3"/>
  <c r="D10" i="19"/>
  <c r="E10" i="19" s="1"/>
  <c r="K60" i="11" l="1"/>
  <c r="J32" i="17"/>
  <c r="K61" i="11"/>
  <c r="K62" i="11"/>
  <c r="J11" i="43"/>
  <c r="G44" i="54"/>
  <c r="P10" i="3"/>
  <c r="J13" i="43" l="1"/>
  <c r="L62" i="11"/>
  <c r="L60" i="11"/>
  <c r="P6" i="3"/>
  <c r="L61" i="11"/>
  <c r="P39" i="3"/>
  <c r="J27" i="17"/>
  <c r="J26" i="17"/>
  <c r="J25" i="17"/>
  <c r="P35" i="3" l="1"/>
  <c r="C29" i="47" l="1"/>
  <c r="C6" i="47"/>
  <c r="K17" i="17" l="1"/>
  <c r="K6" i="17"/>
  <c r="O25" i="134" l="1"/>
  <c r="F10" i="157" l="1"/>
  <c r="E11" i="81"/>
  <c r="D44" i="81" s="1"/>
  <c r="E12" i="81"/>
  <c r="D45" i="81" s="1"/>
  <c r="Q8" i="3" l="1"/>
  <c r="Q9" i="3"/>
  <c r="E10" i="81"/>
  <c r="D9" i="157"/>
  <c r="Q37" i="3" l="1"/>
  <c r="Q38" i="3"/>
  <c r="Q7" i="3"/>
  <c r="Q36" i="3" l="1"/>
  <c r="L9" i="7" l="1"/>
  <c r="J14" i="81" l="1"/>
  <c r="L26" i="2"/>
  <c r="L9" i="2" s="1"/>
  <c r="L42" i="2" l="1"/>
  <c r="L24" i="3"/>
  <c r="R24" i="3" l="1"/>
  <c r="L32" i="3" l="1"/>
  <c r="L25" i="11" l="1"/>
  <c r="J73" i="11" l="1"/>
  <c r="J75" i="11" l="1"/>
  <c r="J65" i="11"/>
  <c r="F24" i="19"/>
  <c r="J68" i="11"/>
  <c r="J69" i="11"/>
  <c r="J71" i="11"/>
  <c r="J74" i="11"/>
  <c r="J63" i="11"/>
  <c r="J70" i="11" l="1"/>
  <c r="F21" i="19"/>
  <c r="E21" i="19" s="1"/>
  <c r="G24" i="19"/>
  <c r="D24" i="19" s="1"/>
  <c r="F22" i="19"/>
  <c r="J67" i="11"/>
  <c r="G24" i="157" l="1"/>
  <c r="G25" i="19"/>
  <c r="E25" i="19" s="1"/>
  <c r="I24" i="19"/>
  <c r="D21" i="19"/>
  <c r="I21" i="19" s="1"/>
  <c r="F20" i="19"/>
  <c r="J8" i="17" l="1"/>
  <c r="J19" i="17"/>
  <c r="D25" i="19"/>
  <c r="E22" i="19"/>
  <c r="E20" i="19" s="1"/>
  <c r="G22" i="19"/>
  <c r="G20" i="19" s="1"/>
  <c r="G14" i="19" s="1"/>
  <c r="G28" i="19" s="1"/>
  <c r="G30" i="19" s="1"/>
  <c r="F14" i="19"/>
  <c r="D20" i="19" l="1"/>
  <c r="I20" i="19" s="1"/>
  <c r="J20" i="17"/>
  <c r="J9" i="17"/>
  <c r="J24" i="17"/>
  <c r="K19" i="17"/>
  <c r="K8" i="17"/>
  <c r="I25" i="19"/>
  <c r="D22" i="19"/>
  <c r="I22" i="19" s="1"/>
  <c r="F28" i="19"/>
  <c r="F30" i="19" s="1"/>
  <c r="L37" i="14" l="1"/>
  <c r="F18" i="82"/>
  <c r="F16" i="82" s="1"/>
  <c r="F16" i="157"/>
  <c r="I19" i="54"/>
  <c r="G16" i="157" l="1"/>
  <c r="L17" i="42" l="1"/>
  <c r="E34" i="22"/>
  <c r="H12" i="22" s="1"/>
  <c r="D8" i="22"/>
  <c r="E8" i="22" l="1"/>
  <c r="E12" i="22" s="1"/>
  <c r="D12" i="22"/>
  <c r="I12" i="22" l="1"/>
  <c r="E22" i="50" l="1"/>
  <c r="E6" i="50"/>
  <c r="E26" i="50"/>
  <c r="K42" i="17" l="1"/>
  <c r="K14" i="17" s="1"/>
  <c r="G25" i="157"/>
  <c r="E25" i="157" s="1"/>
  <c r="D25" i="157" s="1"/>
  <c r="I25" i="157" s="1"/>
  <c r="K7" i="17" l="1"/>
  <c r="K18" i="17"/>
  <c r="K24" i="17" l="1"/>
  <c r="K9" i="17"/>
  <c r="K20" i="17"/>
  <c r="J10" i="49" l="1"/>
  <c r="L16" i="42" l="1"/>
  <c r="L26" i="9" s="1"/>
  <c r="E34" i="19" l="1"/>
  <c r="H12" i="19" s="1"/>
  <c r="L15" i="42" l="1"/>
  <c r="L12" i="42" s="1"/>
  <c r="D8" i="19"/>
  <c r="E8" i="19" l="1"/>
  <c r="E12" i="19" s="1"/>
  <c r="D12" i="19"/>
  <c r="E34" i="157" l="1"/>
  <c r="I12" i="19"/>
  <c r="K39" i="17" l="1"/>
  <c r="G23" i="157"/>
  <c r="E23" i="157" s="1"/>
  <c r="K7" i="43"/>
  <c r="J12" i="49"/>
  <c r="J14" i="49" s="1"/>
  <c r="G22" i="157" l="1"/>
  <c r="G20" i="157" s="1"/>
  <c r="G14" i="157" s="1"/>
  <c r="G28" i="157" s="1"/>
  <c r="G30" i="157" s="1"/>
  <c r="L15" i="49"/>
  <c r="L16" i="49"/>
  <c r="L14" i="49"/>
  <c r="K14" i="49" s="1"/>
  <c r="E22" i="157"/>
  <c r="D23" i="157"/>
  <c r="K11" i="17"/>
  <c r="K28" i="17"/>
  <c r="K9" i="43"/>
  <c r="I23" i="157" l="1"/>
  <c r="C7" i="47" l="1"/>
  <c r="C8" i="47" s="1"/>
  <c r="E7" i="50"/>
  <c r="E8" i="50" s="1"/>
  <c r="H47" i="54"/>
  <c r="E33" i="157"/>
  <c r="E16" i="81" l="1"/>
  <c r="E17" i="81"/>
  <c r="D17" i="157"/>
  <c r="H12" i="157"/>
  <c r="E20" i="81"/>
  <c r="E22" i="81"/>
  <c r="E18" i="81"/>
  <c r="H16" i="54" l="1"/>
  <c r="Q13" i="3"/>
  <c r="Q15" i="3"/>
  <c r="Q44" i="3"/>
  <c r="Q16" i="3"/>
  <c r="Q12" i="3"/>
  <c r="Q11" i="3"/>
  <c r="Q14" i="3"/>
  <c r="H17" i="157"/>
  <c r="I17" i="157" s="1"/>
  <c r="E17" i="157"/>
  <c r="D10" i="157"/>
  <c r="E10" i="157" s="1"/>
  <c r="E15" i="81"/>
  <c r="Q45" i="3" l="1"/>
  <c r="H44" i="54"/>
  <c r="K32" i="17"/>
  <c r="K11" i="43"/>
  <c r="Q42" i="3"/>
  <c r="Q10" i="3"/>
  <c r="Q41" i="3"/>
  <c r="Q40" i="3"/>
  <c r="E26" i="81"/>
  <c r="L28" i="81" s="1"/>
  <c r="E25" i="198" l="1"/>
  <c r="K26" i="17"/>
  <c r="K27" i="17"/>
  <c r="K25" i="17"/>
  <c r="Q6" i="3"/>
  <c r="H15" i="54"/>
  <c r="Q39" i="3"/>
  <c r="K13" i="43"/>
  <c r="D8" i="157"/>
  <c r="D12" i="157" l="1"/>
  <c r="Q35" i="3"/>
  <c r="I12" i="157" l="1"/>
  <c r="E13" i="81" l="1"/>
  <c r="E14" i="81" l="1"/>
  <c r="F9" i="157"/>
  <c r="E9" i="157" l="1"/>
  <c r="E36" i="157" l="1"/>
  <c r="D18" i="157" s="1"/>
  <c r="H18" i="157" l="1"/>
  <c r="I18" i="157" s="1"/>
  <c r="E18" i="157"/>
  <c r="E16" i="157" s="1"/>
  <c r="D16" i="157"/>
  <c r="E36" i="19"/>
  <c r="D18" i="19" s="1"/>
  <c r="H18" i="19" l="1"/>
  <c r="I18" i="19" s="1"/>
  <c r="E18" i="19"/>
  <c r="E16" i="19" s="1"/>
  <c r="E14" i="19" s="1"/>
  <c r="D16" i="19"/>
  <c r="H16" i="157"/>
  <c r="H14" i="157" s="1"/>
  <c r="H16" i="19" l="1"/>
  <c r="H14" i="19" s="1"/>
  <c r="H30" i="19" s="1"/>
  <c r="D14" i="19"/>
  <c r="I16" i="157"/>
  <c r="I16" i="19" l="1"/>
  <c r="I14" i="19"/>
  <c r="D28" i="19"/>
  <c r="E28" i="19" l="1"/>
  <c r="E30" i="19" s="1"/>
  <c r="I28" i="19"/>
  <c r="D30" i="19"/>
  <c r="I30" i="19" l="1"/>
  <c r="E36" i="22" l="1"/>
  <c r="D18" i="22" s="1"/>
  <c r="H18" i="22" s="1"/>
  <c r="I18" i="22" s="1"/>
  <c r="D16" i="22" l="1"/>
  <c r="H16" i="22" s="1"/>
  <c r="H14" i="22" s="1"/>
  <c r="H30" i="22" s="1"/>
  <c r="E18" i="22"/>
  <c r="E16" i="22" s="1"/>
  <c r="E14" i="22" s="1"/>
  <c r="D14" i="22" l="1"/>
  <c r="I14" i="22" s="1"/>
  <c r="I16" i="22"/>
  <c r="D28" i="22" l="1"/>
  <c r="D30" i="22" s="1"/>
  <c r="F8" i="157"/>
  <c r="E8" i="157" s="1"/>
  <c r="E12" i="157" s="1"/>
  <c r="H28" i="54"/>
  <c r="H10" i="54" s="1"/>
  <c r="H33" i="54" s="1"/>
  <c r="H37" i="54" s="1"/>
  <c r="E28" i="22" l="1"/>
  <c r="E30" i="22" s="1"/>
  <c r="I28" i="22"/>
  <c r="I30" i="22" s="1"/>
  <c r="F12" i="157"/>
  <c r="H39" i="54" l="1"/>
  <c r="K73" i="11" l="1"/>
  <c r="K68" i="11" l="1"/>
  <c r="K70" i="11"/>
  <c r="F21" i="157"/>
  <c r="K75" i="11"/>
  <c r="K63" i="11"/>
  <c r="F24" i="157"/>
  <c r="K74" i="11"/>
  <c r="K69" i="11"/>
  <c r="K71" i="11"/>
  <c r="K67" i="11" l="1"/>
  <c r="K65" i="11"/>
  <c r="E21" i="157"/>
  <c r="D24" i="157"/>
  <c r="F22" i="157"/>
  <c r="F20" i="157" s="1"/>
  <c r="F14" i="157" s="1"/>
  <c r="F28" i="157" l="1"/>
  <c r="F30" i="157" s="1"/>
  <c r="H27" i="54"/>
  <c r="E20" i="157"/>
  <c r="D21" i="157"/>
  <c r="I21" i="157" s="1"/>
  <c r="D22" i="157"/>
  <c r="I22" i="157" s="1"/>
  <c r="I24" i="157"/>
  <c r="I27" i="54" l="1"/>
  <c r="E14" i="157"/>
  <c r="D20" i="157"/>
  <c r="D14" i="157" l="1"/>
  <c r="I20" i="157"/>
  <c r="I14" i="157" l="1"/>
  <c r="D28" i="157"/>
  <c r="D30" i="157" s="1"/>
  <c r="E28" i="157" l="1"/>
  <c r="E30" i="157" s="1"/>
  <c r="E5" i="198" l="1"/>
  <c r="J5" i="198" s="1"/>
  <c r="K28" i="81"/>
  <c r="E27" i="198" l="1"/>
  <c r="I45" i="54" l="1"/>
  <c r="O16" i="35"/>
  <c r="H28" i="31"/>
  <c r="H24" i="30"/>
  <c r="H26" i="30" l="1"/>
  <c r="H32" i="30"/>
  <c r="J32" i="30" s="1"/>
  <c r="Q7" i="31"/>
  <c r="M9" i="144"/>
  <c r="E14" i="198"/>
  <c r="H26" i="31"/>
  <c r="H22" i="30"/>
  <c r="H28" i="30" s="1"/>
  <c r="E28" i="198"/>
  <c r="H30" i="31" l="1"/>
  <c r="J30" i="31" s="1"/>
  <c r="E17" i="198"/>
  <c r="H34" i="30"/>
  <c r="L34" i="30" s="1"/>
  <c r="L32" i="30"/>
  <c r="L30" i="30"/>
  <c r="E15" i="198"/>
  <c r="O9" i="144"/>
  <c r="E9" i="144" l="1"/>
  <c r="L30" i="31"/>
  <c r="E18" i="198"/>
  <c r="J34" i="30"/>
  <c r="J11" i="81" s="1"/>
  <c r="K11" i="81" s="1"/>
  <c r="O27" i="134"/>
  <c r="O31" i="134" s="1"/>
  <c r="O34" i="134" s="1"/>
  <c r="L28" i="30"/>
  <c r="J28" i="30"/>
  <c r="E16" i="198"/>
  <c r="D9" i="144" l="1"/>
  <c r="J46" i="80" s="1"/>
  <c r="E81" i="198"/>
  <c r="F30" i="144"/>
  <c r="F32" i="144" s="1"/>
  <c r="E6" i="198"/>
  <c r="L25" i="2"/>
  <c r="L8" i="2" s="1"/>
  <c r="H33" i="59" l="1"/>
  <c r="L20" i="15"/>
  <c r="I16" i="31"/>
  <c r="L9" i="144"/>
  <c r="O36" i="134"/>
  <c r="G55" i="134"/>
  <c r="G52" i="134"/>
  <c r="G51" i="134"/>
  <c r="G54" i="134"/>
  <c r="G57" i="134"/>
  <c r="G61" i="134"/>
  <c r="G60" i="134"/>
  <c r="G59" i="134"/>
  <c r="G58" i="134"/>
  <c r="G62" i="134"/>
  <c r="G56" i="134"/>
  <c r="G53" i="134"/>
  <c r="J33" i="59"/>
  <c r="E8" i="198"/>
  <c r="I18" i="34"/>
  <c r="F33" i="59"/>
  <c r="J16" i="31"/>
  <c r="K16" i="31" s="1"/>
  <c r="Q9" i="31" s="1"/>
  <c r="Q11" i="31" s="1"/>
  <c r="H32" i="31" s="1"/>
  <c r="I11" i="81"/>
  <c r="F20" i="35"/>
  <c r="F21" i="36" s="1"/>
  <c r="R47" i="134"/>
  <c r="R49" i="134" s="1"/>
  <c r="J9" i="80" s="1"/>
  <c r="E135" i="198" s="1"/>
  <c r="I46" i="54"/>
  <c r="F9" i="144"/>
  <c r="E29" i="198"/>
  <c r="K10" i="81"/>
  <c r="L41" i="2"/>
  <c r="L23" i="3"/>
  <c r="R23" i="3" s="1"/>
  <c r="L7" i="2"/>
  <c r="J40" i="34" l="1"/>
  <c r="I40" i="34"/>
  <c r="E122" i="198" s="1"/>
  <c r="I11" i="54"/>
  <c r="K40" i="54"/>
  <c r="I29" i="54"/>
  <c r="I28" i="54"/>
  <c r="I30" i="54"/>
  <c r="I12" i="54"/>
  <c r="E68" i="198" s="1"/>
  <c r="I13" i="54"/>
  <c r="I36" i="54" s="1"/>
  <c r="I13" i="81"/>
  <c r="I14" i="81" s="1"/>
  <c r="L14" i="81" s="1"/>
  <c r="E124" i="198"/>
  <c r="G63" i="134"/>
  <c r="R48" i="134"/>
  <c r="R50" i="134" s="1"/>
  <c r="J10" i="80" s="1"/>
  <c r="E97" i="198"/>
  <c r="E10" i="198"/>
  <c r="J47" i="80"/>
  <c r="E9" i="198"/>
  <c r="L19" i="15"/>
  <c r="I26" i="54" s="1"/>
  <c r="I25" i="54" s="1"/>
  <c r="I9" i="144"/>
  <c r="E21" i="198"/>
  <c r="L11" i="81"/>
  <c r="L8" i="1" s="1"/>
  <c r="L40" i="2"/>
  <c r="L24" i="2"/>
  <c r="L22" i="3"/>
  <c r="R22" i="3" s="1"/>
  <c r="J10" i="81"/>
  <c r="I34" i="34" l="1"/>
  <c r="E133" i="198"/>
  <c r="L13" i="81"/>
  <c r="L12" i="81" s="1"/>
  <c r="I12" i="81" s="1"/>
  <c r="E20" i="198"/>
  <c r="J11" i="80"/>
  <c r="E115" i="198" s="1"/>
  <c r="L20" i="11"/>
  <c r="L32" i="15" s="1"/>
  <c r="E77" i="198"/>
  <c r="E7" i="198"/>
  <c r="E24" i="198"/>
  <c r="I24" i="81"/>
  <c r="L24" i="81" s="1"/>
  <c r="L16" i="11"/>
  <c r="E67" i="198"/>
  <c r="L17" i="11"/>
  <c r="L18" i="11"/>
  <c r="L33" i="11" s="1"/>
  <c r="E69" i="198"/>
  <c r="L24" i="11"/>
  <c r="E72" i="198"/>
  <c r="L23" i="11"/>
  <c r="E71" i="198"/>
  <c r="L22" i="11"/>
  <c r="E70" i="198"/>
  <c r="E26" i="198"/>
  <c r="L8" i="3"/>
  <c r="I22" i="34" l="1"/>
  <c r="K36" i="134"/>
  <c r="K34" i="134" s="1"/>
  <c r="J11" i="198"/>
  <c r="H36" i="31"/>
  <c r="J32" i="31"/>
  <c r="L32" i="31"/>
  <c r="E19" i="198"/>
  <c r="E98" i="198"/>
  <c r="I29" i="34"/>
  <c r="I30" i="34" s="1"/>
  <c r="K37" i="81"/>
  <c r="F9" i="82"/>
  <c r="L43" i="25"/>
  <c r="L9" i="1"/>
  <c r="L10" i="81"/>
  <c r="L37" i="3"/>
  <c r="R8" i="3"/>
  <c r="L36" i="31" l="1"/>
  <c r="J36" i="31"/>
  <c r="J16" i="81" s="1"/>
  <c r="R37" i="3"/>
  <c r="I10" i="81"/>
  <c r="L45" i="25"/>
  <c r="L9" i="3"/>
  <c r="L7" i="1"/>
  <c r="J17" i="81" l="1"/>
  <c r="I50" i="54" s="1"/>
  <c r="K16" i="81"/>
  <c r="L28" i="2"/>
  <c r="L11" i="2" s="1"/>
  <c r="L26" i="3" s="1"/>
  <c r="R26" i="3" s="1"/>
  <c r="R9" i="3"/>
  <c r="L38" i="3"/>
  <c r="L7" i="3"/>
  <c r="D9" i="82"/>
  <c r="J21" i="51"/>
  <c r="J51" i="51" l="1"/>
  <c r="E56" i="198" s="1"/>
  <c r="L44" i="2"/>
  <c r="J18" i="81"/>
  <c r="K18" i="81" s="1"/>
  <c r="L29" i="2"/>
  <c r="L12" i="2" s="1"/>
  <c r="L45" i="2" s="1"/>
  <c r="K17" i="81"/>
  <c r="J27" i="51"/>
  <c r="J58" i="51" s="1"/>
  <c r="R7" i="3"/>
  <c r="L36" i="3"/>
  <c r="R38" i="3"/>
  <c r="E9" i="82"/>
  <c r="K15" i="81" l="1"/>
  <c r="J15" i="81" s="1"/>
  <c r="L27" i="3"/>
  <c r="R27" i="3" s="1"/>
  <c r="L30" i="2"/>
  <c r="L13" i="2" s="1"/>
  <c r="L28" i="3" s="1"/>
  <c r="R28" i="3" s="1"/>
  <c r="E61" i="198"/>
  <c r="R36" i="3"/>
  <c r="L8" i="11"/>
  <c r="J8" i="51"/>
  <c r="J16" i="51" s="1"/>
  <c r="L10" i="2" l="1"/>
  <c r="L25" i="3" s="1"/>
  <c r="R25" i="3" s="1"/>
  <c r="K33" i="81"/>
  <c r="L27" i="2" l="1"/>
  <c r="L43" i="2"/>
  <c r="E32" i="198" l="1"/>
  <c r="I24" i="34"/>
  <c r="E132" i="198" s="1"/>
  <c r="I13" i="34" l="1"/>
  <c r="E33" i="198" s="1"/>
  <c r="E121" i="198"/>
  <c r="K44" i="134"/>
  <c r="I24" i="54" l="1"/>
  <c r="E11" i="198"/>
  <c r="F19" i="36"/>
  <c r="F23" i="36" s="1"/>
  <c r="L22" i="7"/>
  <c r="I14" i="34"/>
  <c r="I16" i="34"/>
  <c r="E34" i="198" s="1"/>
  <c r="L58" i="42"/>
  <c r="E33" i="82" s="1"/>
  <c r="D17" i="82" s="1"/>
  <c r="I18" i="54"/>
  <c r="I16" i="54" s="1"/>
  <c r="L21" i="11" s="1"/>
  <c r="L19" i="11" l="1"/>
  <c r="L59" i="42"/>
  <c r="E99" i="198"/>
  <c r="I47" i="54"/>
  <c r="N56" i="42"/>
  <c r="I28" i="157"/>
  <c r="I30" i="157" s="1"/>
  <c r="L49" i="14"/>
  <c r="C14" i="47"/>
  <c r="E13" i="50"/>
  <c r="H20" i="81"/>
  <c r="H22" i="81" s="1"/>
  <c r="I22" i="81" s="1"/>
  <c r="I18" i="81" s="1"/>
  <c r="L18" i="81" s="1"/>
  <c r="F22" i="35"/>
  <c r="E35" i="198" s="1"/>
  <c r="I15" i="54"/>
  <c r="I10" i="54" s="1"/>
  <c r="E75" i="198"/>
  <c r="L31" i="15"/>
  <c r="L15" i="11"/>
  <c r="L21" i="7"/>
  <c r="L18" i="8"/>
  <c r="L6" i="8"/>
  <c r="E17" i="82"/>
  <c r="H17" i="82"/>
  <c r="I17" i="82" s="1"/>
  <c r="J15" i="80"/>
  <c r="E37" i="198"/>
  <c r="O21" i="36"/>
  <c r="O25" i="36" s="1"/>
  <c r="L43" i="14"/>
  <c r="L12" i="14"/>
  <c r="L8" i="14" s="1"/>
  <c r="L35" i="25" l="1"/>
  <c r="L33" i="15"/>
  <c r="H30" i="157"/>
  <c r="L18" i="14"/>
  <c r="O20" i="35"/>
  <c r="O24" i="35" s="1"/>
  <c r="J22" i="81" s="1"/>
  <c r="I17" i="81"/>
  <c r="L17" i="81" s="1"/>
  <c r="L12" i="1" s="1"/>
  <c r="I16" i="81"/>
  <c r="L16" i="81" s="1"/>
  <c r="L11" i="1" s="1"/>
  <c r="I20" i="81"/>
  <c r="J17" i="80"/>
  <c r="J18" i="80" s="1"/>
  <c r="L16" i="15"/>
  <c r="L50" i="11"/>
  <c r="L36" i="25" s="1"/>
  <c r="L13" i="1"/>
  <c r="L13" i="3" s="1"/>
  <c r="J14" i="80"/>
  <c r="J20" i="81"/>
  <c r="M12" i="37"/>
  <c r="M8" i="37" s="1"/>
  <c r="E38" i="198"/>
  <c r="L41" i="14"/>
  <c r="L40" i="14" s="1"/>
  <c r="L9" i="8"/>
  <c r="J16" i="80" l="1"/>
  <c r="E36" i="198"/>
  <c r="M16" i="37"/>
  <c r="M10" i="37" s="1"/>
  <c r="I18" i="38" s="1"/>
  <c r="I10" i="38" s="1"/>
  <c r="L15" i="81"/>
  <c r="L33" i="81" s="1"/>
  <c r="L46" i="25"/>
  <c r="L12" i="3"/>
  <c r="L7" i="42"/>
  <c r="E39" i="198"/>
  <c r="I14" i="38"/>
  <c r="I8" i="38" s="1"/>
  <c r="L11" i="3"/>
  <c r="L10" i="1"/>
  <c r="K22" i="81"/>
  <c r="L33" i="2"/>
  <c r="L16" i="2" s="1"/>
  <c r="L22" i="81"/>
  <c r="L32" i="2"/>
  <c r="L15" i="2" s="1"/>
  <c r="K20" i="81"/>
  <c r="L20" i="81"/>
  <c r="R13" i="3"/>
  <c r="L42" i="3"/>
  <c r="R42" i="3" s="1"/>
  <c r="I15" i="81"/>
  <c r="I48" i="54" s="1"/>
  <c r="I35" i="54" s="1"/>
  <c r="E40" i="198" l="1"/>
  <c r="L8" i="42"/>
  <c r="L26" i="81"/>
  <c r="M11" i="81" s="1"/>
  <c r="I34" i="54"/>
  <c r="E74" i="198" s="1"/>
  <c r="N30" i="11"/>
  <c r="E73" i="198"/>
  <c r="L30" i="11"/>
  <c r="L29" i="11" s="1"/>
  <c r="L31" i="3"/>
  <c r="R31" i="3" s="1"/>
  <c r="L47" i="2"/>
  <c r="L40" i="3"/>
  <c r="R40" i="3" s="1"/>
  <c r="R11" i="3"/>
  <c r="K34" i="81"/>
  <c r="K26" i="81"/>
  <c r="R12" i="3"/>
  <c r="L41" i="3"/>
  <c r="R41" i="3" s="1"/>
  <c r="L16" i="1"/>
  <c r="L10" i="42"/>
  <c r="L24" i="9" s="1"/>
  <c r="E41" i="198"/>
  <c r="L15" i="1"/>
  <c r="L34" i="81"/>
  <c r="L30" i="3"/>
  <c r="R30" i="3" s="1"/>
  <c r="L46" i="2"/>
  <c r="L14" i="2"/>
  <c r="L24" i="1"/>
  <c r="L10" i="3"/>
  <c r="L22" i="1"/>
  <c r="D10" i="82"/>
  <c r="L6" i="42"/>
  <c r="E42" i="198"/>
  <c r="L11" i="42"/>
  <c r="L25" i="9" s="1"/>
  <c r="M34" i="81" l="1"/>
  <c r="M10" i="81"/>
  <c r="L29" i="81"/>
  <c r="J14" i="198"/>
  <c r="M12" i="81"/>
  <c r="M18" i="81"/>
  <c r="M15" i="81"/>
  <c r="M16" i="81"/>
  <c r="M17" i="81"/>
  <c r="M20" i="81"/>
  <c r="L6" i="1"/>
  <c r="M13" i="81"/>
  <c r="M14" i="81"/>
  <c r="M24" i="81"/>
  <c r="M22" i="81"/>
  <c r="F10" i="82"/>
  <c r="E10" i="82" s="1"/>
  <c r="L26" i="14"/>
  <c r="L44" i="25"/>
  <c r="L72" i="42"/>
  <c r="L71" i="42"/>
  <c r="L14" i="1"/>
  <c r="L15" i="3"/>
  <c r="L68" i="42"/>
  <c r="L74" i="42" s="1"/>
  <c r="K29" i="81"/>
  <c r="J26" i="81"/>
  <c r="I26" i="81" s="1"/>
  <c r="L69" i="42"/>
  <c r="L75" i="42" s="1"/>
  <c r="L16" i="3"/>
  <c r="J22" i="51"/>
  <c r="R10" i="3"/>
  <c r="L39" i="3"/>
  <c r="R39" i="3" s="1"/>
  <c r="L6" i="2"/>
  <c r="L29" i="3"/>
  <c r="L9" i="42"/>
  <c r="L5" i="42" s="1"/>
  <c r="J25" i="80" l="1"/>
  <c r="L56" i="42"/>
  <c r="L57" i="42" s="1"/>
  <c r="S23" i="11"/>
  <c r="S20" i="11"/>
  <c r="S17" i="11"/>
  <c r="S16" i="11"/>
  <c r="S33" i="11"/>
  <c r="S18" i="11"/>
  <c r="S29" i="11"/>
  <c r="S31" i="11"/>
  <c r="S30" i="11"/>
  <c r="S25" i="11"/>
  <c r="S22" i="11"/>
  <c r="S8" i="11"/>
  <c r="S32" i="11"/>
  <c r="S24" i="11"/>
  <c r="S11" i="11"/>
  <c r="S12" i="11"/>
  <c r="S13" i="11"/>
  <c r="S21" i="11"/>
  <c r="S15" i="11"/>
  <c r="S19" i="11"/>
  <c r="M33" i="81"/>
  <c r="J20" i="51"/>
  <c r="J53" i="51" s="1"/>
  <c r="E58" i="198" s="1"/>
  <c r="L6" i="3"/>
  <c r="R6" i="3" s="1"/>
  <c r="L24" i="15"/>
  <c r="L15" i="15" s="1"/>
  <c r="L21" i="1"/>
  <c r="D8" i="82" s="1"/>
  <c r="L33" i="1"/>
  <c r="L31" i="1"/>
  <c r="L29" i="1"/>
  <c r="L17" i="1"/>
  <c r="L17" i="3" s="1"/>
  <c r="J60" i="80"/>
  <c r="L47" i="42"/>
  <c r="E47" i="198" s="1"/>
  <c r="L11" i="43"/>
  <c r="L30" i="42"/>
  <c r="L35" i="1"/>
  <c r="J57" i="80" s="1"/>
  <c r="L30" i="1"/>
  <c r="L32" i="17"/>
  <c r="L30" i="25"/>
  <c r="L7" i="25" s="1"/>
  <c r="J34" i="80" s="1"/>
  <c r="L20" i="1"/>
  <c r="I44" i="54"/>
  <c r="L32" i="1"/>
  <c r="J28" i="51"/>
  <c r="J59" i="51" s="1"/>
  <c r="J52" i="51"/>
  <c r="E57" i="198" s="1"/>
  <c r="L7" i="14"/>
  <c r="L6" i="14" s="1"/>
  <c r="L25" i="15" s="1"/>
  <c r="L25" i="14"/>
  <c r="E34" i="82"/>
  <c r="H12" i="82" s="1"/>
  <c r="L21" i="3"/>
  <c r="R21" i="3" s="1"/>
  <c r="L50" i="2"/>
  <c r="J7" i="80" s="1"/>
  <c r="L23" i="2"/>
  <c r="J6" i="80" s="1"/>
  <c r="E94" i="198" s="1"/>
  <c r="L32" i="25"/>
  <c r="L21" i="25" s="1"/>
  <c r="G33" i="59"/>
  <c r="I33" i="59" s="1"/>
  <c r="D33" i="59" s="1"/>
  <c r="L44" i="3"/>
  <c r="R44" i="3" s="1"/>
  <c r="R15" i="3"/>
  <c r="L48" i="42"/>
  <c r="L38" i="7"/>
  <c r="L34" i="42"/>
  <c r="L24" i="42"/>
  <c r="L16" i="7" s="1"/>
  <c r="J61" i="80"/>
  <c r="L31" i="42"/>
  <c r="L10" i="7" s="1"/>
  <c r="L35" i="42"/>
  <c r="L23" i="42"/>
  <c r="L8" i="7" s="1"/>
  <c r="L65" i="42"/>
  <c r="L64" i="42"/>
  <c r="L60" i="42"/>
  <c r="L61" i="42" s="1"/>
  <c r="L45" i="3"/>
  <c r="R45" i="3" s="1"/>
  <c r="R16" i="3"/>
  <c r="L26" i="1"/>
  <c r="J24" i="80" s="1"/>
  <c r="L14" i="3"/>
  <c r="R14" i="3" s="1"/>
  <c r="J50" i="51" l="1"/>
  <c r="L22" i="42"/>
  <c r="L23" i="9"/>
  <c r="L23" i="1"/>
  <c r="L8" i="25"/>
  <c r="J35" i="80" s="1"/>
  <c r="L11" i="25"/>
  <c r="J26" i="51"/>
  <c r="J60" i="51" s="1"/>
  <c r="L6" i="15"/>
  <c r="J49" i="51"/>
  <c r="E59" i="198" s="1"/>
  <c r="E55" i="198"/>
  <c r="E82" i="198"/>
  <c r="C33" i="59"/>
  <c r="E33" i="59"/>
  <c r="L7" i="43" s="1"/>
  <c r="E62" i="198"/>
  <c r="J9" i="51"/>
  <c r="J17" i="51" s="1"/>
  <c r="L9" i="11"/>
  <c r="S9" i="11" s="1"/>
  <c r="L35" i="3"/>
  <c r="L66" i="42"/>
  <c r="L24" i="7"/>
  <c r="L36" i="42"/>
  <c r="C31" i="47" s="1"/>
  <c r="E45" i="198"/>
  <c r="E136" i="198"/>
  <c r="E95" i="198"/>
  <c r="E125" i="198"/>
  <c r="D12" i="82"/>
  <c r="E123" i="198"/>
  <c r="E101" i="198"/>
  <c r="E134" i="198"/>
  <c r="L17" i="7"/>
  <c r="L34" i="1"/>
  <c r="J58" i="80" s="1"/>
  <c r="L25" i="1"/>
  <c r="L36" i="1" s="1"/>
  <c r="E46" i="198"/>
  <c r="L28" i="42"/>
  <c r="L33" i="42"/>
  <c r="K11" i="7"/>
  <c r="R35" i="3" l="1"/>
  <c r="L31" i="25"/>
  <c r="R51" i="134"/>
  <c r="J8" i="80"/>
  <c r="J57" i="51"/>
  <c r="J7" i="51" s="1"/>
  <c r="E96" i="198"/>
  <c r="L19" i="25"/>
  <c r="L17" i="16"/>
  <c r="J43" i="80" s="1"/>
  <c r="L9" i="43"/>
  <c r="L13" i="43" s="1"/>
  <c r="E83" i="198" s="1"/>
  <c r="J56" i="51"/>
  <c r="E64" i="198" s="1"/>
  <c r="E60" i="198"/>
  <c r="L7" i="11"/>
  <c r="S7" i="11" s="1"/>
  <c r="L10" i="11"/>
  <c r="S10" i="11" s="1"/>
  <c r="J10" i="51"/>
  <c r="J18" i="51" s="1"/>
  <c r="E63" i="198"/>
  <c r="I12" i="82"/>
  <c r="L26" i="42"/>
  <c r="L21" i="42" s="1"/>
  <c r="L19" i="7"/>
  <c r="L27" i="7"/>
  <c r="C11" i="47"/>
  <c r="K7" i="7"/>
  <c r="K5" i="7" s="1"/>
  <c r="L11" i="7"/>
  <c r="L49" i="42" l="1"/>
  <c r="J26" i="80"/>
  <c r="J15" i="51"/>
  <c r="J6" i="51"/>
  <c r="J14" i="51" s="1"/>
  <c r="N41" i="51"/>
  <c r="L6" i="11"/>
  <c r="S6" i="11" s="1"/>
  <c r="K12" i="49"/>
  <c r="L39" i="17"/>
  <c r="L19" i="16"/>
  <c r="L41" i="17" s="1"/>
  <c r="E112" i="198"/>
  <c r="L18" i="16"/>
  <c r="L40" i="17" s="1"/>
  <c r="G23" i="82"/>
  <c r="L20" i="7"/>
  <c r="L15" i="7"/>
  <c r="L25" i="7"/>
  <c r="L17" i="8" s="1"/>
  <c r="L8" i="8"/>
  <c r="L5" i="8" s="1"/>
  <c r="E48" i="198"/>
  <c r="E102" i="198"/>
  <c r="L41" i="42"/>
  <c r="L50" i="42" l="1"/>
  <c r="C30" i="47"/>
  <c r="L20" i="16"/>
  <c r="L30" i="16" s="1"/>
  <c r="L13" i="17"/>
  <c r="L50" i="16"/>
  <c r="E23" i="82"/>
  <c r="L35" i="16"/>
  <c r="L11" i="17"/>
  <c r="L26" i="17"/>
  <c r="L27" i="17"/>
  <c r="J45" i="80" s="1"/>
  <c r="K10" i="49"/>
  <c r="L34" i="16" s="1"/>
  <c r="L5" i="11"/>
  <c r="L34" i="9"/>
  <c r="L12" i="8"/>
  <c r="L43" i="42"/>
  <c r="E49" i="198"/>
  <c r="E10" i="50"/>
  <c r="E12" i="50" s="1"/>
  <c r="E14" i="50" s="1"/>
  <c r="C10" i="47"/>
  <c r="C13" i="47" s="1"/>
  <c r="C15" i="47" s="1"/>
  <c r="L33" i="9"/>
  <c r="L8" i="9" s="1"/>
  <c r="L35" i="7"/>
  <c r="L34" i="25" l="1"/>
  <c r="L30" i="15"/>
  <c r="L33" i="17"/>
  <c r="L25" i="17" s="1"/>
  <c r="E65" i="198"/>
  <c r="S5" i="11"/>
  <c r="L42" i="17"/>
  <c r="L14" i="17" s="1"/>
  <c r="L12" i="17"/>
  <c r="L29" i="17"/>
  <c r="E88" i="198"/>
  <c r="D23" i="82"/>
  <c r="L28" i="17"/>
  <c r="L17" i="15"/>
  <c r="I8" i="54"/>
  <c r="I33" i="54" s="1"/>
  <c r="F8" i="82"/>
  <c r="L27" i="11"/>
  <c r="L36" i="16"/>
  <c r="L7" i="16"/>
  <c r="C28" i="47"/>
  <c r="C27" i="47" s="1"/>
  <c r="C33" i="47" s="1"/>
  <c r="E84" i="198"/>
  <c r="E25" i="50"/>
  <c r="L23" i="16"/>
  <c r="L13" i="7"/>
  <c r="E36" i="82"/>
  <c r="D18" i="82" s="1"/>
  <c r="L9" i="9"/>
  <c r="L10" i="9"/>
  <c r="L28" i="9"/>
  <c r="E27" i="50"/>
  <c r="L13" i="8"/>
  <c r="L23" i="8" s="1"/>
  <c r="J50" i="80" l="1"/>
  <c r="L34" i="17"/>
  <c r="S27" i="11"/>
  <c r="L37" i="25"/>
  <c r="L62" i="14"/>
  <c r="E85" i="198"/>
  <c r="L14" i="16"/>
  <c r="J54" i="80" s="1"/>
  <c r="G18" i="82"/>
  <c r="G16" i="82" s="1"/>
  <c r="L8" i="16"/>
  <c r="I23" i="82"/>
  <c r="L51" i="11"/>
  <c r="L40" i="25" s="1"/>
  <c r="L44" i="11"/>
  <c r="L6" i="25"/>
  <c r="L18" i="25"/>
  <c r="L23" i="25" s="1"/>
  <c r="L25" i="25" s="1"/>
  <c r="L26" i="25" s="1"/>
  <c r="L42" i="16"/>
  <c r="E90" i="198"/>
  <c r="F12" i="82"/>
  <c r="E8" i="82"/>
  <c r="E12" i="82" s="1"/>
  <c r="I37" i="54"/>
  <c r="N27" i="11"/>
  <c r="E76" i="198"/>
  <c r="H18" i="82"/>
  <c r="I18" i="82" s="1"/>
  <c r="D16" i="82"/>
  <c r="L24" i="16"/>
  <c r="L40" i="16"/>
  <c r="L29" i="9"/>
  <c r="L27" i="9"/>
  <c r="L35" i="9"/>
  <c r="L21" i="8"/>
  <c r="L32" i="9"/>
  <c r="L13" i="9" s="1"/>
  <c r="J28" i="80"/>
  <c r="J27" i="80"/>
  <c r="L51" i="42"/>
  <c r="L52" i="42" s="1"/>
  <c r="L7" i="7"/>
  <c r="E24" i="50"/>
  <c r="E29" i="50" s="1"/>
  <c r="L31" i="16" s="1"/>
  <c r="L47" i="16" l="1"/>
  <c r="E18" i="82"/>
  <c r="E16" i="82" s="1"/>
  <c r="L9" i="16"/>
  <c r="J37" i="80"/>
  <c r="L27" i="25"/>
  <c r="L9" i="25"/>
  <c r="J33" i="80"/>
  <c r="L10" i="25"/>
  <c r="L45" i="11"/>
  <c r="L73" i="11"/>
  <c r="L43" i="11"/>
  <c r="L34" i="14"/>
  <c r="L28" i="16"/>
  <c r="E89" i="198" s="1"/>
  <c r="L38" i="17"/>
  <c r="I39" i="54"/>
  <c r="N35" i="11"/>
  <c r="L6" i="17"/>
  <c r="L17" i="17"/>
  <c r="E50" i="198"/>
  <c r="L11" i="9"/>
  <c r="L12" i="9"/>
  <c r="L31" i="9"/>
  <c r="L7" i="9" s="1"/>
  <c r="I14" i="39"/>
  <c r="I15" i="39" s="1"/>
  <c r="L34" i="7"/>
  <c r="L5" i="7"/>
  <c r="J30" i="80"/>
  <c r="E103" i="198"/>
  <c r="H16" i="82"/>
  <c r="H14" i="82" s="1"/>
  <c r="H30" i="82" s="1"/>
  <c r="L35" i="17" l="1"/>
  <c r="J51" i="80"/>
  <c r="L18" i="17"/>
  <c r="L51" i="16"/>
  <c r="L41" i="16" s="1"/>
  <c r="L71" i="11"/>
  <c r="L35" i="11"/>
  <c r="L33" i="14"/>
  <c r="N44" i="11"/>
  <c r="I41" i="54"/>
  <c r="K39" i="81" s="1"/>
  <c r="I23" i="54"/>
  <c r="E78" i="198"/>
  <c r="L46" i="11"/>
  <c r="L11" i="16"/>
  <c r="L69" i="11"/>
  <c r="F24" i="82"/>
  <c r="L35" i="14"/>
  <c r="L16" i="14" s="1"/>
  <c r="L74" i="11"/>
  <c r="L63" i="11"/>
  <c r="L10" i="17"/>
  <c r="L21" i="17"/>
  <c r="L68" i="11"/>
  <c r="J38" i="80"/>
  <c r="E108" i="198"/>
  <c r="L30" i="9"/>
  <c r="L6" i="9" s="1"/>
  <c r="L33" i="7"/>
  <c r="I16" i="82"/>
  <c r="E104" i="198"/>
  <c r="E119" i="198"/>
  <c r="E131" i="198"/>
  <c r="L39" i="25" l="1"/>
  <c r="L12" i="25" s="1"/>
  <c r="L63" i="14"/>
  <c r="L7" i="17"/>
  <c r="E114" i="198"/>
  <c r="E109" i="198"/>
  <c r="L52" i="11"/>
  <c r="L41" i="25" s="1"/>
  <c r="L65" i="11"/>
  <c r="G24" i="82"/>
  <c r="L10" i="16"/>
  <c r="L67" i="11"/>
  <c r="F22" i="82"/>
  <c r="L75" i="11"/>
  <c r="L70" i="11"/>
  <c r="L36" i="14"/>
  <c r="L17" i="14" s="1"/>
  <c r="L15" i="14" s="1"/>
  <c r="F21" i="82"/>
  <c r="E21" i="82" s="1"/>
  <c r="D21" i="82" s="1"/>
  <c r="I21" i="82" s="1"/>
  <c r="J52" i="80" l="1"/>
  <c r="L36" i="17"/>
  <c r="L27" i="15"/>
  <c r="L14" i="14"/>
  <c r="L43" i="16"/>
  <c r="L44" i="16" s="1"/>
  <c r="L13" i="16"/>
  <c r="G25" i="82"/>
  <c r="E25" i="82" s="1"/>
  <c r="F20" i="82"/>
  <c r="F14" i="82" s="1"/>
  <c r="F28" i="82" s="1"/>
  <c r="F30" i="82" s="1"/>
  <c r="L53" i="11"/>
  <c r="L13" i="25"/>
  <c r="J39" i="80" s="1"/>
  <c r="E106" i="198" s="1"/>
  <c r="D24" i="82"/>
  <c r="L42" i="25" l="1"/>
  <c r="L14" i="25" s="1"/>
  <c r="J36" i="80" s="1"/>
  <c r="E107" i="198" s="1"/>
  <c r="J53" i="80"/>
  <c r="J44" i="80"/>
  <c r="L37" i="17"/>
  <c r="E86" i="198"/>
  <c r="L46" i="16"/>
  <c r="I24" i="82"/>
  <c r="D25" i="82"/>
  <c r="I25" i="82" s="1"/>
  <c r="E22" i="82"/>
  <c r="E20" i="82" s="1"/>
  <c r="L19" i="17"/>
  <c r="L8" i="17"/>
  <c r="L26" i="15"/>
  <c r="L21" i="14"/>
  <c r="L29" i="15" s="1"/>
  <c r="L20" i="14"/>
  <c r="L28" i="15" s="1"/>
  <c r="G22" i="82"/>
  <c r="G20" i="82" s="1"/>
  <c r="G14" i="82" s="1"/>
  <c r="G28" i="82" s="1"/>
  <c r="G30" i="82" s="1"/>
  <c r="L8" i="15" l="1"/>
  <c r="L57" i="14"/>
  <c r="L9" i="15"/>
  <c r="L58" i="14"/>
  <c r="D22" i="82"/>
  <c r="I22" i="82" s="1"/>
  <c r="L7" i="15"/>
  <c r="L18" i="15"/>
  <c r="L11" i="15"/>
  <c r="L9" i="17"/>
  <c r="E87" i="198" s="1"/>
  <c r="L20" i="17"/>
  <c r="L24" i="17"/>
  <c r="D20" i="82"/>
  <c r="E14" i="82"/>
  <c r="E137" i="198"/>
  <c r="E116" i="198"/>
  <c r="E113" i="198"/>
  <c r="E126" i="198"/>
  <c r="L10" i="15" l="1"/>
  <c r="J40" i="80"/>
  <c r="E110" i="198" s="1"/>
  <c r="I20" i="82"/>
  <c r="D14" i="82"/>
  <c r="D28" i="82" l="1"/>
  <c r="I14" i="82"/>
  <c r="D30" i="82" l="1"/>
  <c r="E28" i="82"/>
  <c r="E30" i="82" s="1"/>
  <c r="I28" i="82"/>
  <c r="I30" i="8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I28" authorId="0" shapeId="0" xr:uid="{00000000-0006-0000-0300-000001000000}">
      <text>
        <r>
          <rPr>
            <b/>
            <sz val="9"/>
            <color indexed="81"/>
            <rFont val="Tahoma"/>
            <family val="2"/>
          </rPr>
          <t>abaldini:</t>
        </r>
        <r>
          <rPr>
            <sz val="9"/>
            <color indexed="81"/>
            <rFont val="Tahoma"/>
            <family val="2"/>
          </rPr>
          <t xml:space="preserve">
initially you set GDP deflator equal to CPI inflation </t>
        </r>
      </text>
    </comment>
    <comment ref="K36" authorId="0" shapeId="0" xr:uid="{00000000-0006-0000-0300-000002000000}">
      <text>
        <r>
          <rPr>
            <b/>
            <sz val="9"/>
            <color indexed="81"/>
            <rFont val="Tahoma"/>
            <family val="2"/>
          </rPr>
          <t>abaldini:</t>
        </r>
        <r>
          <rPr>
            <sz val="9"/>
            <color indexed="81"/>
            <rFont val="Tahoma"/>
            <family val="2"/>
          </rPr>
          <t xml:space="preserve">
for the baseline it has to be equal to +2%
for the adjustment equal to -1%</t>
        </r>
      </text>
    </comment>
    <comment ref="C43" authorId="0" shapeId="0" xr:uid="{00000000-0006-0000-0300-000003000000}">
      <text>
        <r>
          <rPr>
            <b/>
            <sz val="9"/>
            <color indexed="81"/>
            <rFont val="Tahoma"/>
            <family val="2"/>
          </rPr>
          <t>abaldini:</t>
        </r>
        <r>
          <rPr>
            <sz val="9"/>
            <color indexed="81"/>
            <rFont val="Tahoma"/>
            <family val="2"/>
          </rPr>
          <t xml:space="preserve">
this historical  discrepancy between the two deflators creates a base effect for the deflator discrepancy in 2014, espeially when the large fiscal stimulus increases the public C share of GDP.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Caroline </author>
  </authors>
  <commentList>
    <comment ref="L36" authorId="0" shapeId="0" xr:uid="{00000000-0006-0000-0800-000001000000}">
      <text>
        <r>
          <rPr>
            <sz val="9"/>
            <color indexed="81"/>
            <rFont val="Tahoma"/>
            <family val="2"/>
          </rPr>
          <t>assumed 40% of the total (roughly based on IIP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A9" authorId="0" shapeId="0" xr:uid="{00000000-0006-0000-0E00-000001000000}">
      <text>
        <r>
          <rPr>
            <b/>
            <sz val="9"/>
            <color indexed="81"/>
            <rFont val="Tahoma"/>
            <family val="2"/>
          </rPr>
          <t>abaldini:</t>
        </r>
        <r>
          <rPr>
            <sz val="9"/>
            <color indexed="81"/>
            <rFont val="Tahoma"/>
            <family val="2"/>
          </rPr>
          <t xml:space="preserve">
</t>
        </r>
      </text>
    </comment>
    <comment ref="I40" authorId="0" shapeId="0" xr:uid="{00000000-0006-0000-0E00-000002000000}">
      <text>
        <r>
          <rPr>
            <b/>
            <sz val="9"/>
            <color indexed="81"/>
            <rFont val="Tahoma"/>
            <family val="2"/>
          </rPr>
          <t>abaldini:</t>
        </r>
        <r>
          <rPr>
            <sz val="9"/>
            <color indexed="81"/>
            <rFont val="Tahoma"/>
            <family val="2"/>
          </rPr>
          <t xml:space="preserve">
INITIAL ASSUMPTION FOR IBR (LAST YEAR) THEN REVISIT AND MAKE IT EQUAL TO 2014 FORECAST (see Taylor rule cell D9-F9)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I16" authorId="0" shapeId="0" xr:uid="{00000000-0006-0000-1000-000001000000}">
      <text>
        <r>
          <rPr>
            <b/>
            <sz val="9"/>
            <color indexed="81"/>
            <rFont val="Tahoma"/>
            <family val="2"/>
          </rPr>
          <t>abaldini:</t>
        </r>
        <r>
          <rPr>
            <sz val="9"/>
            <color indexed="81"/>
            <rFont val="Tahoma"/>
            <family val="2"/>
          </rPr>
          <t xml:space="preserve">
INITIAL ASSUMPTION FOR IBR (LAST YEAR) THEN YOU'LL REVISE ONCE WE HAVE THE 2014 FORECAST OF INTEREST RATE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Jose Martin Romero Cuevas</author>
  </authors>
  <commentList>
    <comment ref="C16" authorId="0" shapeId="0" xr:uid="{2C341B27-E2A5-4106-8ED1-AB75987B0D3E}">
      <text>
        <r>
          <rPr>
            <b/>
            <sz val="9"/>
            <color indexed="81"/>
            <rFont val="Tahoma"/>
            <family val="2"/>
          </rPr>
          <t>Jose Martin Romero Cuevas:</t>
        </r>
        <r>
          <rPr>
            <sz val="9"/>
            <color indexed="81"/>
            <rFont val="Tahoma"/>
            <family val="2"/>
          </rPr>
          <t xml:space="preserve">
Se requiere proyectar inflación de socios comerciales</t>
        </r>
      </text>
    </comment>
    <comment ref="L18" authorId="0" shapeId="0" xr:uid="{FF16E1C7-DCBD-4880-8EC3-70B68E473C67}">
      <text>
        <r>
          <rPr>
            <b/>
            <sz val="9"/>
            <color indexed="81"/>
            <rFont val="Tahoma"/>
            <family val="2"/>
          </rPr>
          <t>Jose Martin Romero Cuevas:</t>
        </r>
        <r>
          <rPr>
            <sz val="9"/>
            <color indexed="81"/>
            <rFont val="Tahoma"/>
            <family val="2"/>
          </rPr>
          <t xml:space="preserve">
Se requiere modelo de elasticidad respecto producto y precios de importaciones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I12" authorId="0" shapeId="0" xr:uid="{00000000-0006-0000-1500-000001000000}">
      <text>
        <r>
          <rPr>
            <b/>
            <sz val="9"/>
            <color indexed="81"/>
            <rFont val="Tahoma"/>
            <family val="2"/>
          </rPr>
          <t>abaldini:</t>
        </r>
        <r>
          <rPr>
            <sz val="9"/>
            <color indexed="81"/>
            <rFont val="Tahoma"/>
            <family val="2"/>
          </rPr>
          <t xml:space="preserve">
to avoid circularity, compute this cell by equalling cell I13 to cell I15 (use goal seek or manual iterations)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C23" authorId="0" shapeId="0" xr:uid="{00000000-0006-0000-1800-000001000000}">
      <text>
        <r>
          <rPr>
            <b/>
            <sz val="9"/>
            <color indexed="81"/>
            <rFont val="Tahoma"/>
            <family val="2"/>
          </rPr>
          <t>abaldini:</t>
        </r>
        <r>
          <rPr>
            <sz val="9"/>
            <color indexed="81"/>
            <rFont val="Tahoma"/>
            <family val="2"/>
          </rPr>
          <t xml:space="preserve">
see formula 3 in the IMF technical note (reported on the right). Trend revenues comove with trend output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L20" authorId="0" shapeId="0" xr:uid="{00000000-0006-0000-1A00-000001000000}">
      <text>
        <r>
          <rPr>
            <b/>
            <sz val="9"/>
            <color indexed="81"/>
            <rFont val="Tahoma"/>
            <family val="2"/>
          </rPr>
          <t>abaldini:</t>
        </r>
        <r>
          <rPr>
            <sz val="9"/>
            <color indexed="81"/>
            <rFont val="Tahoma"/>
            <family val="2"/>
          </rPr>
          <t xml:space="preserve">
INITIAL ASSUMPTION FOR IBR (LAST YEAR) THEN REVISIT AND MAKE IT EQUAL TO 2014 FORECAST (MD!G33)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abaldini</author>
    <author xml:space="preserve">Caroline </author>
  </authors>
  <commentList>
    <comment ref="K40" authorId="0" shapeId="0" xr:uid="{00000000-0006-0000-1C00-000001000000}">
      <text>
        <r>
          <rPr>
            <b/>
            <sz val="9"/>
            <color indexed="81"/>
            <rFont val="Tahoma"/>
            <family val="2"/>
          </rPr>
          <t>abaldini:</t>
        </r>
        <r>
          <rPr>
            <sz val="9"/>
            <color indexed="81"/>
            <rFont val="Tahoma"/>
            <family val="2"/>
          </rPr>
          <t xml:space="preserve">
initial assumption</t>
        </r>
      </text>
    </comment>
    <comment ref="I41" authorId="1" shapeId="0" xr:uid="{00000000-0006-0000-1C00-000002000000}">
      <text>
        <r>
          <rPr>
            <sz val="9"/>
            <color indexed="81"/>
            <rFont val="Tahoma"/>
            <family val="2"/>
          </rPr>
          <t>Set to zero by changing cell above (use goal-seek)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apopescu</author>
  </authors>
  <commentList>
    <comment ref="C30" authorId="0" shapeId="0" xr:uid="{00000000-0006-0000-1D00-000001000000}">
      <text>
        <r>
          <rPr>
            <b/>
            <sz val="9"/>
            <color indexed="81"/>
            <rFont val="Tahoma"/>
            <family val="2"/>
          </rPr>
          <t xml:space="preserve">These are bonds issued by the Central Bank to regulate the money supply in the economy (withdraw liquidity). Relatively unusual, the Central Bank of Macronia allows any investor to purchase these bonds issued directly by the bank.  </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xml:space="preserve">Caroline </author>
    <author>abaldini</author>
  </authors>
  <commentList>
    <comment ref="F33" authorId="0" shapeId="0" xr:uid="{00000000-0006-0000-1F00-000001000000}">
      <text>
        <r>
          <rPr>
            <b/>
            <sz val="9"/>
            <color indexed="81"/>
            <rFont val="Tahoma"/>
            <family val="2"/>
          </rPr>
          <t>Inflation forecast from the Phillips Curve</t>
        </r>
      </text>
    </comment>
    <comment ref="H33" authorId="1" shapeId="0" xr:uid="{00000000-0006-0000-1F00-000002000000}">
      <text>
        <r>
          <rPr>
            <b/>
            <sz val="9"/>
            <color indexed="81"/>
            <rFont val="Tahoma"/>
            <family val="2"/>
          </rPr>
          <t>abaldini:</t>
        </r>
        <r>
          <rPr>
            <sz val="9"/>
            <color indexed="81"/>
            <rFont val="Tahoma"/>
            <family val="2"/>
          </rPr>
          <t xml:space="preserve">
initial assumption of IBR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abaldini</author>
  </authors>
  <commentList>
    <comment ref="D9" authorId="0" shapeId="0" xr:uid="{00000000-0006-0000-2000-000001000000}">
      <text>
        <r>
          <rPr>
            <b/>
            <sz val="9"/>
            <color indexed="81"/>
            <rFont val="Tahoma"/>
            <family val="2"/>
          </rPr>
          <t>abaldini:</t>
        </r>
        <r>
          <rPr>
            <sz val="9"/>
            <color indexed="81"/>
            <rFont val="Tahoma"/>
            <family val="2"/>
          </rPr>
          <t xml:space="preserve">
initial assumption for CB policy rate is 8.9 like in 2013 until the monetary sector module - then the Taylor comes 'alive' and this cell is et equal to cell E9</t>
        </r>
      </text>
    </comment>
  </commentList>
</comments>
</file>

<file path=xl/sharedStrings.xml><?xml version="1.0" encoding="utf-8"?>
<sst xmlns="http://schemas.openxmlformats.org/spreadsheetml/2006/main" count="2073" uniqueCount="1233">
  <si>
    <t xml:space="preserve">USE ESTA HOJA PARA LLEVAR UN REGISTRO DE LAS RESPUESTAS QUE INGRESARÁ EN EL PORTAL DEL CURSO EDX.ORG </t>
  </si>
  <si>
    <t>RESPUESTA</t>
  </si>
  <si>
    <t>Proyección actual</t>
  </si>
  <si>
    <t>supuestos de ronda inicial/solución</t>
  </si>
  <si>
    <t>Módulo 03</t>
  </si>
  <si>
    <t>SECTOR REAL, INFLACIÓN Y DEFLACTOR DEL PIB</t>
  </si>
  <si>
    <t>crecimiento del PIB real</t>
  </si>
  <si>
    <t>tasa de interés nominal de política monetaria (igual a la del año previo) fijada en la regla de Taylor</t>
  </si>
  <si>
    <t>tasa de interés real de política monetaria (igual a la del año previo)</t>
  </si>
  <si>
    <t>tasa de interés nominal interbancaria (igual a la del año previo) en función de inversión</t>
  </si>
  <si>
    <t xml:space="preserve"> tasa de interés nominal interbancaria (igual a la del año previo) en tasa de interés de sector gob.</t>
  </si>
  <si>
    <t xml:space="preserve"> tasa de interés nominal interbancaria (igual a la del año previo) en función de demanda de dinero</t>
  </si>
  <si>
    <t xml:space="preserve"> TC nominal (promedio)</t>
  </si>
  <si>
    <t xml:space="preserve"> índice del tipo de cambio real </t>
  </si>
  <si>
    <t>Pronosticar producto potencial</t>
  </si>
  <si>
    <t>Pronosticar PIB real</t>
  </si>
  <si>
    <t>Pronosticar BRECHA DEL PRODUCTO en porcentaje del producto potencial (porcentaje)</t>
  </si>
  <si>
    <t>PRONOSTICAR NIVEL DE CONSUMO REAL (usando proporción del PIB según método simplista)</t>
  </si>
  <si>
    <t>PRONOSTICAR NIVEL DE DE CONSUMO REAL (usando modelo de corrección de errores del método de regresión y parámetro a corto plazo)</t>
  </si>
  <si>
    <t>PRONOSTICAR NIVEL DE INVERSIÓN PRIVADA REAL (usando proporción del PIB según método simplista)</t>
  </si>
  <si>
    <t>PRONOSTICAR NIVEL DE INVERSIÓN PRIVADA REAL (usando método de regresión) y basado en supuesto inicial de tasa de interés</t>
  </si>
  <si>
    <t xml:space="preserve">    Supuesto de tasa de interés real</t>
  </si>
  <si>
    <t>PRONOSTICAR INFLACIÓN (con curva de Phillips)</t>
  </si>
  <si>
    <t>Usar la ecuación de Phillips para pronosticar la inflación con brecha del producto=2% y brecha del TCR=2,65%</t>
  </si>
  <si>
    <t xml:space="preserve">    Supuesto de brecha del TCR (basado en supuesto inicial de tasa de interés real)</t>
  </si>
  <si>
    <t xml:space="preserve">    Supuesto: fijar crecimiento inicial de deflactor del PIB igual a la inflación de base</t>
  </si>
  <si>
    <t xml:space="preserve">    Dado el deflactor del PIB en 2013</t>
  </si>
  <si>
    <t>Pronosticar PIB nominal inicial (usando fórmula)</t>
  </si>
  <si>
    <t>PIB real</t>
  </si>
  <si>
    <t>Brecha del producto</t>
  </si>
  <si>
    <t>Inflación media</t>
  </si>
  <si>
    <t>Módulo 04</t>
  </si>
  <si>
    <t>SECTOR EXTERNO</t>
  </si>
  <si>
    <t>SEMANA 3</t>
  </si>
  <si>
    <t>Pronosticar nivel TCR para 2014</t>
  </si>
  <si>
    <t xml:space="preserve">Pronosticar nivel del TC nominal Macronia/USD </t>
  </si>
  <si>
    <t>Pronosticar de variación de TCN para 2014</t>
  </si>
  <si>
    <t>PRONOSTICAR VARIACIÓN DE PRECIO RELATIVO DE IMPORTACIONES</t>
  </si>
  <si>
    <t>PRONOSTICAR VARIACIÓN DE VOLUMEN DE IMPORTACIONES REALES</t>
  </si>
  <si>
    <t>PRONOSTICAR VARIACIÓN DE PRECIO RELATIVO DE EXPORTACIONES</t>
  </si>
  <si>
    <t>PRONOSTICAR VARIACIÓN DE VOLUMEN DE EXPORTACIONES REALES</t>
  </si>
  <si>
    <t>Pronosticar exportaciones nominales en miles de millones de USD</t>
  </si>
  <si>
    <t>Pronosticar importaciones nominales en miles de millones de USD</t>
  </si>
  <si>
    <t xml:space="preserve">SERVICIOS DE CRÉDITO </t>
  </si>
  <si>
    <t>SERVICIOS DE DÉBITO</t>
  </si>
  <si>
    <t>PAGOS DE INTERESES SOBRE DEUDA EXT.</t>
  </si>
  <si>
    <t>SALDO DE INGRESO SECUNDARIO</t>
  </si>
  <si>
    <t>CUENTA FINANCIERA Inversiones directas en millones de USD</t>
  </si>
  <si>
    <t>pronosticar Otra inversión de cartera (neta)</t>
  </si>
  <si>
    <t>cuenta externa SEFI - cuenta corriente</t>
  </si>
  <si>
    <t>cuenta externa SEFI - cuenta financiera</t>
  </si>
  <si>
    <t>cuenta externa SEFI - variación de reservas</t>
  </si>
  <si>
    <t>activos de reserva en meses de importaciones</t>
  </si>
  <si>
    <t>Módulo 05</t>
  </si>
  <si>
    <t>SECTOR GOBIERNO</t>
  </si>
  <si>
    <t>SEMANA 4</t>
  </si>
  <si>
    <t>ingresar el estímulo fiscal en el gobierno (en porcentaje del producto potencial y con respecto a 2013)</t>
  </si>
  <si>
    <t>Ingresos</t>
  </si>
  <si>
    <t>pronosticar ingresos por renta usando TEI</t>
  </si>
  <si>
    <t>pronosticar ingresos por bienes y servicios usando TEI</t>
  </si>
  <si>
    <t>pronosticar ingresos por impuestos internacionales usando TEI</t>
  </si>
  <si>
    <t>pronosticar otros impuestos usando TEI (usar PIB nominal como variable representativa de la base tributaria)</t>
  </si>
  <si>
    <t>¿cuál es el ingreso tributario total en 2014 según TIE (sumar los componentes individuales)?</t>
  </si>
  <si>
    <t>pronosticar ingresos por renta usando capacidad de reacción</t>
  </si>
  <si>
    <t>pronosticar ingresos por bienes y servicios usando capacidad de reacción</t>
  </si>
  <si>
    <t>pronosticar ingresos por impuestos internacionales usando capacidad de reacción</t>
  </si>
  <si>
    <t>pronosticar otros impuestos usando capacidad de reacción (usar PIB nominal como variable representativa de la base tributaria)</t>
  </si>
  <si>
    <t>¿cuál es el ingreso tributario total en 2014 según la capacidad de reacción (sumar los componentes individuales)?</t>
  </si>
  <si>
    <t>pronosticar ingreso totales (sumar: impuestos, contribuciones sociales, donaciones y otros ingresos)</t>
  </si>
  <si>
    <t xml:space="preserve">Gastos </t>
  </si>
  <si>
    <t>pronosticar remuneración de empleados (conforma crecimiento de PIB nominal)</t>
  </si>
  <si>
    <t>pronosticar uso de bienes y servicios</t>
  </si>
  <si>
    <t>pronosticar consumo de capital fijo</t>
  </si>
  <si>
    <t>pronosticar subsidios</t>
  </si>
  <si>
    <t>pronosticar donaciones</t>
  </si>
  <si>
    <t>pronosticar prestaciones sociales</t>
  </si>
  <si>
    <t>pronosticar «Adquisición de activos no financieros»</t>
  </si>
  <si>
    <t>pronosticar adquisición neta de activos no financieros</t>
  </si>
  <si>
    <t>pronosticar pagos de intereses por deuda externa (en miles de millones de moneda nacional)</t>
  </si>
  <si>
    <t>calcular RON</t>
  </si>
  <si>
    <t>pronosticar pagos de intereses por deuda interna</t>
  </si>
  <si>
    <t>calcular financiamiento</t>
  </si>
  <si>
    <t>Módulo 06</t>
  </si>
  <si>
    <t>SECTOR MONETARIO</t>
  </si>
  <si>
    <t>CORRIENTE</t>
  </si>
  <si>
    <t>SEMANA 5</t>
  </si>
  <si>
    <t>pronosticar tasa de política monetaria para 2014 usando regla de Taylor</t>
  </si>
  <si>
    <t>calcular logaritmo de demanda de dinero real (ln M3R) para 2014 (redondeado a un punto decimal):</t>
  </si>
  <si>
    <t>calcular la velocidad de circulación para 2014 (redondeada a un punto decimal):</t>
  </si>
  <si>
    <t xml:space="preserve">calcular AEN al final de 2014 (en miles de millones de moneda nacional) </t>
  </si>
  <si>
    <t xml:space="preserve">calcular Otras partidas netas al final de 2014 (en miles de millones de moneda nacional) </t>
  </si>
  <si>
    <t>calcular crédito al sector privado</t>
  </si>
  <si>
    <t>crecimiento del crédito al sector privado</t>
  </si>
  <si>
    <t>dinero de reserva en 2014</t>
  </si>
  <si>
    <t>activos del BC frente a otras sociedades de depósito</t>
  </si>
  <si>
    <t>pasivos del BC frente a otras sociedades de depósito.</t>
  </si>
  <si>
    <t xml:space="preserve">Módulo 07 </t>
  </si>
  <si>
    <t>ESCENARIO BASE</t>
  </si>
  <si>
    <t>SEMANA 6</t>
  </si>
  <si>
    <t>Sector real e inflación  (variación porcentual anual, salvo especificación)</t>
  </si>
  <si>
    <t>Brecha del producto (porcentaje del PIB potencial)</t>
  </si>
  <si>
    <t xml:space="preserve">deflactor del PIB </t>
  </si>
  <si>
    <t>Índice de precios al consumidor (promedio)</t>
  </si>
  <si>
    <t>Tas de interés real (tasa interbancaria)</t>
  </si>
  <si>
    <t>Tipo de cambio (MN por USD, promedio) (- apreciación)</t>
  </si>
  <si>
    <t>Externo (en porcentaje del PIB, salvo especificación)</t>
  </si>
  <si>
    <t xml:space="preserve">    Saldo en cuenta corriente</t>
  </si>
  <si>
    <t xml:space="preserve">    Saldo en cuenta financiera y de capital</t>
  </si>
  <si>
    <t xml:space="preserve">    Activos de reserva (millones de USD)</t>
  </si>
  <si>
    <t xml:space="preserve">          En meses de importaciones (bienes y servicios)</t>
  </si>
  <si>
    <t>Finanzas públicas (en porcentaje del PIB, salvo especificación)</t>
  </si>
  <si>
    <t xml:space="preserve">    Saldo global </t>
  </si>
  <si>
    <t xml:space="preserve">    Saldo primario global</t>
  </si>
  <si>
    <t xml:space="preserve">    Saldo primario estructural (porcentaje del PIB potencial)</t>
  </si>
  <si>
    <t xml:space="preserve">    Impulso fiscal (expansivo +)</t>
  </si>
  <si>
    <t xml:space="preserve">    Deuda del gobierno general</t>
  </si>
  <si>
    <t>Sector monetario</t>
  </si>
  <si>
    <t xml:space="preserve">     Dinero en sentido amplio (crecimiento porcentual anual, f.d.p.)</t>
  </si>
  <si>
    <t xml:space="preserve">     Crédito al sector privado (variación porcentual anual)</t>
  </si>
  <si>
    <t>Impulso fiscal</t>
  </si>
  <si>
    <t>orientación monetaria (variación de tasa interbancaria real, + más restrictiva)</t>
  </si>
  <si>
    <t>orientación monetaria (variación de crédito al sector privado, - crédito más restrictivo)</t>
  </si>
  <si>
    <t xml:space="preserve">Módulo 10 </t>
  </si>
  <si>
    <t>SEMANA 7</t>
  </si>
  <si>
    <t>escenario con reservas internacionales iguales a cobertura de 3 meses de importaciones y estímulo fiscal revisado</t>
  </si>
  <si>
    <t>estímulo fiscal</t>
  </si>
  <si>
    <t>Variación del tipo de cambio real (en porcentaje)</t>
  </si>
  <si>
    <t>tasa de interés de política monetaria real interna (ver pestaña  TC nominal,  celda I40)</t>
  </si>
  <si>
    <t xml:space="preserve">Cuenta corriente en % del PIB </t>
  </si>
  <si>
    <t>tasa de inflación IPC media</t>
  </si>
  <si>
    <t>brecha del producto (en porcentaje del producto potencial)</t>
  </si>
  <si>
    <t>tasa de crecimiento del crédito al sector privado</t>
  </si>
  <si>
    <t>escenario con cobertura de reservas internacionales igual a 3 meses de importaciones, estímulo fiscal de base + meta de inflación más baja</t>
  </si>
  <si>
    <t>meta de inflación</t>
  </si>
  <si>
    <t>Activos de reserva (en meses de importaciones de bienes y servicios)</t>
  </si>
  <si>
    <t>Macronia: Indicadores económicos seleccionados, 2008-14</t>
  </si>
  <si>
    <t>Base:
2014</t>
  </si>
  <si>
    <t>(Variación porcentual anual, salvo especificación)</t>
  </si>
  <si>
    <t>Ingreso nacional y precios</t>
  </si>
  <si>
    <t>Brecha del PIB (porcentaje del PIB potencial)</t>
  </si>
  <si>
    <t xml:space="preserve">Deflactor del PIB </t>
  </si>
  <si>
    <t>Índice de precios al consumidor (fin del período)</t>
  </si>
  <si>
    <t>Tasa de interés real (tasa interbancaria)</t>
  </si>
  <si>
    <t>Sector externo</t>
  </si>
  <si>
    <t xml:space="preserve">Exportación de bienes y servicios (variación de volumen)  </t>
  </si>
  <si>
    <t>Exportación de bienes y servicios (variación de precios)</t>
  </si>
  <si>
    <t xml:space="preserve">Importación de bienes y servicios (variación de volumen)  </t>
  </si>
  <si>
    <t>Importación de bienes y servicios (variación de precios)</t>
  </si>
  <si>
    <t>Términos de intercambio (positivos -)</t>
  </si>
  <si>
    <t>Tipo de cambio (MN por USD, fin del período)</t>
  </si>
  <si>
    <t>Tipo de cambio real (bilateral MN/USD) (- apreciación)</t>
  </si>
  <si>
    <t>…</t>
  </si>
  <si>
    <t>(En porcentaje del PIB, salvo indicación en contrario)</t>
  </si>
  <si>
    <r>
      <rPr>
        <sz val="11"/>
        <color theme="1"/>
        <rFont val="Calibri"/>
        <family val="2"/>
        <scheme val="minor"/>
      </rPr>
      <t xml:space="preserve">        </t>
    </r>
    <r>
      <rPr>
        <i/>
        <sz val="11"/>
        <color rgb="FF000000"/>
        <rFont val="Calibri"/>
        <family val="2"/>
        <scheme val="minor"/>
      </rPr>
      <t>Del cual:</t>
    </r>
    <r>
      <rPr>
        <sz val="11"/>
        <color rgb="FF000000"/>
        <rFont val="Calibri"/>
        <family val="2"/>
        <scheme val="minor"/>
      </rPr>
      <t xml:space="preserve"> </t>
    </r>
    <r>
      <rPr>
        <sz val="11"/>
        <color rgb="FF000000"/>
        <rFont val="Calibri"/>
        <family val="2"/>
        <scheme val="minor"/>
      </rPr>
      <t>Saldo comercial</t>
    </r>
  </si>
  <si>
    <t xml:space="preserve">   Variación de activos de reserva (millones de USD, aumento +)</t>
  </si>
  <si>
    <r>
      <rPr>
        <sz val="11"/>
        <color theme="1"/>
        <rFont val="Calibri"/>
        <family val="2"/>
        <scheme val="minor"/>
      </rPr>
      <t xml:space="preserve">      </t>
    </r>
    <r>
      <rPr>
        <i/>
        <sz val="11"/>
        <color rgb="FF000000"/>
        <rFont val="Calibri"/>
        <family val="2"/>
        <scheme val="minor"/>
      </rPr>
      <t>de los cuales:</t>
    </r>
    <r>
      <rPr>
        <sz val="11"/>
        <color rgb="FF000000"/>
        <rFont val="Calibri"/>
        <family val="2"/>
        <scheme val="minor"/>
      </rPr>
      <t xml:space="preserve"> </t>
    </r>
    <r>
      <rPr>
        <sz val="11"/>
        <color rgb="FF000000"/>
        <rFont val="Calibri"/>
        <family val="2"/>
        <scheme val="minor"/>
      </rPr>
      <t>Financiamiento del FMI (programa)</t>
    </r>
  </si>
  <si>
    <t>...</t>
  </si>
  <si>
    <t>Finanzas públicas</t>
  </si>
  <si>
    <t>(En porcentaje del PIB)</t>
  </si>
  <si>
    <t xml:space="preserve">    Ingreso</t>
  </si>
  <si>
    <t xml:space="preserve">    Gasto</t>
  </si>
  <si>
    <t xml:space="preserve">    del cual Gastos primarios</t>
  </si>
  <si>
    <t xml:space="preserve">     Velocidad (PIB/promedio dinero en sentido amplio)</t>
  </si>
  <si>
    <t xml:space="preserve">     Tasa de política monetaria (porcentaje; fin de período)</t>
  </si>
  <si>
    <t xml:space="preserve">    Tasa interbancaria (promedio, en porcentaje)</t>
  </si>
  <si>
    <t>(Contribuciones al crecimiento del dinero en sentido amplio)</t>
  </si>
  <si>
    <t xml:space="preserve">      Activos externos netos (sociedades de depósito)</t>
  </si>
  <si>
    <t xml:space="preserve">      Crédito interno neto (sociedades de depósito) </t>
  </si>
  <si>
    <t xml:space="preserve">          Del cual: derechos netos frente al sector público</t>
  </si>
  <si>
    <t xml:space="preserve">          Del cual: derechos netos frente al resto del sector privado</t>
  </si>
  <si>
    <t xml:space="preserve">      Otras partidas (sociedades de depósito)</t>
  </si>
  <si>
    <t>Ahorro e inversión</t>
  </si>
  <si>
    <t>(En porcentaje del PIB, salvo especificación)</t>
  </si>
  <si>
    <t>Inversión</t>
  </si>
  <si>
    <t>Ahorro interno</t>
  </si>
  <si>
    <t>PIB a precios corrientes (miles de millones de moneda nacional)</t>
  </si>
  <si>
    <t>PIB a precios corrientes (miles de millones de USD)</t>
  </si>
  <si>
    <t>Fuente: Datos proporcionados por las autoridades de Macronia y estimaciones del personal técnico del FMI.</t>
  </si>
  <si>
    <t>Macronia:  PIB, coherencia de precios y volúmenes, 2014</t>
  </si>
  <si>
    <t>Pronóstico de base</t>
  </si>
  <si>
    <t>Valor (miles de millones de MN)</t>
  </si>
  <si>
    <r>
      <rPr>
        <sz val="11"/>
        <color theme="1"/>
        <rFont val="Calibri"/>
        <family val="2"/>
        <scheme val="minor"/>
      </rPr>
      <t xml:space="preserve">% </t>
    </r>
    <r>
      <rPr>
        <sz val="11"/>
        <color rgb="FF000000"/>
        <rFont val="Calibri"/>
        <family val="2"/>
        <scheme val="minor"/>
      </rPr>
      <t>Δ precio</t>
    </r>
  </si>
  <si>
    <r>
      <rPr>
        <sz val="11"/>
        <color theme="1"/>
        <rFont val="Calibri"/>
        <family val="2"/>
        <scheme val="minor"/>
      </rPr>
      <t xml:space="preserve">% </t>
    </r>
    <r>
      <rPr>
        <sz val="11"/>
        <color rgb="FF000000"/>
        <rFont val="Calibri"/>
        <family val="2"/>
        <scheme val="minor"/>
      </rPr>
      <t>Δ</t>
    </r>
  </si>
  <si>
    <t>proporción %</t>
  </si>
  <si>
    <t>a precios de '05</t>
  </si>
  <si>
    <t>a precios de '13</t>
  </si>
  <si>
    <t>USD</t>
  </si>
  <si>
    <t>MN/USD</t>
  </si>
  <si>
    <t>MN</t>
  </si>
  <si>
    <t>volumen</t>
  </si>
  <si>
    <t>a precios de '14</t>
  </si>
  <si>
    <t>del PIB</t>
  </si>
  <si>
    <t>[I]</t>
  </si>
  <si>
    <t>[II]</t>
  </si>
  <si>
    <t>[III]</t>
  </si>
  <si>
    <t>[IV]</t>
  </si>
  <si>
    <t>[V]= III*IV</t>
  </si>
  <si>
    <t>[VI]</t>
  </si>
  <si>
    <t>[VII]= I*VI</t>
  </si>
  <si>
    <t>[VIII]= VII*V</t>
  </si>
  <si>
    <t>[IX]</t>
  </si>
  <si>
    <t>Consumo</t>
  </si>
  <si>
    <t>. . .</t>
  </si>
  <si>
    <t xml:space="preserve"> Privado</t>
  </si>
  <si>
    <t xml:space="preserve"> Público</t>
  </si>
  <si>
    <t xml:space="preserve">   Gobierno general</t>
  </si>
  <si>
    <t xml:space="preserve">. . .  </t>
  </si>
  <si>
    <t xml:space="preserve">   Resto del sector público</t>
  </si>
  <si>
    <t>Discrepancia estadística</t>
  </si>
  <si>
    <t>PIB-suma de gastos</t>
  </si>
  <si>
    <t>PIB-proyección inicial</t>
  </si>
  <si>
    <t xml:space="preserve">  verificación</t>
  </si>
  <si>
    <t>Partida informativa:</t>
  </si>
  <si>
    <t xml:space="preserve">  Producto potencial (precios de 2005)</t>
  </si>
  <si>
    <t xml:space="preserve">  Demanda interna</t>
  </si>
  <si>
    <t xml:space="preserve">  Exportaciones netas</t>
  </si>
  <si>
    <t>Estímulo fiscal (en porcentaje del producto potencial, respecto a 2013)</t>
  </si>
  <si>
    <t>Proyección de brecha del tipo de cambio real pestaña TC nominal (verificar que sea igual a lo siguiente)</t>
  </si>
  <si>
    <t>Proyección de brecha del tipo de cambio real pestaña Inflación</t>
  </si>
  <si>
    <t>Endeudamiento interno (verificar=0 de Hoja Gob_exp_proy)</t>
  </si>
  <si>
    <t xml:space="preserve">NOTA </t>
  </si>
  <si>
    <t>Nivel deflactor 2013</t>
  </si>
  <si>
    <t>Deflactor del consumo (privado)</t>
  </si>
  <si>
    <t>Deflactor del consumo (público)</t>
  </si>
  <si>
    <t>Macronia: PIB nominal, 2006-14</t>
  </si>
  <si>
    <t>(en miles de millones de moneda nacional)</t>
  </si>
  <si>
    <t>Producto interno bruto, a precios corrientes</t>
  </si>
  <si>
    <t>PIB</t>
  </si>
  <si>
    <t>Consumo final</t>
  </si>
  <si>
    <t>Privado</t>
  </si>
  <si>
    <t>Público</t>
  </si>
  <si>
    <t>Formación bruta de capital fijo</t>
  </si>
  <si>
    <t>Privada</t>
  </si>
  <si>
    <t xml:space="preserve">Pública </t>
  </si>
  <si>
    <t>Variación de saldos</t>
  </si>
  <si>
    <t>Saldo externo</t>
  </si>
  <si>
    <t>Exportaciones de bienes y servicios</t>
  </si>
  <si>
    <t>Importaciones de bienes y servicios</t>
  </si>
  <si>
    <t>Ingreso nacional, absorción, ahorro y saldo ahorro-inversión</t>
  </si>
  <si>
    <t>Ingreso nacional bruto</t>
  </si>
  <si>
    <t>Ingreso nacional bruto disponible</t>
  </si>
  <si>
    <t>Absorción</t>
  </si>
  <si>
    <t>Ahorro nacional</t>
  </si>
  <si>
    <t>Saldo ahorro-inversión</t>
  </si>
  <si>
    <t xml:space="preserve">      Saldo en cuenta corriente (miles de millones MN)</t>
  </si>
  <si>
    <t>(en porcentaje del PIB)</t>
  </si>
  <si>
    <t>Indicadores  económicos seleccionados</t>
  </si>
  <si>
    <t>Otras partidas, de la balanza de pagos</t>
  </si>
  <si>
    <t>Saldo de ingreso primario</t>
  </si>
  <si>
    <t>Saldo de ingreso secundario</t>
  </si>
  <si>
    <t>PRODUCTO RESUMIDO</t>
  </si>
  <si>
    <t>Estadísticas de la regresión</t>
  </si>
  <si>
    <t>R múltiple</t>
  </si>
  <si>
    <t>R cuadrado</t>
  </si>
  <si>
    <t>R cuadrado ajustado</t>
  </si>
  <si>
    <t>Error estándar</t>
  </si>
  <si>
    <t>Observaciones</t>
  </si>
  <si>
    <t>ANOVA</t>
  </si>
  <si>
    <t>df</t>
  </si>
  <si>
    <t>SS</t>
  </si>
  <si>
    <t>MS</t>
  </si>
  <si>
    <t>F</t>
  </si>
  <si>
    <t>Significancia F</t>
  </si>
  <si>
    <t>Regresión</t>
  </si>
  <si>
    <t>Residuo</t>
  </si>
  <si>
    <t>Total</t>
  </si>
  <si>
    <t>Coeficiente</t>
  </si>
  <si>
    <t>Estadística t</t>
  </si>
  <si>
    <t>Valor P</t>
  </si>
  <si>
    <t>95% inferior</t>
  </si>
  <si>
    <t>95% superior</t>
  </si>
  <si>
    <t>95,0% inferior</t>
  </si>
  <si>
    <t>95,0% superior</t>
  </si>
  <si>
    <t>Ordenada en el origen</t>
  </si>
  <si>
    <t>X Variable 1</t>
  </si>
  <si>
    <t xml:space="preserve">Notación: </t>
  </si>
  <si>
    <t>RY</t>
  </si>
  <si>
    <t>ln RY</t>
  </si>
  <si>
    <t xml:space="preserve">Logaritmo natural del PIB real </t>
  </si>
  <si>
    <t>Tiempo</t>
  </si>
  <si>
    <t>Tendencia de tiempo</t>
  </si>
  <si>
    <t>LRY</t>
  </si>
  <si>
    <t>PIB real efectivo</t>
  </si>
  <si>
    <t>Log o PIB real</t>
  </si>
  <si>
    <t>Ajustado</t>
  </si>
  <si>
    <t>Observación</t>
  </si>
  <si>
    <t>LRY predicha</t>
  </si>
  <si>
    <t>Residuos</t>
  </si>
  <si>
    <t>serie original</t>
  </si>
  <si>
    <t>verificación</t>
  </si>
  <si>
    <t>Macronia: PIB real y crecimiento, 2008-14</t>
  </si>
  <si>
    <t>Producto interno bruto por gasto, a precios constantes de 2005</t>
  </si>
  <si>
    <t>Producto potencial</t>
  </si>
  <si>
    <t>Tasas de crecimiento</t>
  </si>
  <si>
    <t>Contribución al crecimiento del PIB</t>
  </si>
  <si>
    <t xml:space="preserve">    Consumo privado</t>
  </si>
  <si>
    <t xml:space="preserve">    Consumo público</t>
  </si>
  <si>
    <t xml:space="preserve">    Inversión privada</t>
  </si>
  <si>
    <t xml:space="preserve">    Inversión pública</t>
  </si>
  <si>
    <t>Brecha del producto, en porcentaje del producto potencial</t>
  </si>
  <si>
    <t>Tasa de interés real</t>
  </si>
  <si>
    <t xml:space="preserve">    Delta r</t>
  </si>
  <si>
    <t>Precio de las exportaciones</t>
  </si>
  <si>
    <t xml:space="preserve">  variación %</t>
  </si>
  <si>
    <t>Precio de las importaciones</t>
  </si>
  <si>
    <t xml:space="preserve">   variación %</t>
  </si>
  <si>
    <t>Tipo de cambio real</t>
  </si>
  <si>
    <t>r menos rbar</t>
  </si>
  <si>
    <t>rbar</t>
  </si>
  <si>
    <t>Macronia: Deflactor del PIB, 2006-12</t>
  </si>
  <si>
    <t>(tasa de crecimiento anual, porcentaje)</t>
  </si>
  <si>
    <t>Producto interno bruto por gasto, a precios corrientes</t>
  </si>
  <si>
    <t>Deflactor del PIB</t>
  </si>
  <si>
    <t>Macronia: Balanza de pagos, 2006-13</t>
  </si>
  <si>
    <t>(en millones dólares de EE.UU.)</t>
  </si>
  <si>
    <t>Cuenta corriente</t>
  </si>
  <si>
    <t>Bienes</t>
  </si>
  <si>
    <t>Crédito</t>
  </si>
  <si>
    <t>Débito</t>
  </si>
  <si>
    <t>Servicios</t>
  </si>
  <si>
    <t>Ingreso primario</t>
  </si>
  <si>
    <t>del cual: renta de inversión</t>
  </si>
  <si>
    <t xml:space="preserve">del cual: intereses </t>
  </si>
  <si>
    <t>Ingreso secundario</t>
  </si>
  <si>
    <t>Cuenta de capital</t>
  </si>
  <si>
    <t>Cuenta financiera: Préstamo neto (+)/endeudamiento neto (-)</t>
  </si>
  <si>
    <t xml:space="preserve">   Inversión directa</t>
  </si>
  <si>
    <t>Adquisición neta de activos</t>
  </si>
  <si>
    <t>Incurrimiento neto de pasivos</t>
  </si>
  <si>
    <t xml:space="preserve">    Inversión de cartera</t>
  </si>
  <si>
    <t xml:space="preserve">Adquisición neta de activos </t>
  </si>
  <si>
    <t xml:space="preserve">               Otros (neto)</t>
  </si>
  <si>
    <t xml:space="preserve">   Derivados financieros</t>
  </si>
  <si>
    <t xml:space="preserve">   Otra inversión</t>
  </si>
  <si>
    <r>
      <rPr>
        <sz val="11"/>
        <color theme="1"/>
        <rFont val="Calibri"/>
        <family val="2"/>
        <scheme val="minor"/>
      </rPr>
      <t xml:space="preserve">    </t>
    </r>
    <r>
      <rPr>
        <i/>
        <sz val="11"/>
        <color theme="1"/>
        <rFont val="Calibri"/>
        <family val="2"/>
        <scheme val="minor"/>
      </rPr>
      <t>del cual:</t>
    </r>
    <r>
      <rPr>
        <sz val="11"/>
        <color theme="1"/>
        <rFont val="Calibri"/>
        <family val="2"/>
        <scheme val="minor"/>
      </rPr>
      <t xml:space="preserve"> otras sociedades de depósito</t>
    </r>
  </si>
  <si>
    <r>
      <rPr>
        <sz val="11"/>
        <color theme="1"/>
        <rFont val="Calibri"/>
        <family val="2"/>
        <scheme val="minor"/>
      </rPr>
      <t xml:space="preserve">   </t>
    </r>
    <r>
      <rPr>
        <i/>
        <sz val="11"/>
        <color theme="1"/>
        <rFont val="Calibri"/>
        <family val="2"/>
        <scheme val="minor"/>
      </rPr>
      <t>del cual</t>
    </r>
    <r>
      <rPr>
        <sz val="11"/>
        <color theme="1"/>
        <rFont val="Calibri"/>
        <family val="2"/>
        <scheme val="minor"/>
      </rPr>
      <t>: gobierno general</t>
    </r>
  </si>
  <si>
    <t>Errores y omisiones netos</t>
  </si>
  <si>
    <t>Saldo global</t>
  </si>
  <si>
    <t>Activos de reserva (- = disminución)</t>
  </si>
  <si>
    <t>Financiamiento del FMI</t>
  </si>
  <si>
    <t>(en porcentaje del PIB, salvo indicación en contrario)</t>
  </si>
  <si>
    <t>Indicadores económicos seleccionados</t>
  </si>
  <si>
    <t>Saldo en cuenta corriente</t>
  </si>
  <si>
    <t>Saldo en cuenta de capital</t>
  </si>
  <si>
    <t>Saldo en cuenta financiera</t>
  </si>
  <si>
    <t xml:space="preserve">    Activos de reserva (millones de dólares de EE.UU.)</t>
  </si>
  <si>
    <t xml:space="preserve">    Activos de reserva (en meses de importaciones de bienes y servicios)</t>
  </si>
  <si>
    <t>Activos de reserva /((débito bienes + débito servicios)/12)</t>
  </si>
  <si>
    <t>Partida informativa</t>
  </si>
  <si>
    <t>PIB nominal en miles de millones de moneda local</t>
  </si>
  <si>
    <t>PIB nominal en miles de millones de dólares de EE.UU.</t>
  </si>
  <si>
    <t>Tipo de cambio, MN por USD, promedio del período</t>
  </si>
  <si>
    <t xml:space="preserve">Tipo de cambio, MN por USD, fin del período </t>
  </si>
  <si>
    <t>balanza comercial (en millones dólares de EE.UU.)</t>
  </si>
  <si>
    <t>balanza comercial (en millones porcentaje del PIB)</t>
  </si>
  <si>
    <t>Exportaciones/PIB (porcentaje)</t>
  </si>
  <si>
    <t>Importaciones/PIB (porcentaje)</t>
  </si>
  <si>
    <t>Apertura</t>
  </si>
  <si>
    <t>Macronia: Posición de inversión internacional, 2006-2012</t>
  </si>
  <si>
    <t>Posición de inversión internacional neta</t>
  </si>
  <si>
    <t>Activos</t>
  </si>
  <si>
    <t>Inversiones directas en el exterior</t>
  </si>
  <si>
    <t>Inversiones de cartera</t>
  </si>
  <si>
    <t>Derivados financieros</t>
  </si>
  <si>
    <t>Otras inversiones</t>
  </si>
  <si>
    <t>de las cuales: dinero y depósitos de sociedades de depósito</t>
  </si>
  <si>
    <t>Activos de reserva</t>
  </si>
  <si>
    <t>Pasivos</t>
  </si>
  <si>
    <t>Inversiones directas</t>
  </si>
  <si>
    <t>Participaciones de capital y participaciones en fondos de inversión</t>
  </si>
  <si>
    <t>Títulos de deuda</t>
  </si>
  <si>
    <t>de los cuales: Bonos del gobierno general</t>
  </si>
  <si>
    <t>de las cuales: instrumentos de deuda</t>
  </si>
  <si>
    <t>Banco central</t>
  </si>
  <si>
    <t>Otras sociedades de depósito</t>
  </si>
  <si>
    <t>Gobierno general</t>
  </si>
  <si>
    <t>Otros sectores</t>
  </si>
  <si>
    <t>Indicadores de saldos</t>
  </si>
  <si>
    <t>Partidas informativas</t>
  </si>
  <si>
    <t>PIB nominal, en millones de dólares de EE.UU.</t>
  </si>
  <si>
    <t>Macronia: Deuda externa, 2006-12</t>
  </si>
  <si>
    <t>Deuda externa total</t>
  </si>
  <si>
    <t>Deuda externa clasificada como inversiones directas</t>
  </si>
  <si>
    <t>Total a corto plazo</t>
  </si>
  <si>
    <t>Total a largo plazo</t>
  </si>
  <si>
    <t>Deuda a corto plazo en el vencimiento residual</t>
  </si>
  <si>
    <t xml:space="preserve">      Relación deuda a corto plazo/a largo plazo</t>
  </si>
  <si>
    <t>Macronia: Indicadores de saldos y de la deuda, 2006-12</t>
  </si>
  <si>
    <t>(en porcentaje, salvo indicación en contrario)</t>
  </si>
  <si>
    <t>PII neta/PIB</t>
  </si>
  <si>
    <t>Activos/PIB</t>
  </si>
  <si>
    <t>Pasivos/PIB</t>
  </si>
  <si>
    <t>Deuda/PIB</t>
  </si>
  <si>
    <t>Deuda/exportaciones de bienes y servicios.</t>
  </si>
  <si>
    <t>Servicio de la deuda/PIB</t>
  </si>
  <si>
    <t>Servicio de la deuda/exportaciones de bienes y servicios.</t>
  </si>
  <si>
    <t>Reservas, en meses de importaciones de bienes y servicios</t>
  </si>
  <si>
    <t xml:space="preserve">Reservas/deuda a corto plazo en el venc. res. </t>
  </si>
  <si>
    <t>Otros indicadores</t>
  </si>
  <si>
    <t>Tasa de interés implícita promedio de la deuda externa</t>
  </si>
  <si>
    <t>Vencimiento medio implícito de la deuda externa a largo plazo</t>
  </si>
  <si>
    <t>Tasa de refinanciamiento, deuda a largo plazo</t>
  </si>
  <si>
    <t>Exportaciones de bienes y servicios, de la BP</t>
  </si>
  <si>
    <t>Importaciones de bienes y servicios, de la BP</t>
  </si>
  <si>
    <t>Pagos de intereses, de la BP</t>
  </si>
  <si>
    <t>Desembolso total a largo plazo</t>
  </si>
  <si>
    <t>Amortización total a largo plazo</t>
  </si>
  <si>
    <t>Servicio de la deuda total</t>
  </si>
  <si>
    <t>Deuda externa a largo plazo total</t>
  </si>
  <si>
    <t>PIB real (miles de millones de moneda nacional, precios de 2005)</t>
  </si>
  <si>
    <t xml:space="preserve"> </t>
  </si>
  <si>
    <t>TENDENCIA</t>
  </si>
  <si>
    <t>Tendencia de tiempo (=1 en 1970, 2 en 1971, etc.)</t>
  </si>
  <si>
    <t>Macronia: Pronóstico del PIB real usando tasa de crecimiento tendencial estimada</t>
  </si>
  <si>
    <t>Año</t>
  </si>
  <si>
    <t>Crecimiento % RY</t>
  </si>
  <si>
    <t>Crecimiento tendencial aplicado al año previo</t>
  </si>
  <si>
    <t>Producto potencial (informe WEO)</t>
  </si>
  <si>
    <t>Brecha del producto (en %)</t>
  </si>
  <si>
    <t>Producto de regresión tendencial</t>
  </si>
  <si>
    <t>Ln(RY)= 7,674 + 0,040*(tendencia)</t>
  </si>
  <si>
    <r>
      <rPr>
        <b/>
        <sz val="11"/>
        <color theme="1"/>
        <rFont val="Calibri"/>
        <family val="2"/>
        <scheme val="minor"/>
      </rPr>
      <t>R</t>
    </r>
    <r>
      <rPr>
        <b/>
        <vertAlign val="superscript"/>
        <sz val="11"/>
        <color theme="1"/>
        <rFont val="Calibri"/>
        <family val="2"/>
        <scheme val="minor"/>
      </rPr>
      <t xml:space="preserve">2 </t>
    </r>
    <r>
      <rPr>
        <b/>
        <sz val="11"/>
        <color theme="1"/>
        <rFont val="Calibri"/>
        <family val="2"/>
        <scheme val="minor"/>
      </rPr>
      <t>= 0,988</t>
    </r>
  </si>
  <si>
    <t>obs: 43</t>
  </si>
  <si>
    <t>Coeficiente de tendencia</t>
  </si>
  <si>
    <r>
      <rPr>
        <b/>
        <sz val="11"/>
        <color theme="1"/>
        <rFont val="Calibri"/>
        <family val="2"/>
        <scheme val="minor"/>
      </rPr>
      <t>RY</t>
    </r>
    <r>
      <rPr>
        <b/>
        <vertAlign val="subscript"/>
        <sz val="11"/>
        <color theme="1"/>
        <rFont val="Calibri"/>
        <family val="2"/>
        <scheme val="minor"/>
      </rPr>
      <t>2012</t>
    </r>
    <r>
      <rPr>
        <b/>
        <sz val="11"/>
        <color theme="1"/>
        <rFont val="Calibri"/>
        <family val="2"/>
        <scheme val="minor"/>
      </rPr>
      <t>*(1+0,040), ver regresión</t>
    </r>
  </si>
  <si>
    <t>Macronia:  Pronóstico de crecimiento del PIB (en %)</t>
  </si>
  <si>
    <t xml:space="preserve">Pronóstico </t>
  </si>
  <si>
    <t>Metodología</t>
  </si>
  <si>
    <t>PRONÓSTICOS INICIALES</t>
  </si>
  <si>
    <t>Pronóstico suponiendo producto=evaluación de expertos</t>
  </si>
  <si>
    <t>Pronóstico suponiendo que producto crece según tasa de crecimiento tendencial</t>
  </si>
  <si>
    <t>(Coeficiente de regresión)*100</t>
  </si>
  <si>
    <t>Pronóstico según tasa de crecimiento media reciente</t>
  </si>
  <si>
    <r>
      <rPr>
        <sz val="11"/>
        <color theme="1"/>
        <rFont val="Calibri"/>
        <family val="2"/>
        <scheme val="minor"/>
      </rPr>
      <t>(((RY</t>
    </r>
    <r>
      <rPr>
        <vertAlign val="subscript"/>
        <sz val="11"/>
        <color theme="1"/>
        <rFont val="Calibri"/>
        <family val="2"/>
        <scheme val="minor"/>
      </rPr>
      <t>2013</t>
    </r>
    <r>
      <rPr>
        <sz val="11"/>
        <color theme="1"/>
        <rFont val="Calibri"/>
        <family val="2"/>
        <scheme val="minor"/>
      </rPr>
      <t>/RY</t>
    </r>
    <r>
      <rPr>
        <vertAlign val="subscript"/>
        <sz val="11"/>
        <color theme="1"/>
        <rFont val="Calibri"/>
        <family val="2"/>
        <scheme val="minor"/>
      </rPr>
      <t>2006</t>
    </r>
    <r>
      <rPr>
        <sz val="11"/>
        <color theme="1"/>
        <rFont val="Calibri"/>
        <family val="2"/>
        <scheme val="minor"/>
      </rPr>
      <t>)^(1/7))-1)*100</t>
    </r>
  </si>
  <si>
    <t>Pronóstico de crecimiento de se preferencia</t>
  </si>
  <si>
    <t>Pronóstico RY usando método preferido</t>
  </si>
  <si>
    <r>
      <rPr>
        <sz val="11"/>
        <color theme="1"/>
        <rFont val="Calibri"/>
        <family val="2"/>
        <scheme val="minor"/>
      </rPr>
      <t>RY</t>
    </r>
    <r>
      <rPr>
        <vertAlign val="subscript"/>
        <sz val="11"/>
        <color theme="1"/>
        <rFont val="Calibri"/>
        <family val="2"/>
        <scheme val="minor"/>
      </rPr>
      <t>2013</t>
    </r>
    <r>
      <rPr>
        <sz val="11"/>
        <color theme="1"/>
        <rFont val="Calibri"/>
        <family val="2"/>
        <scheme val="minor"/>
      </rPr>
      <t>*(1+g/100)</t>
    </r>
  </si>
  <si>
    <r>
      <rPr>
        <sz val="11"/>
        <color theme="1"/>
        <rFont val="Calibri"/>
        <family val="2"/>
        <scheme val="minor"/>
      </rPr>
      <t>100*((RY</t>
    </r>
    <r>
      <rPr>
        <vertAlign val="subscript"/>
        <sz val="11"/>
        <color theme="1"/>
        <rFont val="Calibri"/>
        <family val="2"/>
        <scheme val="minor"/>
      </rPr>
      <t>2014</t>
    </r>
    <r>
      <rPr>
        <sz val="11"/>
        <color theme="1"/>
        <rFont val="Calibri"/>
        <family val="2"/>
        <scheme val="minor"/>
      </rPr>
      <t>-RY</t>
    </r>
    <r>
      <rPr>
        <vertAlign val="subscript"/>
        <sz val="11"/>
        <color theme="1"/>
        <rFont val="Calibri"/>
        <family val="2"/>
        <scheme val="minor"/>
      </rPr>
      <t>Pot)</t>
    </r>
    <r>
      <rPr>
        <sz val="11"/>
        <color theme="1"/>
        <rFont val="Calibri"/>
        <family val="2"/>
        <scheme val="minor"/>
      </rPr>
      <t>/RY</t>
    </r>
    <r>
      <rPr>
        <vertAlign val="subscript"/>
        <sz val="11"/>
        <color theme="1"/>
        <rFont val="Calibri"/>
        <family val="2"/>
        <scheme val="minor"/>
      </rPr>
      <t>Pot</t>
    </r>
    <r>
      <rPr>
        <sz val="11"/>
        <color theme="1"/>
        <rFont val="Calibri"/>
        <family val="2"/>
        <scheme val="minor"/>
      </rPr>
      <t>)</t>
    </r>
  </si>
  <si>
    <t>IPC mensual</t>
  </si>
  <si>
    <t>Curva de Phillips estimada (con inflación, brecha del producto y brecha del TCR en %)</t>
  </si>
  <si>
    <t>Variación % interanual</t>
  </si>
  <si>
    <r>
      <rPr>
        <b/>
        <sz val="18"/>
        <color theme="1"/>
        <rFont val="Calibri"/>
        <family val="2"/>
        <scheme val="minor"/>
      </rPr>
      <t>π</t>
    </r>
    <r>
      <rPr>
        <b/>
        <vertAlign val="subscript"/>
        <sz val="18"/>
        <color theme="1"/>
        <rFont val="Calibri"/>
        <family val="2"/>
        <scheme val="minor"/>
      </rPr>
      <t>t</t>
    </r>
    <r>
      <rPr>
        <b/>
        <sz val="18"/>
        <color theme="1"/>
        <rFont val="Calibri"/>
        <family val="2"/>
        <scheme val="minor"/>
      </rPr>
      <t xml:space="preserve"> = 1,4 + 0,7*π</t>
    </r>
    <r>
      <rPr>
        <b/>
        <vertAlign val="subscript"/>
        <sz val="18"/>
        <color theme="1"/>
        <rFont val="Calibri"/>
        <family val="2"/>
        <scheme val="minor"/>
      </rPr>
      <t>t-1</t>
    </r>
    <r>
      <rPr>
        <b/>
        <sz val="18"/>
        <color theme="1"/>
        <rFont val="Calibri"/>
        <family val="2"/>
        <scheme val="minor"/>
      </rPr>
      <t xml:space="preserve"> + 1,4*ygap</t>
    </r>
    <r>
      <rPr>
        <b/>
        <vertAlign val="subscript"/>
        <sz val="18"/>
        <color theme="1"/>
        <rFont val="Calibri"/>
        <family val="2"/>
        <scheme val="minor"/>
      </rPr>
      <t>t</t>
    </r>
    <r>
      <rPr>
        <b/>
        <sz val="18"/>
        <color theme="1"/>
        <rFont val="Calibri"/>
        <family val="2"/>
        <scheme val="minor"/>
      </rPr>
      <t xml:space="preserve"> + 0.28*TCRgap</t>
    </r>
    <r>
      <rPr>
        <b/>
        <vertAlign val="subscript"/>
        <sz val="18"/>
        <color theme="1"/>
        <rFont val="Calibri"/>
        <family val="2"/>
        <scheme val="minor"/>
      </rPr>
      <t>t</t>
    </r>
  </si>
  <si>
    <t>π es la tasa de inflación</t>
  </si>
  <si>
    <t>ygap es la brecha del producto</t>
  </si>
  <si>
    <t>TCRgap es la brecha del tipo de cambio real</t>
  </si>
  <si>
    <t>Macronia:  Pronóstico de inflación media del IPC para 2014</t>
  </si>
  <si>
    <t>Valores (A)</t>
  </si>
  <si>
    <t>Coeficientes (B)</t>
  </si>
  <si>
    <t>A*B</t>
  </si>
  <si>
    <t>Constante</t>
  </si>
  <si>
    <t>Inflación de año previos</t>
  </si>
  <si>
    <t>Brecha del producto en 2014</t>
  </si>
  <si>
    <t>Brecha del TCR</t>
  </si>
  <si>
    <t>Pronóstico usando curva de Phillips</t>
  </si>
  <si>
    <t>Inflación media en 2013</t>
  </si>
  <si>
    <t>Brecha del TCR en 2014</t>
  </si>
  <si>
    <t>IPC, promedio del período</t>
  </si>
  <si>
    <t>IPC, fin del período</t>
  </si>
  <si>
    <t>IPC, promedio del período (variación %)</t>
  </si>
  <si>
    <t>IPC, fin del período (variación %)</t>
  </si>
  <si>
    <t>Meta de inflación</t>
  </si>
  <si>
    <t>Inflación del IPC media 2014</t>
  </si>
  <si>
    <t xml:space="preserve">TCN,  tipo de cambio nominal medio </t>
  </si>
  <si>
    <t xml:space="preserve">TCNF, tipo de cambio nominal medio al fin del ejercicio </t>
  </si>
  <si>
    <t>TCR, índice de tipo de cambio real</t>
  </si>
  <si>
    <t>Macronia: Tipos de cambio nominal y real, 2008-2014</t>
  </si>
  <si>
    <t xml:space="preserve"> Metodología</t>
  </si>
  <si>
    <t xml:space="preserve">Tipo de cambio nominal </t>
  </si>
  <si>
    <t xml:space="preserve">   Promedio del período (MN por USD)</t>
  </si>
  <si>
    <r>
      <rPr>
        <sz val="11"/>
        <color theme="1"/>
        <rFont val="Calibri"/>
        <family val="2"/>
        <scheme val="minor"/>
      </rPr>
      <t xml:space="preserve"> </t>
    </r>
    <r>
      <rPr>
        <sz val="11"/>
        <color theme="1"/>
        <rFont val="Calibri"/>
        <family val="2"/>
        <scheme val="minor"/>
      </rPr>
      <t>TCN</t>
    </r>
    <r>
      <rPr>
        <vertAlign val="subscript"/>
        <sz val="11"/>
        <color rgb="FF000000"/>
        <rFont val="Calibri"/>
        <family val="2"/>
        <scheme val="minor"/>
      </rPr>
      <t>14</t>
    </r>
    <r>
      <rPr>
        <sz val="11"/>
        <color rgb="FF000000"/>
        <rFont val="Calibri"/>
        <family val="2"/>
        <scheme val="minor"/>
      </rPr>
      <t xml:space="preserve"> = TCN</t>
    </r>
    <r>
      <rPr>
        <vertAlign val="subscript"/>
        <sz val="11"/>
        <color rgb="FF000000"/>
        <rFont val="Calibri"/>
        <family val="2"/>
        <scheme val="minor"/>
      </rPr>
      <t>13</t>
    </r>
    <r>
      <rPr>
        <sz val="11"/>
        <color rgb="FF000000"/>
        <rFont val="Calibri"/>
        <family val="2"/>
        <scheme val="minor"/>
      </rPr>
      <t xml:space="preserve"> * (1+%ΔP/100)* (1+%ΔTCR/100)/ (1+%ΔPf/100)</t>
    </r>
  </si>
  <si>
    <t xml:space="preserve">   Fin del ejercicio (MN por USD)</t>
  </si>
  <si>
    <r>
      <rPr>
        <sz val="11"/>
        <color theme="1"/>
        <rFont val="Calibri"/>
        <family val="2"/>
        <scheme val="minor"/>
      </rPr>
      <t xml:space="preserve"> </t>
    </r>
    <r>
      <rPr>
        <sz val="11"/>
        <color theme="1"/>
        <rFont val="Calibri"/>
        <family val="2"/>
        <scheme val="minor"/>
      </rPr>
      <t>TCNF</t>
    </r>
    <r>
      <rPr>
        <vertAlign val="subscript"/>
        <sz val="11"/>
        <color rgb="FF000000"/>
        <rFont val="Calibri"/>
        <family val="2"/>
        <scheme val="minor"/>
      </rPr>
      <t>14</t>
    </r>
    <r>
      <rPr>
        <sz val="11"/>
        <color rgb="FF000000"/>
        <rFont val="Calibri"/>
        <family val="2"/>
        <scheme val="minor"/>
      </rPr>
      <t xml:space="preserve"> = (TCNF</t>
    </r>
    <r>
      <rPr>
        <vertAlign val="subscript"/>
        <sz val="11"/>
        <color rgb="FF000000"/>
        <rFont val="Calibri"/>
        <family val="2"/>
        <scheme val="minor"/>
      </rPr>
      <t>14</t>
    </r>
    <r>
      <rPr>
        <sz val="11"/>
        <color rgb="FF000000"/>
        <rFont val="Calibri"/>
        <family val="2"/>
        <scheme val="minor"/>
      </rPr>
      <t>*2) - TCNF</t>
    </r>
    <r>
      <rPr>
        <vertAlign val="subscript"/>
        <sz val="11"/>
        <color rgb="FF000000"/>
        <rFont val="Calibri"/>
        <family val="2"/>
        <scheme val="minor"/>
      </rPr>
      <t>13</t>
    </r>
  </si>
  <si>
    <t>Variación del tipo de cambio nominal medio (+ depreciación)</t>
  </si>
  <si>
    <r>
      <rPr>
        <sz val="11"/>
        <color theme="1"/>
        <rFont val="Calibri"/>
        <family val="2"/>
        <scheme val="minor"/>
      </rPr>
      <t>(TCN</t>
    </r>
    <r>
      <rPr>
        <vertAlign val="subscript"/>
        <sz val="11"/>
        <color rgb="FF000000"/>
        <rFont val="Calibri"/>
        <family val="2"/>
        <scheme val="minor"/>
      </rPr>
      <t>14</t>
    </r>
    <r>
      <rPr>
        <sz val="11"/>
        <color rgb="FF000000"/>
        <rFont val="Calibri"/>
        <family val="2"/>
        <scheme val="minor"/>
      </rPr>
      <t>/TCN</t>
    </r>
    <r>
      <rPr>
        <vertAlign val="subscript"/>
        <sz val="11"/>
        <color rgb="FF000000"/>
        <rFont val="Calibri"/>
        <family val="2"/>
        <scheme val="minor"/>
      </rPr>
      <t>13</t>
    </r>
    <r>
      <rPr>
        <sz val="11"/>
        <color rgb="FF000000"/>
        <rFont val="Calibri"/>
        <family val="2"/>
        <scheme val="minor"/>
      </rPr>
      <t>-1)*100</t>
    </r>
  </si>
  <si>
    <r>
      <rPr>
        <sz val="11"/>
        <color theme="1"/>
        <rFont val="Calibri"/>
        <family val="2"/>
        <scheme val="minor"/>
      </rPr>
      <t xml:space="preserve">Inflación interna </t>
    </r>
    <r>
      <rPr>
        <i/>
        <sz val="11"/>
        <color theme="1"/>
        <rFont val="Calibri"/>
        <family val="2"/>
        <scheme val="minor"/>
      </rPr>
      <t>(en porcentaje)</t>
    </r>
  </si>
  <si>
    <t>%ΔP</t>
  </si>
  <si>
    <r>
      <rPr>
        <sz val="11"/>
        <color theme="1"/>
        <rFont val="Calibri"/>
        <family val="2"/>
        <scheme val="minor"/>
      </rPr>
      <t>Inflación en socios comerciales</t>
    </r>
    <r>
      <rPr>
        <i/>
        <sz val="11"/>
        <color theme="1"/>
        <rFont val="Calibri"/>
        <family val="2"/>
        <scheme val="minor"/>
      </rPr>
      <t xml:space="preserve"> (en porcentaje)</t>
    </r>
  </si>
  <si>
    <t xml:space="preserve">%ΔPf, supuesto exógeno </t>
  </si>
  <si>
    <r>
      <rPr>
        <sz val="11"/>
        <color theme="1"/>
        <rFont val="Calibri"/>
        <family val="2"/>
        <scheme val="minor"/>
      </rPr>
      <t>Índice de tipo de cambio real (2012=100)1/</t>
    </r>
    <r>
      <rPr>
        <i/>
        <sz val="11"/>
        <color theme="1"/>
        <rFont val="Calibri"/>
        <family val="2"/>
        <scheme val="minor"/>
      </rPr>
      <t xml:space="preserve"> </t>
    </r>
  </si>
  <si>
    <r>
      <rPr>
        <sz val="11"/>
        <color theme="1"/>
        <rFont val="Calibri"/>
        <family val="2"/>
        <scheme val="minor"/>
      </rPr>
      <t xml:space="preserve"> </t>
    </r>
    <r>
      <rPr>
        <sz val="11"/>
        <color theme="1"/>
        <rFont val="Calibri"/>
        <family val="2"/>
        <scheme val="minor"/>
      </rPr>
      <t>TCR</t>
    </r>
    <r>
      <rPr>
        <vertAlign val="subscript"/>
        <sz val="11"/>
        <color rgb="FF000000"/>
        <rFont val="Calibri"/>
        <family val="2"/>
        <scheme val="minor"/>
      </rPr>
      <t>14</t>
    </r>
    <r>
      <rPr>
        <sz val="11"/>
        <color rgb="FF000000"/>
        <rFont val="Calibri"/>
        <family val="2"/>
        <scheme val="minor"/>
      </rPr>
      <t xml:space="preserve"> = TCR</t>
    </r>
    <r>
      <rPr>
        <vertAlign val="subscript"/>
        <sz val="11"/>
        <color rgb="FF000000"/>
        <rFont val="Calibri"/>
        <family val="2"/>
        <scheme val="minor"/>
      </rPr>
      <t>13</t>
    </r>
    <r>
      <rPr>
        <sz val="11"/>
        <color rgb="FF000000"/>
        <rFont val="Calibri"/>
        <family val="2"/>
        <scheme val="minor"/>
      </rPr>
      <t xml:space="preserve"> * (1+%ΔTCR/100)</t>
    </r>
  </si>
  <si>
    <r>
      <rPr>
        <sz val="11"/>
        <color theme="1"/>
        <rFont val="Calibri"/>
        <family val="2"/>
        <scheme val="minor"/>
      </rPr>
      <t xml:space="preserve">Variación del tipo de cambio real </t>
    </r>
    <r>
      <rPr>
        <i/>
        <sz val="11"/>
        <color theme="1"/>
        <rFont val="Calibri"/>
        <family val="2"/>
        <scheme val="minor"/>
      </rPr>
      <t>(en porcentaje)</t>
    </r>
  </si>
  <si>
    <t>%ΔTCR</t>
  </si>
  <si>
    <t>1/ Un aumento denota depreciación real, mientras que una disminución denota apreciación real.</t>
  </si>
  <si>
    <t>TCR observado (2012 = 100)</t>
  </si>
  <si>
    <t>TCR tendencial (2012=100)</t>
  </si>
  <si>
    <t xml:space="preserve">   Variación %</t>
  </si>
  <si>
    <t>Brecha del TCR o variación TCR basada en UIP implícita (en términos reales) (+ depreciación)</t>
  </si>
  <si>
    <t>Tasa de interés real externa (exógena)</t>
  </si>
  <si>
    <t>prima por riesgo (exógena)</t>
  </si>
  <si>
    <t xml:space="preserve">Tasa de interés real interna </t>
  </si>
  <si>
    <t>TCR tendencial (supuesto)</t>
  </si>
  <si>
    <t>RCp</t>
  </si>
  <si>
    <t>Consumo privado real (miles de millones de moneda nacional, precios de 2005)</t>
  </si>
  <si>
    <t>RCp/RY en %</t>
  </si>
  <si>
    <t>Modelo de corrección de errores para consumo privado</t>
  </si>
  <si>
    <r>
      <rPr>
        <b/>
        <sz val="11"/>
        <color theme="1"/>
        <rFont val="Calibri"/>
        <family val="2"/>
        <scheme val="minor"/>
      </rPr>
      <t>ΔLn(RCp</t>
    </r>
    <r>
      <rPr>
        <b/>
        <vertAlign val="subscript"/>
        <sz val="11"/>
        <color theme="1"/>
        <rFont val="Calibri"/>
        <family val="2"/>
        <scheme val="minor"/>
      </rPr>
      <t>t</t>
    </r>
    <r>
      <rPr>
        <b/>
        <sz val="11"/>
        <color theme="1"/>
        <rFont val="Calibri"/>
        <family val="2"/>
        <scheme val="minor"/>
      </rPr>
      <t>) = C + β*ΔLn(RINBD</t>
    </r>
    <r>
      <rPr>
        <b/>
        <vertAlign val="subscript"/>
        <sz val="11"/>
        <color theme="1"/>
        <rFont val="Calibri"/>
        <family val="2"/>
        <scheme val="minor"/>
      </rPr>
      <t>t</t>
    </r>
    <r>
      <rPr>
        <b/>
        <sz val="11"/>
        <color theme="1"/>
        <rFont val="Calibri"/>
        <family val="2"/>
        <scheme val="minor"/>
      </rPr>
      <t>) - λ*[Ln(RCp</t>
    </r>
    <r>
      <rPr>
        <b/>
        <vertAlign val="subscript"/>
        <sz val="11"/>
        <color theme="1"/>
        <rFont val="Calibri"/>
        <family val="2"/>
        <scheme val="minor"/>
      </rPr>
      <t>t-1</t>
    </r>
    <r>
      <rPr>
        <b/>
        <sz val="11"/>
        <color theme="1"/>
        <rFont val="Calibri"/>
        <family val="2"/>
        <scheme val="minor"/>
      </rPr>
      <t>) - δ*Ln(RINBD</t>
    </r>
    <r>
      <rPr>
        <b/>
        <vertAlign val="subscript"/>
        <sz val="11"/>
        <color theme="1"/>
        <rFont val="Calibri"/>
        <family val="2"/>
        <scheme val="minor"/>
      </rPr>
      <t>t-1</t>
    </r>
    <r>
      <rPr>
        <b/>
        <sz val="11"/>
        <color theme="1"/>
        <rFont val="Calibri"/>
        <family val="2"/>
        <scheme val="minor"/>
      </rPr>
      <t>)]+ ε</t>
    </r>
    <r>
      <rPr>
        <b/>
        <vertAlign val="subscript"/>
        <sz val="11"/>
        <color theme="1"/>
        <rFont val="Calibri"/>
        <family val="2"/>
        <scheme val="minor"/>
      </rPr>
      <t>t</t>
    </r>
  </si>
  <si>
    <t>Elasticidad a corto plazo estimada (β):</t>
  </si>
  <si>
    <t>Parámetro a largo plazo (δ):</t>
  </si>
  <si>
    <t>Promedio:</t>
  </si>
  <si>
    <t>Macronia:  Pronóstico consumo privado real</t>
  </si>
  <si>
    <t>%ΔRCp</t>
  </si>
  <si>
    <t>Pronóstico del PIB real- RY2014</t>
  </si>
  <si>
    <t>Pronóstico de crecimiento del PIB real- %ΔRY2014</t>
  </si>
  <si>
    <t>INBD real del sector privado (pronóstico - variación %)</t>
  </si>
  <si>
    <t>Pronóstico de RCp suponiendo relación constante con respecto al PIB desde 2013</t>
  </si>
  <si>
    <r>
      <rPr>
        <sz val="11"/>
        <color theme="1"/>
        <rFont val="Calibri"/>
        <family val="2"/>
        <scheme val="minor"/>
      </rPr>
      <t>RY</t>
    </r>
    <r>
      <rPr>
        <vertAlign val="subscript"/>
        <sz val="11"/>
        <color theme="1"/>
        <rFont val="Calibri"/>
        <family val="2"/>
        <scheme val="minor"/>
      </rPr>
      <t>2014</t>
    </r>
    <r>
      <rPr>
        <sz val="11"/>
        <color theme="1"/>
        <rFont val="Calibri"/>
        <family val="2"/>
        <scheme val="minor"/>
      </rPr>
      <t>*(RCp</t>
    </r>
    <r>
      <rPr>
        <vertAlign val="subscript"/>
        <sz val="11"/>
        <color theme="1"/>
        <rFont val="Calibri"/>
        <family val="2"/>
        <scheme val="minor"/>
      </rPr>
      <t>2013</t>
    </r>
    <r>
      <rPr>
        <sz val="11"/>
        <color theme="1"/>
        <rFont val="Calibri"/>
        <family val="2"/>
        <scheme val="minor"/>
      </rPr>
      <t>/RY</t>
    </r>
    <r>
      <rPr>
        <vertAlign val="subscript"/>
        <sz val="11"/>
        <color theme="1"/>
        <rFont val="Calibri"/>
        <family val="2"/>
        <scheme val="minor"/>
      </rPr>
      <t>2013</t>
    </r>
    <r>
      <rPr>
        <sz val="11"/>
        <color theme="1"/>
        <rFont val="Calibri"/>
        <family val="2"/>
        <scheme val="minor"/>
      </rPr>
      <t>)</t>
    </r>
  </si>
  <si>
    <t>Pronóstico de RCp según método de regresión</t>
  </si>
  <si>
    <r>
      <rPr>
        <sz val="11"/>
        <color theme="1"/>
        <rFont val="Calibri"/>
        <family val="2"/>
        <scheme val="minor"/>
      </rPr>
      <t>RCp</t>
    </r>
    <r>
      <rPr>
        <vertAlign val="subscript"/>
        <sz val="11"/>
        <color theme="1"/>
        <rFont val="Calibri"/>
        <family val="2"/>
        <scheme val="minor"/>
      </rPr>
      <t>2013</t>
    </r>
    <r>
      <rPr>
        <sz val="11"/>
        <color theme="1"/>
        <rFont val="Calibri"/>
        <family val="2"/>
        <scheme val="minor"/>
      </rPr>
      <t>*(1+(0.65*%ΔRINBD</t>
    </r>
    <r>
      <rPr>
        <vertAlign val="subscript"/>
        <sz val="11"/>
        <color theme="1"/>
        <rFont val="Calibri"/>
        <family val="2"/>
        <scheme val="minor"/>
      </rPr>
      <t>2014</t>
    </r>
    <r>
      <rPr>
        <sz val="11"/>
        <color theme="1"/>
        <rFont val="Calibri"/>
        <family val="2"/>
        <scheme val="minor"/>
      </rPr>
      <t>/100))</t>
    </r>
  </si>
  <si>
    <t>Su método preferido</t>
  </si>
  <si>
    <t>RIp</t>
  </si>
  <si>
    <t>Inversión privada real (miles de millones de moneda nacional, precios de 2005)</t>
  </si>
  <si>
    <t>RIBR</t>
  </si>
  <si>
    <t>Tasa de interés real (tasa interbancaria), deflactada ex-post usando IPC</t>
  </si>
  <si>
    <t>Inflación según IPC</t>
  </si>
  <si>
    <t>Producto de ecuación de inversión privada</t>
  </si>
  <si>
    <t>RIp/RY en %</t>
  </si>
  <si>
    <t>%ΔRY</t>
  </si>
  <si>
    <t>%ΔRIp</t>
  </si>
  <si>
    <t>Tasa IBR (%)</t>
  </si>
  <si>
    <t>Inflación según IPC (%)</t>
  </si>
  <si>
    <t>RIBR (%)</t>
  </si>
  <si>
    <r>
      <rPr>
        <b/>
        <sz val="11"/>
        <color theme="1"/>
        <rFont val="Calibri"/>
        <family val="2"/>
        <scheme val="minor"/>
      </rPr>
      <t>%</t>
    </r>
    <r>
      <rPr>
        <b/>
        <sz val="11"/>
        <color theme="1"/>
        <rFont val="Symbol"/>
        <family val="1"/>
        <charset val="2"/>
      </rPr>
      <t>D</t>
    </r>
    <r>
      <rPr>
        <b/>
        <sz val="11"/>
        <color theme="1"/>
        <rFont val="Calibri"/>
        <family val="2"/>
        <scheme val="minor"/>
      </rPr>
      <t>(RIp</t>
    </r>
    <r>
      <rPr>
        <b/>
        <vertAlign val="subscript"/>
        <sz val="11"/>
        <color theme="1"/>
        <rFont val="Calibri"/>
        <family val="2"/>
        <scheme val="minor"/>
      </rPr>
      <t>t</t>
    </r>
    <r>
      <rPr>
        <b/>
        <sz val="11"/>
        <color theme="1"/>
        <rFont val="Calibri"/>
        <family val="2"/>
        <scheme val="minor"/>
      </rPr>
      <t>) = 1.495*%</t>
    </r>
    <r>
      <rPr>
        <b/>
        <sz val="11"/>
        <color theme="1"/>
        <rFont val="Symbol"/>
        <family val="1"/>
        <charset val="2"/>
      </rPr>
      <t>D</t>
    </r>
    <r>
      <rPr>
        <b/>
        <sz val="11"/>
        <color theme="1"/>
        <rFont val="Calibri"/>
        <family val="2"/>
        <scheme val="minor"/>
      </rPr>
      <t>(RY</t>
    </r>
    <r>
      <rPr>
        <b/>
        <vertAlign val="subscript"/>
        <sz val="11"/>
        <color theme="1"/>
        <rFont val="Calibri"/>
        <family val="2"/>
        <scheme val="minor"/>
      </rPr>
      <t>t</t>
    </r>
    <r>
      <rPr>
        <b/>
        <sz val="11"/>
        <color theme="1"/>
        <rFont val="Calibri"/>
        <family val="2"/>
        <scheme val="minor"/>
      </rPr>
      <t>) -1.30*</t>
    </r>
    <r>
      <rPr>
        <b/>
        <sz val="11"/>
        <color theme="1"/>
        <rFont val="Symbol"/>
        <family val="1"/>
        <charset val="2"/>
      </rPr>
      <t>D</t>
    </r>
    <r>
      <rPr>
        <b/>
        <sz val="11"/>
        <color theme="1"/>
        <rFont val="Calibri"/>
        <family val="2"/>
        <scheme val="minor"/>
      </rPr>
      <t>(RIBR)</t>
    </r>
    <r>
      <rPr>
        <b/>
        <vertAlign val="subscript"/>
        <sz val="11"/>
        <color theme="1"/>
        <rFont val="Calibri"/>
        <family val="2"/>
        <scheme val="minor"/>
      </rPr>
      <t>t</t>
    </r>
  </si>
  <si>
    <r>
      <rPr>
        <b/>
        <sz val="11"/>
        <color theme="1"/>
        <rFont val="Calibri"/>
        <family val="2"/>
        <scheme val="minor"/>
      </rPr>
      <t>%</t>
    </r>
    <r>
      <rPr>
        <b/>
        <sz val="11"/>
        <color theme="1"/>
        <rFont val="Symbol"/>
        <family val="1"/>
        <charset val="2"/>
      </rPr>
      <t>D</t>
    </r>
    <r>
      <rPr>
        <b/>
        <sz val="11"/>
        <color theme="1"/>
        <rFont val="Calibri"/>
        <family val="2"/>
        <scheme val="minor"/>
      </rPr>
      <t>(RY</t>
    </r>
    <r>
      <rPr>
        <b/>
        <vertAlign val="subscript"/>
        <sz val="11"/>
        <color theme="1"/>
        <rFont val="Calibri"/>
        <family val="2"/>
        <scheme val="minor"/>
      </rPr>
      <t>t</t>
    </r>
    <r>
      <rPr>
        <b/>
        <sz val="11"/>
        <color theme="1"/>
        <rFont val="Calibri"/>
        <family val="2"/>
        <scheme val="minor"/>
      </rPr>
      <t>)</t>
    </r>
    <r>
      <rPr>
        <b/>
        <sz val="11"/>
        <color theme="1"/>
        <rFont val="Calibri"/>
        <family val="2"/>
        <scheme val="minor"/>
      </rPr>
      <t xml:space="preserve"> </t>
    </r>
  </si>
  <si>
    <r>
      <rPr>
        <b/>
        <sz val="11"/>
        <color theme="1"/>
        <rFont val="Calibri"/>
        <family val="2"/>
        <scheme val="minor"/>
      </rPr>
      <t>Coef. sobre %</t>
    </r>
    <r>
      <rPr>
        <b/>
        <sz val="11"/>
        <color theme="1"/>
        <rFont val="Symbol"/>
        <family val="1"/>
        <charset val="2"/>
      </rPr>
      <t>D</t>
    </r>
    <r>
      <rPr>
        <b/>
        <sz val="11"/>
        <color theme="1"/>
        <rFont val="Calibri"/>
        <family val="2"/>
        <scheme val="minor"/>
      </rPr>
      <t>(RY</t>
    </r>
    <r>
      <rPr>
        <b/>
        <vertAlign val="subscript"/>
        <sz val="11"/>
        <color theme="1"/>
        <rFont val="Calibri"/>
        <family val="2"/>
        <scheme val="minor"/>
      </rPr>
      <t>t</t>
    </r>
    <r>
      <rPr>
        <b/>
        <sz val="11"/>
        <color theme="1"/>
        <rFont val="Calibri"/>
        <family val="2"/>
        <scheme val="minor"/>
      </rPr>
      <t>)</t>
    </r>
    <r>
      <rPr>
        <b/>
        <sz val="11"/>
        <color theme="1"/>
        <rFont val="Calibri"/>
        <family val="2"/>
        <scheme val="minor"/>
      </rPr>
      <t xml:space="preserve"> </t>
    </r>
  </si>
  <si>
    <r>
      <rPr>
        <b/>
        <sz val="11"/>
        <color theme="1"/>
        <rFont val="Symbol"/>
        <family val="1"/>
        <charset val="2"/>
      </rPr>
      <t>D</t>
    </r>
    <r>
      <rPr>
        <b/>
        <sz val="11"/>
        <color theme="1"/>
        <rFont val="Calibri"/>
        <family val="2"/>
        <scheme val="minor"/>
      </rPr>
      <t>(RIBR)</t>
    </r>
    <r>
      <rPr>
        <b/>
        <vertAlign val="subscript"/>
        <sz val="11"/>
        <color theme="1"/>
        <rFont val="Calibri"/>
        <family val="2"/>
        <scheme val="minor"/>
      </rPr>
      <t>t</t>
    </r>
  </si>
  <si>
    <r>
      <rPr>
        <b/>
        <sz val="11"/>
        <color theme="1"/>
        <rFont val="Calibri"/>
        <family val="2"/>
        <scheme val="minor"/>
      </rPr>
      <t xml:space="preserve">Coef. sobre </t>
    </r>
    <r>
      <rPr>
        <b/>
        <sz val="11"/>
        <color theme="1"/>
        <rFont val="Symbol"/>
        <family val="1"/>
        <charset val="2"/>
      </rPr>
      <t>D</t>
    </r>
    <r>
      <rPr>
        <b/>
        <sz val="11"/>
        <color theme="1"/>
        <rFont val="Calibri"/>
        <family val="2"/>
        <scheme val="minor"/>
      </rPr>
      <t>(RIBR)</t>
    </r>
    <r>
      <rPr>
        <b/>
        <vertAlign val="subscript"/>
        <sz val="11"/>
        <color theme="1"/>
        <rFont val="Calibri"/>
        <family val="2"/>
        <scheme val="minor"/>
      </rPr>
      <t>t</t>
    </r>
  </si>
  <si>
    <r>
      <rPr>
        <b/>
        <sz val="11"/>
        <color theme="1"/>
        <rFont val="Calibri"/>
        <family val="2"/>
        <scheme val="minor"/>
      </rPr>
      <t>%</t>
    </r>
    <r>
      <rPr>
        <b/>
        <sz val="11"/>
        <color theme="1"/>
        <rFont val="Symbol"/>
        <family val="1"/>
        <charset val="2"/>
      </rPr>
      <t>D</t>
    </r>
    <r>
      <rPr>
        <b/>
        <sz val="11"/>
        <color theme="1"/>
        <rFont val="Calibri"/>
        <family val="2"/>
        <scheme val="minor"/>
      </rPr>
      <t>(RIp</t>
    </r>
    <r>
      <rPr>
        <b/>
        <vertAlign val="subscript"/>
        <sz val="11"/>
        <color theme="1"/>
        <rFont val="Calibri"/>
        <family val="2"/>
        <scheme val="minor"/>
      </rPr>
      <t>t</t>
    </r>
    <r>
      <rPr>
        <b/>
        <sz val="11"/>
        <color theme="1"/>
        <rFont val="Calibri"/>
        <family val="2"/>
        <scheme val="minor"/>
      </rPr>
      <t>)</t>
    </r>
    <r>
      <rPr>
        <b/>
        <sz val="11"/>
        <color theme="1"/>
        <rFont val="Calibri"/>
        <family val="2"/>
        <scheme val="minor"/>
      </rPr>
      <t xml:space="preserve"> </t>
    </r>
  </si>
  <si>
    <t>='regla de Taylor '!F32</t>
  </si>
  <si>
    <t>Macronia:  Pronóstico inversión privada real</t>
  </si>
  <si>
    <t>Pronóstico del PIB real</t>
  </si>
  <si>
    <t>Pronóstico de crecimiento del PIB real</t>
  </si>
  <si>
    <t>Pronóstico de RIp según método de proporción del PIB en 2014</t>
  </si>
  <si>
    <t>Pronóstico de RIp según ecuación calibrada</t>
  </si>
  <si>
    <t>Ver ecuación de regresión arriba.</t>
  </si>
  <si>
    <t>RMg</t>
  </si>
  <si>
    <t>Importaciones reales de bienes, en miles de millones de moneda nacional a precios constantes de 2005</t>
  </si>
  <si>
    <t>TCN</t>
  </si>
  <si>
    <t>Tipo de cambio nominal medio (moneda nacional por dólar de EE.UU.)</t>
  </si>
  <si>
    <t>Enfoque de la elasticidad para estimar volumen de importaciones de bienes</t>
  </si>
  <si>
    <t>Pmf</t>
  </si>
  <si>
    <t>Deflactor de las importaciones de bienes en dólares de EE.UU.</t>
  </si>
  <si>
    <t>Prmf</t>
  </si>
  <si>
    <t>Precio relativo de las importaciones de bienes (ver fórmula para el cálculo) en términos de moneda local</t>
  </si>
  <si>
    <r>
      <rPr>
        <b/>
        <sz val="11"/>
        <color theme="1"/>
        <rFont val="Calibri"/>
        <family val="2"/>
        <scheme val="minor"/>
      </rPr>
      <t>ε</t>
    </r>
    <r>
      <rPr>
        <b/>
        <vertAlign val="subscript"/>
        <sz val="11"/>
        <color theme="1"/>
        <rFont val="Calibri"/>
        <family val="2"/>
        <scheme val="minor"/>
      </rPr>
      <t>RM,y</t>
    </r>
  </si>
  <si>
    <t>Elasticidad de las importaciones reales de bienes con respecto a la demanda interna (usar PIB real como variable representativa)</t>
  </si>
  <si>
    <r>
      <rPr>
        <b/>
        <sz val="11"/>
        <color theme="1"/>
        <rFont val="Calibri"/>
        <family val="2"/>
        <scheme val="minor"/>
      </rPr>
      <t>ε</t>
    </r>
    <r>
      <rPr>
        <b/>
        <vertAlign val="subscript"/>
        <sz val="11"/>
        <color theme="1"/>
        <rFont val="Calibri"/>
        <family val="2"/>
        <scheme val="minor"/>
      </rPr>
      <t>RM,Prmf</t>
    </r>
  </si>
  <si>
    <t>Elasticidad de las importaciones reales de bienes con respecto al precio relativo de las importaciones</t>
  </si>
  <si>
    <t>%ΔPrmf = ((1+%ΔPmf/100)*(1+%ΔTCN/100)/(1+%ΔIPC/100) -1)*100</t>
  </si>
  <si>
    <r>
      <rPr>
        <b/>
        <sz val="11"/>
        <color theme="1"/>
        <rFont val="Calibri"/>
        <family val="2"/>
        <scheme val="minor"/>
      </rPr>
      <t>Δ%RMg = (ε</t>
    </r>
    <r>
      <rPr>
        <b/>
        <vertAlign val="subscript"/>
        <sz val="11"/>
        <color theme="1"/>
        <rFont val="Calibri"/>
        <family val="2"/>
        <scheme val="minor"/>
      </rPr>
      <t>RM,y</t>
    </r>
    <r>
      <rPr>
        <b/>
        <sz val="11"/>
        <color theme="1"/>
        <rFont val="Calibri"/>
        <family val="2"/>
        <scheme val="minor"/>
      </rPr>
      <t>*Δ%RY) + (ε</t>
    </r>
    <r>
      <rPr>
        <b/>
        <vertAlign val="subscript"/>
        <sz val="11"/>
        <color theme="1"/>
        <rFont val="Calibri"/>
        <family val="2"/>
        <scheme val="minor"/>
      </rPr>
      <t>RM,Prmf</t>
    </r>
    <r>
      <rPr>
        <b/>
        <sz val="11"/>
        <color theme="1"/>
        <rFont val="Calibri"/>
        <family val="2"/>
        <scheme val="minor"/>
      </rPr>
      <t>*Δ%Prmf)</t>
    </r>
  </si>
  <si>
    <t>Macronia: Variación del precio relativo de las importaciones de bienes</t>
  </si>
  <si>
    <t>Macronia: Pronóstico de importaciones reales de bienes</t>
  </si>
  <si>
    <t>Δ%Pmf</t>
  </si>
  <si>
    <t>Δ%RY</t>
  </si>
  <si>
    <t>Δ%TCN</t>
  </si>
  <si>
    <t>Δ%IPC</t>
  </si>
  <si>
    <t>Δ%Prmf</t>
  </si>
  <si>
    <t>Δ%RMg</t>
  </si>
  <si>
    <t>RXg</t>
  </si>
  <si>
    <t>Exportaciones reales de bienes, en miles de millones de moneda nacional a precios constantes de 2005</t>
  </si>
  <si>
    <t>Enfoque de la elasticidad para estimar volumen de exportaciones de bienes</t>
  </si>
  <si>
    <r>
      <rPr>
        <b/>
        <sz val="11"/>
        <color theme="1"/>
        <rFont val="Calibri"/>
        <family val="2"/>
        <scheme val="minor"/>
      </rPr>
      <t>RY</t>
    </r>
    <r>
      <rPr>
        <b/>
        <vertAlign val="superscript"/>
        <sz val="11"/>
        <color theme="1"/>
        <rFont val="Calibri"/>
        <family val="2"/>
        <scheme val="minor"/>
      </rPr>
      <t>P</t>
    </r>
  </si>
  <si>
    <t>Capacidad productiva interna</t>
  </si>
  <si>
    <t>Pxf</t>
  </si>
  <si>
    <t>Precio de exportaciones de bienes en dólares de EE.UU.</t>
  </si>
  <si>
    <t>Prxf</t>
  </si>
  <si>
    <t>Precio relativo de las exportaciones de bienes (ver fórmula para el cálculo)</t>
  </si>
  <si>
    <r>
      <rPr>
        <b/>
        <sz val="11"/>
        <color theme="1"/>
        <rFont val="Calibri"/>
        <family val="2"/>
        <scheme val="minor"/>
      </rPr>
      <t>ε</t>
    </r>
    <r>
      <rPr>
        <b/>
        <vertAlign val="subscript"/>
        <sz val="11"/>
        <color theme="1"/>
        <rFont val="Calibri"/>
        <family val="2"/>
        <scheme val="minor"/>
      </rPr>
      <t>RX,y</t>
    </r>
  </si>
  <si>
    <t>Elasticidad de las exportaciones reales de bienes con respecto a la capacidad productiva interna</t>
  </si>
  <si>
    <r>
      <rPr>
        <b/>
        <sz val="11"/>
        <color theme="1"/>
        <rFont val="Calibri"/>
        <family val="2"/>
        <scheme val="minor"/>
      </rPr>
      <t>ε</t>
    </r>
    <r>
      <rPr>
        <b/>
        <vertAlign val="subscript"/>
        <sz val="11"/>
        <color theme="1"/>
        <rFont val="Calibri"/>
        <family val="2"/>
        <scheme val="minor"/>
      </rPr>
      <t>RX,Prxf</t>
    </r>
  </si>
  <si>
    <t>Elasticidad de las exportaciones reales de bienes con respecto al precio relativo de las exportaciones</t>
  </si>
  <si>
    <t>%ΔPrxf = ((1+%ΔPxf/100)*(1+%ΔTCN/100)/(1+%ΔIPC/100) -1 )*100</t>
  </si>
  <si>
    <r>
      <rPr>
        <b/>
        <sz val="11"/>
        <color theme="1"/>
        <rFont val="Calibri"/>
        <family val="2"/>
        <scheme val="minor"/>
      </rPr>
      <t>Δ%RXg = (ε</t>
    </r>
    <r>
      <rPr>
        <b/>
        <vertAlign val="subscript"/>
        <sz val="11"/>
        <color theme="1"/>
        <rFont val="Calibri"/>
        <family val="2"/>
        <scheme val="minor"/>
      </rPr>
      <t>RX,y</t>
    </r>
    <r>
      <rPr>
        <b/>
        <sz val="11"/>
        <color theme="1"/>
        <rFont val="Calibri"/>
        <family val="2"/>
        <scheme val="minor"/>
      </rPr>
      <t>*Δ%RY</t>
    </r>
    <r>
      <rPr>
        <b/>
        <vertAlign val="superscript"/>
        <sz val="11"/>
        <color theme="1"/>
        <rFont val="Calibri"/>
        <family val="2"/>
        <scheme val="minor"/>
      </rPr>
      <t>p</t>
    </r>
    <r>
      <rPr>
        <b/>
        <sz val="11"/>
        <color theme="1"/>
        <rFont val="Calibri"/>
        <family val="2"/>
        <scheme val="minor"/>
      </rPr>
      <t>) + (ε</t>
    </r>
    <r>
      <rPr>
        <b/>
        <vertAlign val="subscript"/>
        <sz val="11"/>
        <color theme="1"/>
        <rFont val="Calibri"/>
        <family val="2"/>
        <scheme val="minor"/>
      </rPr>
      <t>RX,Prxf</t>
    </r>
    <r>
      <rPr>
        <b/>
        <sz val="11"/>
        <color theme="1"/>
        <rFont val="Calibri"/>
        <family val="2"/>
        <scheme val="minor"/>
      </rPr>
      <t>*Δ%Prxf)</t>
    </r>
  </si>
  <si>
    <t>Macronia: Variación del precio relativo de las exportaciones de bienes</t>
  </si>
  <si>
    <t>Macronia: Pronóstico de exportaciones reales de bienes</t>
  </si>
  <si>
    <t>Δ%Pxf</t>
  </si>
  <si>
    <r>
      <rPr>
        <b/>
        <sz val="11"/>
        <color theme="1"/>
        <rFont val="Calibri"/>
        <family val="2"/>
        <scheme val="minor"/>
      </rPr>
      <t>Δ%RY</t>
    </r>
    <r>
      <rPr>
        <b/>
        <vertAlign val="superscript"/>
        <sz val="11"/>
        <color theme="1"/>
        <rFont val="Calibri"/>
        <family val="2"/>
        <scheme val="minor"/>
      </rPr>
      <t>P</t>
    </r>
  </si>
  <si>
    <t>Δ%Prxf</t>
  </si>
  <si>
    <t>Δ%RXg</t>
  </si>
  <si>
    <t>Macronia: Proyecciones de importaciones y exportaciones nominales de bienes</t>
  </si>
  <si>
    <t>Modelo</t>
  </si>
  <si>
    <t>Pronóstico</t>
  </si>
  <si>
    <t>Exportaciones nominales de bienes (en millones de dólares de EE.UU.)</t>
  </si>
  <si>
    <r>
      <rPr>
        <sz val="11"/>
        <color theme="1"/>
        <rFont val="Calibri"/>
        <family val="2"/>
        <scheme val="minor"/>
      </rPr>
      <t>Xg</t>
    </r>
    <r>
      <rPr>
        <vertAlign val="subscript"/>
        <sz val="11"/>
        <color rgb="FF000000"/>
        <rFont val="Calibri"/>
        <family val="2"/>
        <scheme val="minor"/>
      </rPr>
      <t>2014</t>
    </r>
    <r>
      <rPr>
        <sz val="11"/>
        <color rgb="FF000000"/>
        <rFont val="Calibri"/>
        <family val="2"/>
        <scheme val="minor"/>
      </rPr>
      <t xml:space="preserve"> = Xg</t>
    </r>
    <r>
      <rPr>
        <vertAlign val="subscript"/>
        <sz val="11"/>
        <color rgb="FF000000"/>
        <rFont val="Calibri"/>
        <family val="2"/>
        <scheme val="minor"/>
      </rPr>
      <t>2013</t>
    </r>
    <r>
      <rPr>
        <sz val="11"/>
        <color rgb="FF000000"/>
        <rFont val="Calibri"/>
        <family val="2"/>
        <scheme val="minor"/>
      </rPr>
      <t xml:space="preserve"> *(1+%ΔRXg/100)*(1+%ΔPxf/100)</t>
    </r>
  </si>
  <si>
    <t>Importaciones nominales de bienes (en millones de dólares de EE.UU.)</t>
  </si>
  <si>
    <r>
      <rPr>
        <sz val="11"/>
        <color theme="1"/>
        <rFont val="Calibri"/>
        <family val="2"/>
        <scheme val="minor"/>
      </rPr>
      <t>Mg</t>
    </r>
    <r>
      <rPr>
        <vertAlign val="subscript"/>
        <sz val="11"/>
        <color rgb="FF000000"/>
        <rFont val="Calibri"/>
        <family val="2"/>
        <scheme val="minor"/>
      </rPr>
      <t>2014</t>
    </r>
    <r>
      <rPr>
        <sz val="11"/>
        <color rgb="FF000000"/>
        <rFont val="Calibri"/>
        <family val="2"/>
        <scheme val="minor"/>
      </rPr>
      <t xml:space="preserve"> = Mg</t>
    </r>
    <r>
      <rPr>
        <vertAlign val="subscript"/>
        <sz val="11"/>
        <color rgb="FF000000"/>
        <rFont val="Calibri"/>
        <family val="2"/>
        <scheme val="minor"/>
      </rPr>
      <t>2013</t>
    </r>
    <r>
      <rPr>
        <sz val="11"/>
        <color rgb="FF000000"/>
        <rFont val="Calibri"/>
        <family val="2"/>
        <scheme val="minor"/>
      </rPr>
      <t xml:space="preserve"> *(1+%ΔRMg/100)*(1+%ΔPmf/100)</t>
    </r>
  </si>
  <si>
    <t>Variaciones en el volumen de exportaciones de bienes (%ΔRXg)</t>
  </si>
  <si>
    <t>Variaciones en el precio en dólares de EE.UU. de exportaciones de bienes (en porcentaje)</t>
  </si>
  <si>
    <t>Variaciones en el volumen de importaciones de bienes (%ΔRMg)</t>
  </si>
  <si>
    <t>Variaciones en el precio en dólares de EE.UU. de importaciones de bienes (en porcentaje)</t>
  </si>
  <si>
    <t>Macronia: Proyecciones de importaciones y exportaciones nominales de servicios</t>
  </si>
  <si>
    <t>Crédito por servicios (en millones de dólares de EE.UU.)</t>
  </si>
  <si>
    <t>Usar relación créditos por servicios/exportaciones de bienes</t>
  </si>
  <si>
    <t>Débito por servicios (en millones de dólares de EE.UU.)</t>
  </si>
  <si>
    <t>Usar relación débitos por servicios/importaciones de bienes</t>
  </si>
  <si>
    <t>Partidas informativas:</t>
  </si>
  <si>
    <t>Exportaciones de bienes (en millones de dólares de EE.UU.)</t>
  </si>
  <si>
    <t>Usar última observación. Puede usarse promedio de un período</t>
  </si>
  <si>
    <t>Importaciones de bienes (en millones de dólares de EE.UU.)</t>
  </si>
  <si>
    <t>Usar relación débitos por servicios/importaciones de bienes (%)</t>
  </si>
  <si>
    <t>Macronia: Pronóstico de ingreso primario</t>
  </si>
  <si>
    <t>(en millones de USD, salvo indicación en contrario)</t>
  </si>
  <si>
    <t>Créditos por ingreso primario</t>
  </si>
  <si>
    <r>
      <rPr>
        <b/>
        <i/>
        <sz val="11"/>
        <color rgb="FF000000"/>
        <rFont val="Calibri"/>
        <family val="2"/>
        <scheme val="minor"/>
      </rPr>
      <t xml:space="preserve"> </t>
    </r>
    <r>
      <rPr>
        <b/>
        <sz val="11"/>
        <color rgb="FF000000"/>
        <rFont val="Calibri"/>
        <family val="2"/>
        <scheme val="minor"/>
      </rPr>
      <t>de los cuales: renta de inversión</t>
    </r>
  </si>
  <si>
    <t xml:space="preserve">Stock de activos externos </t>
  </si>
  <si>
    <t xml:space="preserve">   (fin del período)</t>
  </si>
  <si>
    <t>del cuadro de PII (fijar este valor igual al de la celda H15 hasta que converja)</t>
  </si>
  <si>
    <t>Tasa media de rendimiento de la renta de la inversión</t>
  </si>
  <si>
    <t>Tasa implícita de rendimiento de la renta de la inversión</t>
  </si>
  <si>
    <t>Partida informativa: Activos (del cuadro de la PII)</t>
  </si>
  <si>
    <t xml:space="preserve">Línea de verificación </t>
  </si>
  <si>
    <t>Débitos por ingreso primario</t>
  </si>
  <si>
    <t xml:space="preserve">   Pagos de intereses</t>
  </si>
  <si>
    <r>
      <rPr>
        <sz val="11"/>
        <color theme="1"/>
        <rFont val="Calibri"/>
        <family val="2"/>
        <scheme val="minor"/>
      </rPr>
      <t xml:space="preserve">(saldo de la deuda </t>
    </r>
    <r>
      <rPr>
        <u/>
        <sz val="11"/>
        <color rgb="FF000000"/>
        <rFont val="Calibri"/>
        <family val="2"/>
        <scheme val="minor"/>
      </rPr>
      <t>medio de 2013-14</t>
    </r>
    <r>
      <rPr>
        <sz val="11"/>
        <color rgb="FF000000"/>
        <rFont val="Calibri"/>
        <family val="2"/>
        <scheme val="minor"/>
      </rPr>
      <t>) * (tasa de interés implícita/100)</t>
    </r>
  </si>
  <si>
    <t xml:space="preserve">   Otros pagos</t>
  </si>
  <si>
    <t xml:space="preserve"> Pronóstico basado en valores pasados o proporción con respecto a pagos de intereses</t>
  </si>
  <si>
    <t>Stock de deuda externa</t>
  </si>
  <si>
    <t>Stock del año anterior más flujos de deuda de la cuenta financiera</t>
  </si>
  <si>
    <r>
      <rPr>
        <sz val="11"/>
        <color theme="1"/>
        <rFont val="Calibri"/>
        <family val="2"/>
        <scheme val="minor"/>
      </rPr>
      <t>LIBOR a seis meses sobre depósitos en dólares de EE.UU. (</t>
    </r>
    <r>
      <rPr>
        <i/>
        <sz val="11"/>
        <color rgb="FF000000"/>
        <rFont val="Calibri"/>
        <family val="2"/>
        <scheme val="minor"/>
      </rPr>
      <t>en porcentaje</t>
    </r>
    <r>
      <rPr>
        <sz val="11"/>
        <color rgb="FF000000"/>
        <rFont val="Calibri"/>
        <family val="2"/>
        <scheme val="minor"/>
      </rPr>
      <t>) 1/</t>
    </r>
  </si>
  <si>
    <t>Supuesto exógeno (LIBOR adecuada para reservas)</t>
  </si>
  <si>
    <r>
      <rPr>
        <sz val="11"/>
        <color theme="1"/>
        <rFont val="Calibri"/>
        <family val="2"/>
        <scheme val="minor"/>
      </rPr>
      <t xml:space="preserve">Tasa de interés implícita media </t>
    </r>
    <r>
      <rPr>
        <i/>
        <sz val="11"/>
        <color theme="1"/>
        <rFont val="Calibri"/>
        <family val="2"/>
        <scheme val="minor"/>
      </rPr>
      <t>(en porcentaje)</t>
    </r>
  </si>
  <si>
    <t xml:space="preserve"> LIBOR de 2014 + diferencial del pronóstico</t>
  </si>
  <si>
    <r>
      <rPr>
        <sz val="11"/>
        <color theme="1"/>
        <rFont val="Calibri"/>
        <family val="2"/>
        <scheme val="minor"/>
      </rPr>
      <t xml:space="preserve">Diferencial de tasa de interés sobre pagos </t>
    </r>
    <r>
      <rPr>
        <i/>
        <sz val="11"/>
        <color rgb="FF000000"/>
        <rFont val="Calibri"/>
        <family val="2"/>
        <scheme val="minor"/>
      </rPr>
      <t xml:space="preserve"> (en porcentaje)</t>
    </r>
    <r>
      <rPr>
        <sz val="11"/>
        <color rgb="FF000000"/>
        <rFont val="Calibri"/>
        <family val="2"/>
        <scheme val="minor"/>
      </rPr>
      <t xml:space="preserve"> 2/</t>
    </r>
  </si>
  <si>
    <t xml:space="preserve"> Pronosticar esto sobre la base de valores pasados</t>
  </si>
  <si>
    <t xml:space="preserve"> 1/ La LIBOR (tasa interbancaria de oferta de Londres) es un parámetro de referencia común para las reservas oficiales. </t>
  </si>
  <si>
    <t xml:space="preserve">  Si un país tiene reservas reducidas, por lo general las mantendría en cuentas corrientes o de depósito con vencimientos muy cortos</t>
  </si>
  <si>
    <t xml:space="preserve">  para fines de liquidez. Una vez que un país acumula reservas más cuantiosas, el banco central puede colocar algunos depósitos con vencimientos más largos</t>
  </si>
  <si>
    <t xml:space="preserve">  o en instrumentos de mayor rendimiento, como bonos del Tesoro de de Estados Unidos. </t>
  </si>
  <si>
    <t xml:space="preserve"> 2/ El diferencial es el monto en que la tasa de interés media supera la LIBOR.</t>
  </si>
  <si>
    <t>Macronia: Pronóstico de ingreso secundario</t>
  </si>
  <si>
    <t>Ingreso secundario, saldo (en millones de dólares de EE.UU.)</t>
  </si>
  <si>
    <r>
      <rPr>
        <sz val="11"/>
        <color theme="1"/>
        <rFont val="Calibri"/>
        <family val="2"/>
        <scheme val="minor"/>
      </rPr>
      <t>SIB</t>
    </r>
    <r>
      <rPr>
        <vertAlign val="subscript"/>
        <sz val="11"/>
        <color rgb="FF000000"/>
        <rFont val="Calibri"/>
        <family val="2"/>
        <scheme val="minor"/>
      </rPr>
      <t>2014</t>
    </r>
    <r>
      <rPr>
        <sz val="11"/>
        <color rgb="FF000000"/>
        <rFont val="Calibri"/>
        <family val="2"/>
        <scheme val="minor"/>
      </rPr>
      <t xml:space="preserve"> = SIB</t>
    </r>
    <r>
      <rPr>
        <vertAlign val="subscript"/>
        <sz val="11"/>
        <color rgb="FF000000"/>
        <rFont val="Calibri"/>
        <family val="2"/>
        <scheme val="minor"/>
      </rPr>
      <t>2013</t>
    </r>
    <r>
      <rPr>
        <sz val="11"/>
        <color rgb="FF000000"/>
        <rFont val="Calibri"/>
        <family val="2"/>
        <scheme val="minor"/>
      </rPr>
      <t>*(1+Δ%transferencias/100)</t>
    </r>
  </si>
  <si>
    <t>Variación del PIB nominal en países industriales (en porcentaje)</t>
  </si>
  <si>
    <t>Δ%Yi</t>
  </si>
  <si>
    <r>
      <rPr>
        <sz val="11"/>
        <color theme="1"/>
        <rFont val="Calibri"/>
        <family val="2"/>
        <scheme val="minor"/>
      </rPr>
      <t>Δ%Yi = {[(1+Δ%Ryi/100)*(1+π</t>
    </r>
    <r>
      <rPr>
        <vertAlign val="subscript"/>
        <sz val="11"/>
        <color rgb="FF000000"/>
        <rFont val="Calibri"/>
        <family val="2"/>
        <scheme val="minor"/>
      </rPr>
      <t>i</t>
    </r>
    <r>
      <rPr>
        <sz val="11"/>
        <color rgb="FF000000"/>
        <rFont val="Calibri"/>
        <family val="2"/>
        <scheme val="minor"/>
      </rPr>
      <t>/100)]-1}*100</t>
    </r>
  </si>
  <si>
    <t>Variación del PIB real en países industriales (en porcentaje)</t>
  </si>
  <si>
    <t>Δ%RYi</t>
  </si>
  <si>
    <t>Supuesto exógeno</t>
  </si>
  <si>
    <t xml:space="preserve"> Tasa de inflación en países socios comerciales (en porcentaje)</t>
  </si>
  <si>
    <r>
      <rPr>
        <sz val="11"/>
        <color theme="1"/>
        <rFont val="Calibri"/>
        <family val="2"/>
        <scheme val="minor"/>
      </rPr>
      <t>π</t>
    </r>
    <r>
      <rPr>
        <vertAlign val="subscript"/>
        <sz val="11"/>
        <color rgb="FF000000"/>
        <rFont val="Calibri"/>
        <family val="2"/>
        <scheme val="minor"/>
      </rPr>
      <t>i</t>
    </r>
  </si>
  <si>
    <t>Elasticidad de las transferencias netas con respecto al ingreso externo</t>
  </si>
  <si>
    <r>
      <rPr>
        <sz val="11"/>
        <color theme="1"/>
        <rFont val="Calibri"/>
        <family val="2"/>
        <scheme val="minor"/>
      </rPr>
      <t>ε</t>
    </r>
    <r>
      <rPr>
        <vertAlign val="subscript"/>
        <sz val="11"/>
        <color rgb="FF000000"/>
        <rFont val="Calibri"/>
        <family val="2"/>
        <scheme val="minor"/>
      </rPr>
      <t>transferencias, Yi</t>
    </r>
  </si>
  <si>
    <t>Variación predicha en las transferencias, neta (en porcentaje)</t>
  </si>
  <si>
    <t>Δ%transferencias</t>
  </si>
  <si>
    <r>
      <rPr>
        <sz val="11"/>
        <color theme="1"/>
        <rFont val="Calibri"/>
        <family val="2"/>
        <scheme val="minor"/>
      </rPr>
      <t>Δ%transferencias = ε</t>
    </r>
    <r>
      <rPr>
        <vertAlign val="subscript"/>
        <sz val="11"/>
        <color rgb="FF000000"/>
        <rFont val="Calibri"/>
        <family val="2"/>
        <scheme val="minor"/>
      </rPr>
      <t>transferencias, Yi</t>
    </r>
    <r>
      <rPr>
        <sz val="11"/>
        <color rgb="FF000000"/>
        <rFont val="Calibri"/>
        <family val="2"/>
        <scheme val="minor"/>
      </rPr>
      <t>*Δ%Yi</t>
    </r>
  </si>
  <si>
    <t>Macronia: Estado de las operaciones del gobierno general, 2006-12</t>
  </si>
  <si>
    <t>Impuestos</t>
  </si>
  <si>
    <t>Impuestos sobre el ingreso, las utilidades y las ganancias de capital</t>
  </si>
  <si>
    <t>Impuestos sobre bienes y servicios</t>
  </si>
  <si>
    <t>Impuestos sobre el comercio internacional</t>
  </si>
  <si>
    <t>Otros impuestos</t>
  </si>
  <si>
    <t>Contribuciones sociales</t>
  </si>
  <si>
    <t>Donaciones</t>
  </si>
  <si>
    <t>Otros ingresos 1/</t>
  </si>
  <si>
    <t>Gasto</t>
  </si>
  <si>
    <t>Remuneración de empleados</t>
  </si>
  <si>
    <t>Uso de bienes y servicios</t>
  </si>
  <si>
    <t>Consumo de capital fijo</t>
  </si>
  <si>
    <t>Intereses</t>
  </si>
  <si>
    <t>Sobre la deuda interna</t>
  </si>
  <si>
    <t>Sobre la deuda externa</t>
  </si>
  <si>
    <t>Subsidios</t>
  </si>
  <si>
    <t>Prestaciones sociales</t>
  </si>
  <si>
    <t>Otros gastos</t>
  </si>
  <si>
    <t>Resultado operativo neto</t>
  </si>
  <si>
    <t>Adquisición neta de activos no financieros</t>
  </si>
  <si>
    <t>Adquisición de activos no financieros</t>
  </si>
  <si>
    <t>Disposición de activos no financieros</t>
  </si>
  <si>
    <t>de la cual: venta de activos (privatización)</t>
  </si>
  <si>
    <t>Préstamo neto (-)/endeudamiento neto (+)</t>
  </si>
  <si>
    <t>Adquisición neta de activos financieros</t>
  </si>
  <si>
    <t>Internos</t>
  </si>
  <si>
    <t>Depósitos</t>
  </si>
  <si>
    <t>Acciones, préstamos y otros títulos de participación en el capital</t>
  </si>
  <si>
    <t>de los cuales: venta de participaciones de capital (privatización)</t>
  </si>
  <si>
    <t>de los cuales: préstamos para fines de política</t>
  </si>
  <si>
    <t>Externo</t>
  </si>
  <si>
    <t>De sociedades de depósito</t>
  </si>
  <si>
    <t>Del resto del sector privado</t>
  </si>
  <si>
    <t>Agregados y saldos seleccionados</t>
  </si>
  <si>
    <t>Gastos primarios</t>
  </si>
  <si>
    <t>Resultado operativo neto primario 2/</t>
  </si>
  <si>
    <t>Saldo global (FMI)</t>
  </si>
  <si>
    <t>Saldo primario global (FMI)</t>
  </si>
  <si>
    <t>Notas:</t>
  </si>
  <si>
    <t>1/ Otros ingresos no incluye la renta por concepto de intereses.</t>
  </si>
  <si>
    <t>2/ Puede dar por supuesto que la renta por concepto de intereses es cero.</t>
  </si>
  <si>
    <t>Contribuciones sociales (en porcentaje del PIB)</t>
  </si>
  <si>
    <t>Donaciones (en porcentaje del PIB)</t>
  </si>
  <si>
    <t>Otros ingresos (en porcentaje del PIB)</t>
  </si>
  <si>
    <r>
      <rPr>
        <sz val="11"/>
        <color theme="1"/>
        <rFont val="Calibri"/>
        <family val="2"/>
        <scheme val="minor"/>
      </rPr>
      <t xml:space="preserve">   </t>
    </r>
    <r>
      <rPr>
        <sz val="11"/>
        <color theme="1"/>
        <rFont val="Calibri"/>
        <family val="2"/>
        <scheme val="minor"/>
      </rPr>
      <t>Derechos netos frente al gobierno general (miles de millones de MN)</t>
    </r>
    <r>
      <rPr>
        <i/>
        <sz val="11"/>
        <color rgb="FF000000"/>
        <rFont val="Calibri"/>
        <family val="2"/>
        <scheme val="minor"/>
      </rPr>
      <t xml:space="preserve"> factor de monetario</t>
    </r>
  </si>
  <si>
    <t>verificar línea por encima y por debajo de la línea</t>
  </si>
  <si>
    <t>incurrimiento neto de pasivos (en porcentaje del total)</t>
  </si>
  <si>
    <t>Interno (en porcentaje del total)</t>
  </si>
  <si>
    <t>=SERIES(' _x000E_Gob_EOG_Ind'!$C$9,' _x000E_Gob_EOG_Ind'!$D$3:$K$3,' _x000E_Gob_EOG_Ind'!$D$9:$L$9,1)</t>
  </si>
  <si>
    <t>=SERIES(' _x000E_Gob_EOG_Ind'!$C$13,' _x000E_Gob_EOG_Ind'!$D$3:$L$3,' _x000E_Gob_EOG_Ind'!$D$13:$L$13,2)</t>
  </si>
  <si>
    <t>=SERIES(' _x000E_Gob_EOG_Ind'!$C$10,' _x000E_Gob_EOG_Ind'!$D$3:$K$3,' _x000E_Gob_EOG_Ind'!$D$10:$L$10,3)</t>
  </si>
  <si>
    <t>=SERIES(' _x000E_Gob_EOG_Ind'!$C$10,' _x000E_Gob_EOG_Ind'!$D$3:$L$3,' _x000E_Gob_EOG_Ind'!$D$10:$L$10,1)</t>
  </si>
  <si>
    <t>=SERIES(' _x000E_Gob_EOG_Ind'!$C$21,' _x000E_Gob_EOG_Ind'!$D$3:$L$3,' _x000E_Gob_EOG_Ind'!$D$21:$L$21,2)</t>
  </si>
  <si>
    <t>Macronia: Sector del gobierno general, indicadores seleccionados, 2006-12</t>
  </si>
  <si>
    <t>Estado de las operaciones del gobierno</t>
  </si>
  <si>
    <t>Gastos</t>
  </si>
  <si>
    <t>Referencia: «When and How to Adjust Beyond the Business Cycle? A Guide to Structural Fiscal Balances», abril de 2011 FMI</t>
  </si>
  <si>
    <t>de los cuales: gastos primarios</t>
  </si>
  <si>
    <t>http://www.imf.org/external/pubs/cat/longres.aspx?sk=24787</t>
  </si>
  <si>
    <t>Resultado operativo neto primario</t>
  </si>
  <si>
    <t>Préstamo neto/endeudamiento neto</t>
  </si>
  <si>
    <t>Saldo global primario</t>
  </si>
  <si>
    <t>(en miles de millones de moneda nacional, salvo indicación en contrario)</t>
  </si>
  <si>
    <t>Ajuste en función del ciclo</t>
  </si>
  <si>
    <t>Ingresos, a precios constantes de 2005</t>
  </si>
  <si>
    <t>Gastos primarios, a precios constantes de 2005</t>
  </si>
  <si>
    <t>Brecha del producto: PIB real/PIB potencial</t>
  </si>
  <si>
    <t>Supuesto: Elasticidad de los ingresos fiscales con respecto al PIB</t>
  </si>
  <si>
    <t>Ingresos ajustados, a precios constantes de 2005</t>
  </si>
  <si>
    <t>Resultado operativo neto primario ajustado, a precios constantes de 2005 1/</t>
  </si>
  <si>
    <t>Resultado operativo neto primario ajustado, en porcentaje del producto potencial</t>
  </si>
  <si>
    <t>Impulso fiscal (expansivo +)</t>
  </si>
  <si>
    <t>PIB nominal</t>
  </si>
  <si>
    <t>Deflactor del PIB (2005 = 100)</t>
  </si>
  <si>
    <t>PIB real, a precios constantes de 2005</t>
  </si>
  <si>
    <t>Saldo operativo primario</t>
  </si>
  <si>
    <t>Consumo del gobierno general</t>
  </si>
  <si>
    <t>Inversión del gobierno general</t>
  </si>
  <si>
    <t>Consumo del sector público</t>
  </si>
  <si>
    <t>Inversión del sector público</t>
  </si>
  <si>
    <t>1/ Suponer que los gastos primarios no se ven afectados por el ciclo económico.</t>
  </si>
  <si>
    <t>Macronia: Balance del gobierno general, 2006-12</t>
  </si>
  <si>
    <t>Saldo, final del año</t>
  </si>
  <si>
    <t>No financieros</t>
  </si>
  <si>
    <t>Financieros</t>
  </si>
  <si>
    <t>Depósitos en el sistema bancario</t>
  </si>
  <si>
    <t>Acciones y otras participaciones de capital</t>
  </si>
  <si>
    <t>Externos</t>
  </si>
  <si>
    <t>Frente a instituciones de depósito</t>
  </si>
  <si>
    <t>Frente al resto del sector privado</t>
  </si>
  <si>
    <t>Patrimonio neto (PN)</t>
  </si>
  <si>
    <t>Patrimonio financiero neto (PFN)</t>
  </si>
  <si>
    <t>Transacciones</t>
  </si>
  <si>
    <t>Otros flujos económicos (incluidas variaciones por revalorización)</t>
  </si>
  <si>
    <t>No financieros 1/</t>
  </si>
  <si>
    <t>Externa</t>
  </si>
  <si>
    <t>Verificación de coherencia</t>
  </si>
  <si>
    <r>
      <rPr>
        <sz val="11"/>
        <color theme="1"/>
        <rFont val="Calibri"/>
        <family val="2"/>
        <scheme val="minor"/>
      </rPr>
      <t>PN</t>
    </r>
    <r>
      <rPr>
        <vertAlign val="subscript"/>
        <sz val="11"/>
        <color theme="1"/>
        <rFont val="Calibri"/>
        <family val="2"/>
        <scheme val="minor"/>
      </rPr>
      <t>t-1</t>
    </r>
    <r>
      <rPr>
        <sz val="11"/>
        <color theme="1"/>
        <rFont val="Calibri"/>
        <family val="2"/>
        <scheme val="minor"/>
      </rPr>
      <t xml:space="preserve"> + RON</t>
    </r>
    <r>
      <rPr>
        <vertAlign val="subscript"/>
        <sz val="11"/>
        <color theme="1"/>
        <rFont val="Calibri"/>
        <family val="2"/>
        <scheme val="minor"/>
      </rPr>
      <t>t</t>
    </r>
    <r>
      <rPr>
        <sz val="11"/>
        <color theme="1"/>
        <rFont val="Calibri"/>
        <family val="2"/>
        <scheme val="minor"/>
      </rPr>
      <t xml:space="preserve"> + OET(Neto)</t>
    </r>
    <r>
      <rPr>
        <vertAlign val="subscript"/>
        <sz val="11"/>
        <color theme="1"/>
        <rFont val="Calibri"/>
        <family val="2"/>
        <scheme val="minor"/>
      </rPr>
      <t>t</t>
    </r>
    <r>
      <rPr>
        <sz val="11"/>
        <color theme="1"/>
        <rFont val="Calibri"/>
        <family val="2"/>
        <scheme val="minor"/>
      </rPr>
      <t xml:space="preserve"> - PN</t>
    </r>
    <r>
      <rPr>
        <vertAlign val="subscript"/>
        <sz val="11"/>
        <color theme="1"/>
        <rFont val="Calibri"/>
        <family val="2"/>
        <scheme val="minor"/>
      </rPr>
      <t>t</t>
    </r>
    <r>
      <rPr>
        <sz val="11"/>
        <color theme="1"/>
        <rFont val="Calibri"/>
        <family val="2"/>
        <scheme val="minor"/>
      </rPr>
      <t xml:space="preserve"> = 0</t>
    </r>
  </si>
  <si>
    <r>
      <rPr>
        <sz val="11"/>
        <color theme="1"/>
        <rFont val="Calibri"/>
        <family val="2"/>
        <scheme val="minor"/>
      </rPr>
      <t>PFNt-1 + PENt + OET(activos fin.)t - OET(pasivos)t - PFNt = 0</t>
    </r>
  </si>
  <si>
    <t>Resultado operativo neto (RON)</t>
  </si>
  <si>
    <t>Préstamo neto/endeudamiento neto (PEN)</t>
  </si>
  <si>
    <t>1/ A finales de 2012 Macronia sufrió un desastre natural, que produjo una cuantiosa pérdida de activos no financieros.</t>
  </si>
  <si>
    <t>(porcentaje)</t>
  </si>
  <si>
    <t>Indicadores seleccionados</t>
  </si>
  <si>
    <t>Pagos de intereses/PIB</t>
  </si>
  <si>
    <t>Pagos de intereses/gastos</t>
  </si>
  <si>
    <t>Pagos de intereses/ingresos</t>
  </si>
  <si>
    <t>Tasa de interés implícita media</t>
  </si>
  <si>
    <t>Tasa de interés sobre deuda interna</t>
  </si>
  <si>
    <t>IBR (tasa de préstamos interbancarios)</t>
  </si>
  <si>
    <t>Diferencial de tasas de interés sobre deuda interna e IBR media a dos años</t>
  </si>
  <si>
    <t>PIB nominal, en miles de millones de moneda local</t>
  </si>
  <si>
    <t>Pasivos internos</t>
  </si>
  <si>
    <t>Patrimonio neto</t>
  </si>
  <si>
    <t>Patrimonio financiero neto</t>
  </si>
  <si>
    <t>Pagos de intereses</t>
  </si>
  <si>
    <t>Pagos de intereses internos</t>
  </si>
  <si>
    <t>NOTE:  No está claro cuál es la serie 1, serie 3.</t>
  </si>
  <si>
    <t>Macronia: Impuestos, 2008-2013</t>
  </si>
  <si>
    <t xml:space="preserve"> (en miles de millones de moneda nacional)</t>
  </si>
  <si>
    <t>Ingreso tributario</t>
  </si>
  <si>
    <t>(variaciones porcentuales)</t>
  </si>
  <si>
    <t>PIB nominal (base tributaria representativa)</t>
  </si>
  <si>
    <t>Consumo (base tributaria representativa)</t>
  </si>
  <si>
    <t>Importaciones (base tributaria representativa)</t>
  </si>
  <si>
    <t>(variación de la base tributaria representativa, porcentaje)</t>
  </si>
  <si>
    <t xml:space="preserve"> (en porcentaje)</t>
  </si>
  <si>
    <t>Tasas efectivas del impuesto</t>
  </si>
  <si>
    <t>Capacidad de reacción</t>
  </si>
  <si>
    <t>b</t>
  </si>
  <si>
    <t>tmi</t>
  </si>
  <si>
    <t>tei</t>
  </si>
  <si>
    <t>Macronia:  Pronóstico de impuestos</t>
  </si>
  <si>
    <t>Método 1: Usando tasas efectivas de impuesto (TEI)</t>
  </si>
  <si>
    <t>Método 2: Usando capacidad de reacción</t>
  </si>
  <si>
    <t xml:space="preserve">Hoja de cálculo para pronosticar el gasto del gobierno general en 2014 </t>
  </si>
  <si>
    <t>NO AGREGAR NI ELEMINAR FILAS NI COLUMNAS EN ESTA HOJA. Si lo hace, las direcciones para 'buscar objetivo' serán diferentes de las indicadas en las instrucciones.</t>
  </si>
  <si>
    <t xml:space="preserve"> (en miles de millones de moneda nacional, salvo indicación en contrario)</t>
  </si>
  <si>
    <t xml:space="preserve"> De la pestaña Gob_EOG</t>
  </si>
  <si>
    <t xml:space="preserve"> Tasa de crecimiento dada (ver partidas informativas más adelante)</t>
  </si>
  <si>
    <t xml:space="preserve"> Suponer que es igual a crecimiento del PIB nominal</t>
  </si>
  <si>
    <t xml:space="preserve">  1. Pagos de intereses de la deuda externa</t>
  </si>
  <si>
    <r>
      <rPr>
        <sz val="11"/>
        <color theme="1"/>
        <rFont val="Calibri"/>
        <family val="2"/>
        <scheme val="minor"/>
      </rPr>
      <t xml:space="preserve"> </t>
    </r>
    <r>
      <rPr>
        <sz val="11"/>
        <color theme="1"/>
        <rFont val="Calibri"/>
        <family val="2"/>
        <scheme val="minor"/>
      </rPr>
      <t xml:space="preserve">Tasa de interés * stock de deuda </t>
    </r>
    <r>
      <rPr>
        <u/>
        <sz val="11"/>
        <color rgb="FF000000"/>
        <rFont val="Calibri"/>
        <family val="2"/>
        <scheme val="minor"/>
      </rPr>
      <t>2013</t>
    </r>
    <r>
      <rPr>
        <u/>
        <sz val="11"/>
        <color rgb="FF000000"/>
        <rFont val="Calibri"/>
        <family val="2"/>
        <scheme val="minor"/>
      </rPr>
      <t xml:space="preserve"> </t>
    </r>
    <r>
      <rPr>
        <sz val="11"/>
        <color rgb="FF000000"/>
        <rFont val="Calibri"/>
        <family val="2"/>
        <scheme val="minor"/>
      </rPr>
      <t>* tipo de cambio medio</t>
    </r>
  </si>
  <si>
    <t xml:space="preserve">      Tasa de interés de la deuda externa</t>
  </si>
  <si>
    <t xml:space="preserve"> Supuesto exógeno LIBOR + diferencial de 3%</t>
  </si>
  <si>
    <t xml:space="preserve">      Stock de deuda externa (en millones de USD, f.d.p.)</t>
  </si>
  <si>
    <t xml:space="preserve"> Stock de 2013 en USD + endeudamiento externo neto en 2014 (MN/tipo de cambio medio)</t>
  </si>
  <si>
    <t>2.  Pagos de intereses de deuda del banco central</t>
  </si>
  <si>
    <r>
      <rPr>
        <sz val="11"/>
        <color theme="1"/>
        <rFont val="Calibri"/>
        <family val="2"/>
        <scheme val="minor"/>
      </rPr>
      <t xml:space="preserve"> </t>
    </r>
    <r>
      <rPr>
        <sz val="11"/>
        <color theme="1"/>
        <rFont val="Calibri"/>
        <family val="2"/>
        <scheme val="minor"/>
      </rPr>
      <t xml:space="preserve">Tasa de interés * stock de deuda </t>
    </r>
    <r>
      <rPr>
        <u/>
        <sz val="11"/>
        <color rgb="FF000000"/>
        <rFont val="Calibri"/>
        <family val="2"/>
        <scheme val="minor"/>
      </rPr>
      <t>medio 1995-96</t>
    </r>
    <r>
      <rPr>
        <sz val="11"/>
        <color rgb="FF000000"/>
        <rFont val="Calibri"/>
        <family val="2"/>
        <scheme val="minor"/>
      </rPr>
      <t xml:space="preserve"> </t>
    </r>
  </si>
  <si>
    <t xml:space="preserve">      Pagos de intereses de deuda del banco central</t>
  </si>
  <si>
    <t xml:space="preserve"> De la unidad 12, sección 6.2</t>
  </si>
  <si>
    <t xml:space="preserve">      Stock de deuda del banco central </t>
  </si>
  <si>
    <t xml:space="preserve"> stock 1995 + endeudamiento banco central neto en 1996</t>
  </si>
  <si>
    <t xml:space="preserve">      Endeudamiento del banco central neto</t>
  </si>
  <si>
    <t xml:space="preserve">      Tipo de cambio (promedio)</t>
  </si>
  <si>
    <t xml:space="preserve"> 2.  Pagos de intereses por deuda interna</t>
  </si>
  <si>
    <r>
      <rPr>
        <sz val="11"/>
        <color theme="1"/>
        <rFont val="Calibri"/>
        <family val="2"/>
        <scheme val="minor"/>
      </rPr>
      <t xml:space="preserve"> </t>
    </r>
    <r>
      <rPr>
        <sz val="11"/>
        <color theme="1"/>
        <rFont val="Calibri"/>
        <family val="2"/>
        <scheme val="minor"/>
      </rPr>
      <t xml:space="preserve">Tasa de interés * </t>
    </r>
    <r>
      <rPr>
        <u/>
        <sz val="11"/>
        <color rgb="FF000000"/>
        <rFont val="Calibri"/>
        <family val="2"/>
        <scheme val="minor"/>
      </rPr>
      <t>12</t>
    </r>
    <r>
      <rPr>
        <sz val="11"/>
        <color rgb="FF000000"/>
        <rFont val="Calibri"/>
        <family val="2"/>
        <scheme val="minor"/>
      </rPr>
      <t xml:space="preserve"> stock de deuda de gob. gen.</t>
    </r>
    <r>
      <rPr>
        <sz val="11"/>
        <color rgb="FF000000"/>
        <rFont val="Calibri"/>
        <family val="2"/>
        <scheme val="minor"/>
      </rPr>
      <t xml:space="preserve"> </t>
    </r>
  </si>
  <si>
    <t xml:space="preserve">      Tasa de interés sobre deuda interna</t>
  </si>
  <si>
    <t xml:space="preserve"> De la hoja Gob_Stock_Ind</t>
  </si>
  <si>
    <t xml:space="preserve">      Stock de deuda externa </t>
  </si>
  <si>
    <t xml:space="preserve"> stock 2013 stock + endeudamiento interno neto en 2014</t>
  </si>
  <si>
    <t xml:space="preserve">     Adquisición de activos financieros</t>
  </si>
  <si>
    <t xml:space="preserve">     Consumo de capital fijo</t>
  </si>
  <si>
    <t>Financiamiento (préstamo neto/endeudamiento neto)</t>
  </si>
  <si>
    <t xml:space="preserve"> =Saldo global, con signo opuesto</t>
  </si>
  <si>
    <t>Endeudamiento externo (neto)</t>
  </si>
  <si>
    <t>Supuesto</t>
  </si>
  <si>
    <t>Endeudamiento interno (neto)</t>
  </si>
  <si>
    <t xml:space="preserve">Residuo </t>
  </si>
  <si>
    <t xml:space="preserve">   Supuesto inicial para endeudamiento interno</t>
  </si>
  <si>
    <t xml:space="preserve">   Verificación </t>
  </si>
  <si>
    <t xml:space="preserve">  PIB nominal</t>
  </si>
  <si>
    <t>Supuesto inicial</t>
  </si>
  <si>
    <t xml:space="preserve">  Crecimiento del PIB real</t>
  </si>
  <si>
    <t xml:space="preserve">  Inflación según IPC</t>
  </si>
  <si>
    <t>Variable endógena (ver pestaña Inflación)</t>
  </si>
  <si>
    <t xml:space="preserve">  Tipo de cambio nominal (promedio del período)</t>
  </si>
  <si>
    <t>Variable endógena (ver pestaña TC nominal)</t>
  </si>
  <si>
    <t xml:space="preserve">  Deflactor de la inversión</t>
  </si>
  <si>
    <t>Variable endógena</t>
  </si>
  <si>
    <t xml:space="preserve">  Estímulo fiscal (tasa de crecimiento real de consumo del gobierno)</t>
  </si>
  <si>
    <t xml:space="preserve">  Crecimiento real de inversión del gobierno</t>
  </si>
  <si>
    <t>Variable endógena (ver pestaña Inversión privada real)</t>
  </si>
  <si>
    <t>Macronia: Panorama de las sociedades de depósito (PSD), 2006-14</t>
  </si>
  <si>
    <t>Panorama de las sociedades de depósito (PSD)</t>
  </si>
  <si>
    <t>Metodología de pronósticos</t>
  </si>
  <si>
    <t xml:space="preserve"> ACTIVOS</t>
  </si>
  <si>
    <t xml:space="preserve"> Recordar que Activos=Pasivos</t>
  </si>
  <si>
    <t>Activos externos netos</t>
  </si>
  <si>
    <t xml:space="preserve"> Paso 3: De «AEN y OPN totales» </t>
  </si>
  <si>
    <t>Activos internos netos</t>
  </si>
  <si>
    <t xml:space="preserve"> Paso 4: Activos - AEN</t>
  </si>
  <si>
    <t>Crédito interno neto</t>
  </si>
  <si>
    <t xml:space="preserve"> Paso 6:  = Activos internos netos - Otras partidas, netas</t>
  </si>
  <si>
    <t>Derechos netos frente al sector público</t>
  </si>
  <si>
    <t xml:space="preserve"> Paso 8:  = Derechos frente al gob. general + Resto del sector público</t>
  </si>
  <si>
    <t>Frente a gobiernos generales</t>
  </si>
  <si>
    <t xml:space="preserve"> Paso 7: = stock 2013 + endeudamiento de 2014 con el banco central y bancos comerciales Gob_EOG</t>
  </si>
  <si>
    <t>Frente a resto del sector público</t>
  </si>
  <si>
    <t xml:space="preserve"> Suponer que no hay variaciones</t>
  </si>
  <si>
    <t>Derechos frente al resto del sector privado</t>
  </si>
  <si>
    <t xml:space="preserve"> Paso 9: Residuo</t>
  </si>
  <si>
    <t>Otras partidas (netas)</t>
  </si>
  <si>
    <t xml:space="preserve"> Paso 5: De «AEN y OPN totales»</t>
  </si>
  <si>
    <t xml:space="preserve"> PASIVOS</t>
  </si>
  <si>
    <t xml:space="preserve"> Dinero en sentido amplio (M3)</t>
  </si>
  <si>
    <t xml:space="preserve"> Paso 1: Escribir pronóstico para dinero en sentido amplio al fin del período usando la hoja «Velocidad y demanda de dinero»</t>
  </si>
  <si>
    <t>Dinero en circulación</t>
  </si>
  <si>
    <t xml:space="preserve"> Paso 2a: Pronosticar suponiendo que relación con respecto a dinero en sentido amplio en 2012 prevalece en 2013   </t>
  </si>
  <si>
    <t xml:space="preserve"> Paso 2b: Pronosticar suponiendo que relación con respecto a dinero en sentido amplio en 2012 prevalece en 2013</t>
  </si>
  <si>
    <t xml:space="preserve">Bonos del banco central en poder el público  </t>
  </si>
  <si>
    <t xml:space="preserve"> Paso 2c: M3 - Dinero en circulación - Depósitos   </t>
  </si>
  <si>
    <t>Metodología de pronósticos (terminar primero el anterior Panorama de sociedades de depósito)</t>
  </si>
  <si>
    <t>ACTIVOS</t>
  </si>
  <si>
    <t>ACTIVOS = PASIVOS</t>
  </si>
  <si>
    <t xml:space="preserve">Activos externos netos </t>
  </si>
  <si>
    <t>Paso 2: De «AEN y OPN para BC»</t>
  </si>
  <si>
    <t xml:space="preserve">Activos internos netos </t>
  </si>
  <si>
    <t>Paso 3: = Activos - AEN</t>
  </si>
  <si>
    <t>Paso 6: Suma de dos celdas siguientes</t>
  </si>
  <si>
    <t>Frente a gobierno general</t>
  </si>
  <si>
    <t>Paso 4:  Suponer que no hay variaciones</t>
  </si>
  <si>
    <t xml:space="preserve">Paso 5: Suponer que no hay variaciones </t>
  </si>
  <si>
    <t>Activos frente a otras sociedades de depósito</t>
  </si>
  <si>
    <t>Paso 10: Residuo</t>
  </si>
  <si>
    <t xml:space="preserve">Paso 7: Suponer que no hay variaciones </t>
  </si>
  <si>
    <t>Bonos del banco central</t>
  </si>
  <si>
    <t>Paso 8: Del PSD anterior</t>
  </si>
  <si>
    <t>Otras partidas netas</t>
  </si>
  <si>
    <t>Paso 9: De «AEN y OPN para BC»</t>
  </si>
  <si>
    <t>PASIVOS</t>
  </si>
  <si>
    <t>Base monetaria</t>
  </si>
  <si>
    <t>Paso 1: De «Multiplicador del dinero»</t>
  </si>
  <si>
    <t>Paso 11:  Fijar igual que dinero en circulación (componente de dinero en sentido amplio) de la PSD anterior</t>
  </si>
  <si>
    <t>Pasivos frente a otras sociedades de depósito.</t>
  </si>
  <si>
    <t>Paso 12:  = Base monetaria - Dinero en circulación</t>
  </si>
  <si>
    <t>Metodología de pronósticos (terminar primer el Panorama de sociedades de depósito y el balance del banco central)</t>
  </si>
  <si>
    <t>Paso 3: AEN del PSD - AEN del banco central</t>
  </si>
  <si>
    <t>Paso 4: AIN = Activos - AEN</t>
  </si>
  <si>
    <t>Derechos frente al banco central</t>
  </si>
  <si>
    <t>Paso 5: De pasivos del BC</t>
  </si>
  <si>
    <t>Paso 6: Derechos netos totales frente al sector público del PSD - Derechos netos totales frente al sector público del BC</t>
  </si>
  <si>
    <t>Paso 7: = Stock en 2013 más endeudamiento nuevo de la hoja Gob_EOG</t>
  </si>
  <si>
    <t xml:space="preserve">Paso 8: Suponer que no hay variaciones </t>
  </si>
  <si>
    <t>Derechos frente a resto del sector privado</t>
  </si>
  <si>
    <t xml:space="preserve">Paso 9: = Derechos frente al resto del sector privado del PSD - Derechos frente al resto del sector privado del BC </t>
  </si>
  <si>
    <t>Paso 10: = OPN del PSD - OPN del BC</t>
  </si>
  <si>
    <t>Paso 1: Del lado del pasivo del PSD</t>
  </si>
  <si>
    <t>Pasivos frente la banco central</t>
  </si>
  <si>
    <t>Paso 2: De los activos del BC</t>
  </si>
  <si>
    <t>Macronia: Velocidad de circulación, 2006-2014</t>
  </si>
  <si>
    <t>Pronóstico:
2014</t>
  </si>
  <si>
    <r>
      <rPr>
        <sz val="11"/>
        <color theme="1"/>
        <rFont val="Calibri"/>
        <family val="2"/>
        <scheme val="minor"/>
      </rPr>
      <t xml:space="preserve">Stock de dinero en sentido amplio </t>
    </r>
    <r>
      <rPr>
        <i/>
        <sz val="11"/>
        <color rgb="FF000000"/>
        <rFont val="Calibri"/>
        <family val="2"/>
        <scheme val="minor"/>
      </rPr>
      <t>(fin del período)</t>
    </r>
    <r>
      <rPr>
        <i/>
        <sz val="11"/>
        <color rgb="FF000000"/>
        <rFont val="Calibri"/>
        <family val="2"/>
        <scheme val="minor"/>
      </rPr>
      <t xml:space="preserve"> </t>
    </r>
  </si>
  <si>
    <t xml:space="preserve"> De la hoja DD</t>
  </si>
  <si>
    <t xml:space="preserve">Stock medio de dinero en sentido amplio </t>
  </si>
  <si>
    <t xml:space="preserve"> Promedio</t>
  </si>
  <si>
    <t xml:space="preserve"> De PIB_nominal</t>
  </si>
  <si>
    <t>Velocidad de circulación del stock medio de dinero</t>
  </si>
  <si>
    <t>Serie de datos para estimación de demanda de dinero</t>
  </si>
  <si>
    <t>ln M3R</t>
  </si>
  <si>
    <t>Ecuación de demanda de dinero</t>
  </si>
  <si>
    <t>Efectiva</t>
  </si>
  <si>
    <t>Ajustada</t>
  </si>
  <si>
    <t>M3</t>
  </si>
  <si>
    <t>IPC</t>
  </si>
  <si>
    <t>IBR</t>
  </si>
  <si>
    <t>ln IBR</t>
  </si>
  <si>
    <t>ln(M3R) = b0 + b1*ln(RY)+b2*ln(IBR)</t>
  </si>
  <si>
    <t>b0</t>
  </si>
  <si>
    <t>b1</t>
  </si>
  <si>
    <t>b2</t>
  </si>
  <si>
    <t/>
  </si>
  <si>
    <t>M3R</t>
  </si>
  <si>
    <t>M3 real = M3/IPC</t>
  </si>
  <si>
    <t>Índice de precios al consumidor</t>
  </si>
  <si>
    <t>Tasa interbancaria (promedio, en %)</t>
  </si>
  <si>
    <t>Serie de datos para la regla de Taylor</t>
  </si>
  <si>
    <t>Tasa de política monetaria</t>
  </si>
  <si>
    <t xml:space="preserve">Inflación según IPC </t>
  </si>
  <si>
    <t>Brecha de inflación</t>
  </si>
  <si>
    <t>Tasa de PM rezagada</t>
  </si>
  <si>
    <t>Tasa de interés real neutral</t>
  </si>
  <si>
    <t>Tasa interbancaria</t>
  </si>
  <si>
    <t xml:space="preserve">PIB real potencial </t>
  </si>
  <si>
    <t>Interanual efectiva (%)</t>
  </si>
  <si>
    <t>Meta (%)</t>
  </si>
  <si>
    <t>Expectativas interanuales (%)</t>
  </si>
  <si>
    <t>%</t>
  </si>
  <si>
    <t>Interanual (%)</t>
  </si>
  <si>
    <t>Año base=2005</t>
  </si>
  <si>
    <t xml:space="preserve">Regla de Taylor: </t>
  </si>
  <si>
    <t>Coeficientes</t>
  </si>
  <si>
    <t>Alfa</t>
  </si>
  <si>
    <t xml:space="preserve">Beta </t>
  </si>
  <si>
    <t>Ro</t>
  </si>
  <si>
    <t>Macronia:  Pronóstico de tasa de interés interbancaria para 2014</t>
  </si>
  <si>
    <t>Pronóstico de la tasa de política monetaria, promedio</t>
  </si>
  <si>
    <t>Diferencial, promedio</t>
  </si>
  <si>
    <t>Pronóstico de tasa de interés interbancaria, promedio</t>
  </si>
  <si>
    <t>Suma de pronóstico y diferencial</t>
  </si>
  <si>
    <t xml:space="preserve">Macronia: Pronóstico de activos externos netos (AEN) totales </t>
  </si>
  <si>
    <t>en el panorama de las sociedades de depósito</t>
  </si>
  <si>
    <r>
      <rPr>
        <sz val="11"/>
        <color theme="1"/>
        <rFont val="Calibri"/>
        <family val="2"/>
        <scheme val="minor"/>
      </rPr>
      <t xml:space="preserve">AEN al final de 2013 </t>
    </r>
    <r>
      <rPr>
        <i/>
        <sz val="11"/>
        <color rgb="FF000000"/>
        <rFont val="Calibri"/>
        <family val="2"/>
        <scheme val="minor"/>
      </rPr>
      <t>(en miles de millones de moneda nacional)</t>
    </r>
  </si>
  <si>
    <t xml:space="preserve"> Del Panorama de sociedades de depósito (ver la hoja «MON_PSD»)</t>
  </si>
  <si>
    <r>
      <rPr>
        <sz val="11"/>
        <color theme="1"/>
        <rFont val="Calibri"/>
        <family val="2"/>
        <scheme val="minor"/>
      </rPr>
      <t xml:space="preserve">Tipo de cambio al final de 2013 </t>
    </r>
    <r>
      <rPr>
        <i/>
        <sz val="11"/>
        <color rgb="FF000000"/>
        <rFont val="Calibri"/>
        <family val="2"/>
        <scheme val="minor"/>
      </rPr>
      <t>(en moneda nacional por dólar de EE.UU.)</t>
    </r>
  </si>
  <si>
    <t xml:space="preserve"> De la hoja «TC nominal»</t>
  </si>
  <si>
    <r>
      <rPr>
        <sz val="11"/>
        <color theme="1"/>
        <rFont val="Calibri"/>
        <family val="2"/>
        <scheme val="minor"/>
      </rPr>
      <t xml:space="preserve">AEN al final de 2013 </t>
    </r>
    <r>
      <rPr>
        <i/>
        <sz val="11"/>
        <color rgb="FF000000"/>
        <rFont val="Calibri"/>
        <family val="2"/>
        <scheme val="minor"/>
      </rPr>
      <t>(en millones de dólares de EE.UU.)</t>
    </r>
  </si>
  <si>
    <t xml:space="preserve">  = AEN (miles de millones de moneda nacional) / Tipo de cambio al fin del período, convertido a millones</t>
  </si>
  <si>
    <r>
      <rPr>
        <sz val="11"/>
        <color theme="1"/>
        <rFont val="Calibri"/>
        <family val="2"/>
        <scheme val="minor"/>
      </rPr>
      <t xml:space="preserve">Saldo global de la BP en 2014 </t>
    </r>
    <r>
      <rPr>
        <i/>
        <sz val="11"/>
        <color theme="1"/>
        <rFont val="Calibri"/>
        <family val="2"/>
        <scheme val="minor"/>
      </rPr>
      <t>(en millones de dólares de EE.UU.)</t>
    </r>
  </si>
  <si>
    <t xml:space="preserve"> De la hoja «BP»</t>
  </si>
  <si>
    <t>Endeudamiento de banco comerciales (menos)</t>
  </si>
  <si>
    <t xml:space="preserve"> = Incurrimiento neto de pasivos de otras sociedades de depósito (menos).  De la hoja «BP»</t>
  </si>
  <si>
    <r>
      <rPr>
        <sz val="11"/>
        <color theme="1"/>
        <rFont val="Calibri"/>
        <family val="2"/>
        <scheme val="minor"/>
      </rPr>
      <t xml:space="preserve">AEN al final de 2014 </t>
    </r>
    <r>
      <rPr>
        <i/>
        <sz val="11"/>
        <color theme="1"/>
        <rFont val="Calibri"/>
        <family val="2"/>
        <scheme val="minor"/>
      </rPr>
      <t>(en millones de dólares de EE.UU.)</t>
    </r>
  </si>
  <si>
    <t xml:space="preserve">  = AEN al final de 2013 + saldo global de la BP en 2014 + Endeudamiento de banco comerciales</t>
  </si>
  <si>
    <r>
      <rPr>
        <sz val="11"/>
        <color theme="1"/>
        <rFont val="Calibri"/>
        <family val="2"/>
        <scheme val="minor"/>
      </rPr>
      <t xml:space="preserve">Tipo de cambio al final de 2014 </t>
    </r>
    <r>
      <rPr>
        <i/>
        <sz val="11"/>
        <color rgb="FF000000"/>
        <rFont val="Calibri"/>
        <family val="2"/>
        <scheme val="minor"/>
      </rPr>
      <t>(en moneda nacional por dólar de EE.UU.)</t>
    </r>
  </si>
  <si>
    <r>
      <rPr>
        <sz val="11"/>
        <color theme="1"/>
        <rFont val="Calibri"/>
        <family val="2"/>
        <scheme val="minor"/>
      </rPr>
      <t xml:space="preserve">AEN al final de 2014 </t>
    </r>
    <r>
      <rPr>
        <i/>
        <sz val="11"/>
        <color rgb="FF000000"/>
        <rFont val="Calibri"/>
        <family val="2"/>
        <scheme val="minor"/>
      </rPr>
      <t>(en miles de millones de moneda nacional)</t>
    </r>
  </si>
  <si>
    <t xml:space="preserve">  Volver a convertir de millones de $ a miles de millones de moneda nacional</t>
  </si>
  <si>
    <t>Macronia: Pronóstico de otras partidas netas (OPN)</t>
  </si>
  <si>
    <r>
      <rPr>
        <sz val="11"/>
        <color theme="1"/>
        <rFont val="Calibri"/>
        <family val="2"/>
        <scheme val="minor"/>
      </rPr>
      <t xml:space="preserve">Otras partidas netas, al final de 2013 </t>
    </r>
    <r>
      <rPr>
        <i/>
        <sz val="11"/>
        <color rgb="FF000000"/>
        <rFont val="Calibri"/>
        <family val="2"/>
        <scheme val="minor"/>
      </rPr>
      <t>(en miles de millones de moneda nacional)</t>
    </r>
  </si>
  <si>
    <t xml:space="preserve"> Del panorama de sociedades de depósito de 2013 (ver la hoja «MON_PSD»)</t>
  </si>
  <si>
    <r>
      <rPr>
        <i/>
        <sz val="11"/>
        <color theme="1"/>
        <rFont val="Calibri"/>
        <family val="2"/>
        <scheme val="minor"/>
      </rPr>
      <t xml:space="preserve">   </t>
    </r>
    <r>
      <rPr>
        <sz val="11"/>
        <color rgb="FF000000"/>
        <rFont val="Calibri"/>
        <family val="2"/>
        <scheme val="minor"/>
      </rPr>
      <t>Ajuste por valoración</t>
    </r>
  </si>
  <si>
    <t xml:space="preserve">         AEN al final de 2014</t>
  </si>
  <si>
    <t xml:space="preserve"> Ver cuadro anterior</t>
  </si>
  <si>
    <r>
      <rPr>
        <sz val="11"/>
        <color theme="1"/>
        <rFont val="Calibri"/>
        <family val="2"/>
        <scheme val="minor"/>
      </rPr>
      <t xml:space="preserve">         </t>
    </r>
    <r>
      <rPr>
        <i/>
        <sz val="11"/>
        <color rgb="FF000000"/>
        <rFont val="Calibri"/>
        <family val="2"/>
        <scheme val="minor"/>
      </rPr>
      <t>Menos:</t>
    </r>
    <r>
      <rPr>
        <sz val="11"/>
        <color rgb="FF000000"/>
        <rFont val="Calibri"/>
        <family val="2"/>
        <scheme val="minor"/>
      </rPr>
      <t xml:space="preserve"> </t>
    </r>
    <r>
      <rPr>
        <sz val="11"/>
        <color rgb="FF000000"/>
        <rFont val="Calibri"/>
        <family val="2"/>
        <scheme val="minor"/>
      </rPr>
      <t>AEN al comienzo de 2014 (es decir, final de 2013)</t>
    </r>
  </si>
  <si>
    <t xml:space="preserve"> Del panorama de sociedades de depósito (ver la hoja «MON_PSD»)</t>
  </si>
  <si>
    <r>
      <rPr>
        <sz val="11"/>
        <color theme="1"/>
        <rFont val="Calibri"/>
        <family val="2"/>
        <scheme val="minor"/>
      </rPr>
      <t xml:space="preserve">         </t>
    </r>
    <r>
      <rPr>
        <i/>
        <sz val="11"/>
        <color rgb="FF000000"/>
        <rFont val="Calibri"/>
        <family val="2"/>
        <scheme val="minor"/>
      </rPr>
      <t>Menos:</t>
    </r>
    <r>
      <rPr>
        <sz val="11"/>
        <color rgb="FF000000"/>
        <rFont val="Calibri"/>
        <family val="2"/>
        <scheme val="minor"/>
      </rPr>
      <t xml:space="preserve"> </t>
    </r>
    <r>
      <rPr>
        <sz val="11"/>
        <color rgb="FF000000"/>
        <rFont val="Calibri"/>
        <family val="2"/>
        <scheme val="minor"/>
      </rPr>
      <t>Variación de AEN durante 2014 por saldo global de la BP</t>
    </r>
  </si>
  <si>
    <t xml:space="preserve"> = Saldo global de la BP evaluado según tipo de cambio medio de 2014. De las hojas «BP» y «TC nominal»</t>
  </si>
  <si>
    <r>
      <rPr>
        <sz val="11"/>
        <color theme="1"/>
        <rFont val="Calibri"/>
        <family val="2"/>
        <scheme val="minor"/>
      </rPr>
      <t xml:space="preserve">         </t>
    </r>
    <r>
      <rPr>
        <i/>
        <sz val="11"/>
        <color rgb="FF000000"/>
        <rFont val="Calibri"/>
        <family val="2"/>
        <scheme val="minor"/>
      </rPr>
      <t>Menos:</t>
    </r>
    <r>
      <rPr>
        <sz val="11"/>
        <color rgb="FF000000"/>
        <rFont val="Calibri"/>
        <family val="2"/>
        <scheme val="minor"/>
      </rPr>
      <t xml:space="preserve"> </t>
    </r>
    <r>
      <rPr>
        <sz val="11"/>
        <color rgb="FF000000"/>
        <rFont val="Calibri"/>
        <family val="2"/>
        <scheme val="minor"/>
      </rPr>
      <t>Variación de AEN durante 2014 por endeudamiento de banco comerciales (menos)</t>
    </r>
  </si>
  <si>
    <t xml:space="preserve"> = Incurrimiento neto de pasivos de otras sociedades de depósito (menos).  De la hoja «BP».  Convertido a moneda nacional usando el tipo de cambio medio del período</t>
  </si>
  <si>
    <t>Otras partidas netas, al final de 2014</t>
  </si>
  <si>
    <t xml:space="preserve"> Otras partidas netas, al final de 2013 - ajusto por valoración</t>
  </si>
  <si>
    <t>12.37a.</t>
  </si>
  <si>
    <t>Macronia: Multiplicador del dinero, 2006-2014</t>
  </si>
  <si>
    <t>(en miles de millones de moneda nacional, fin del período)</t>
  </si>
  <si>
    <r>
      <rPr>
        <sz val="11"/>
        <color theme="1"/>
        <rFont val="Calibri"/>
        <family val="2"/>
        <scheme val="minor"/>
      </rPr>
      <t xml:space="preserve">Dinero de reserva </t>
    </r>
    <r>
      <rPr>
        <i/>
        <sz val="11"/>
        <color theme="1"/>
        <rFont val="Calibri"/>
        <family val="2"/>
        <scheme val="minor"/>
      </rPr>
      <t>(en miles de millones de moneda nacional)</t>
    </r>
  </si>
  <si>
    <t xml:space="preserve"> RM = M2 / mm</t>
  </si>
  <si>
    <t xml:space="preserve"> De MON_PSD</t>
  </si>
  <si>
    <t>Multiplicador del dinero</t>
  </si>
  <si>
    <t xml:space="preserve"> Método 1: Usar multiplicador de 2013</t>
  </si>
  <si>
    <t xml:space="preserve"> Método 2: Promedio de 2006-13</t>
  </si>
  <si>
    <t xml:space="preserve"> Método 3: Tendencia</t>
  </si>
  <si>
    <t>Macronia: Pronóstico de activos externos netos del banco central</t>
  </si>
  <si>
    <t>AEN al final del ejercicio previo (en miles de millones de moneda nacional)</t>
  </si>
  <si>
    <t xml:space="preserve"> De la hoja MON_PSD</t>
  </si>
  <si>
    <t>Tipo de cambio al final del ejercicio previo (en moneda nacional por dólar de EE.UU.)</t>
  </si>
  <si>
    <r>
      <t xml:space="preserve">AEN al final del ejercicio previo </t>
    </r>
    <r>
      <rPr>
        <i/>
        <sz val="11"/>
        <rFont val="Calibri"/>
        <family val="2"/>
        <scheme val="minor"/>
      </rPr>
      <t>(en millones de dólares de EE.UU.)</t>
    </r>
  </si>
  <si>
    <t xml:space="preserve"> AEN en moneda nacional/Tipo de cambio convertido a millones</t>
  </si>
  <si>
    <t>Saldo global de la BP en el ejercicio corriente (en millones de dólares de EE.UU.)</t>
  </si>
  <si>
    <t>AEN al final del ejercicio previo (en millones de dólares de EE.UU.)</t>
  </si>
  <si>
    <t xml:space="preserve"> Valor al final de 2013 + variación en 2014 (de BP)</t>
  </si>
  <si>
    <t>Tipo de cambio al final del ejercicio corriente (en moneda nacional por dólar de EE.UU.)</t>
  </si>
  <si>
    <t>AEN al final del ejercicio corriente (en miles de millones de moneda nacional)</t>
  </si>
  <si>
    <t xml:space="preserve"> AEN en $ * tipo de cambio convertido una vez más a miles de millones</t>
  </si>
  <si>
    <t>Macronia: Pronóstico de otras partidas netas, en el banco central</t>
  </si>
  <si>
    <t>Otras partidas netas, al final de 2013</t>
  </si>
  <si>
    <t xml:space="preserve">   Ajuste por valoración</t>
  </si>
  <si>
    <t xml:space="preserve">         AEN al final de 2014 (en miles de millones de moneda nacional)</t>
  </si>
  <si>
    <t xml:space="preserve"> Del cuadro anterior</t>
  </si>
  <si>
    <t xml:space="preserve">         Menos: AEN al comienzo de 2014 (es decir, final de 2013) (en miles de millones de moneda nacional)</t>
  </si>
  <si>
    <t xml:space="preserve">         Menos: Variación de AEN durante 2014 (superávit en BP)</t>
  </si>
  <si>
    <t xml:space="preserve"> Del cuadro AEN y OPN totales</t>
  </si>
  <si>
    <t>Macronia: Indicadores de cuentas monetarias, 2006-13</t>
  </si>
  <si>
    <t>(en porcentaje)</t>
  </si>
  <si>
    <t>Agregados de crecimiento del dinero</t>
  </si>
  <si>
    <t>Activos externos netos (sociedades financieras)</t>
  </si>
  <si>
    <t xml:space="preserve">Crédito interno neto (sociedades financieras) </t>
  </si>
  <si>
    <t>Del cual: derechos netos frente al sector público</t>
  </si>
  <si>
    <t>Del cual: derechos netos frente al resto del sector privado</t>
  </si>
  <si>
    <t>Otras partidas (sociedades financieras)</t>
  </si>
  <si>
    <t>Dinero en sentido amplio</t>
  </si>
  <si>
    <t xml:space="preserve">Otros pasivos del BC  </t>
  </si>
  <si>
    <t>Contribución al crecimiento del dinero en sentido amplio</t>
  </si>
  <si>
    <t>Otros indicadores seleccionados</t>
  </si>
  <si>
    <t>Crédito/depósitos</t>
  </si>
  <si>
    <t>Base monetaria/PIB</t>
  </si>
  <si>
    <t>Dinero en sentido amplio/PIB</t>
  </si>
  <si>
    <t>Velocidad (PIB/promedio dinero en sentido amplio)</t>
  </si>
  <si>
    <t>Dinero/depósitos</t>
  </si>
  <si>
    <t>Macronia: Flujo de fondos, 2011</t>
  </si>
  <si>
    <t>Economía nacional</t>
  </si>
  <si>
    <t>Resto del mundo</t>
  </si>
  <si>
    <t>Verificación</t>
  </si>
  <si>
    <t>Sector privado</t>
  </si>
  <si>
    <t>Sociedades de depósito</t>
  </si>
  <si>
    <t>Transacciones no financieras</t>
  </si>
  <si>
    <t>INBD</t>
  </si>
  <si>
    <t>Saldo no financiero (déficit = -)</t>
  </si>
  <si>
    <t>Financiamiento total (endeudamiento neto = +)</t>
  </si>
  <si>
    <t>Financiamiento externo</t>
  </si>
  <si>
    <t>Cuenta financiera, incluidas reservas</t>
  </si>
  <si>
    <t>Financiamiento interno</t>
  </si>
  <si>
    <t>No monetario</t>
  </si>
  <si>
    <t>Monetario</t>
  </si>
  <si>
    <t>Derechos netos frente al gobierno general</t>
  </si>
  <si>
    <t>Otros activos internos netos 1/</t>
  </si>
  <si>
    <t>Verificación vertical y horizontal</t>
  </si>
  <si>
    <t>Partidas informativas (2011)</t>
  </si>
  <si>
    <t>Tipo de cambio, MN por dólar de EE.UU., promedio del período</t>
  </si>
  <si>
    <t>Saldo en cuenta corriente, en millones de dólares de EE.UU.</t>
  </si>
  <si>
    <t>Saldo en cuenta de capital, en millones de dólares de EE.UU.</t>
  </si>
  <si>
    <t>Saldo en cuenta financiera, en millones de dólares de EE.UU.</t>
  </si>
  <si>
    <t>1/ Para simplificar, se incluye un ajuste por valoración insignificante en las cuentas de sociedades de depósito.</t>
  </si>
  <si>
    <t>Macronia: Flujo de fondos, 2012</t>
  </si>
  <si>
    <t>Partidas informativas (2012)</t>
  </si>
  <si>
    <t>Macronia: Flujo de fondos, 2013</t>
  </si>
  <si>
    <t>Macronia: Flujo de fondos, 2014</t>
  </si>
  <si>
    <t>Sector</t>
  </si>
  <si>
    <t>Variable macro proyectada</t>
  </si>
  <si>
    <t>Metodología empleada</t>
  </si>
  <si>
    <t>Frecuencia de datos (rango del período)</t>
  </si>
  <si>
    <t>Parámetro (E o C)</t>
  </si>
  <si>
    <t xml:space="preserve">Real y precios </t>
  </si>
  <si>
    <t>crecimiento tendencial lineal</t>
  </si>
  <si>
    <t>anual, 1970-2012</t>
  </si>
  <si>
    <t>E</t>
  </si>
  <si>
    <t>Producto efectivo</t>
  </si>
  <si>
    <t xml:space="preserve">Tasa de crecimiento media </t>
  </si>
  <si>
    <t>anual, 2006-2012</t>
  </si>
  <si>
    <t>C</t>
  </si>
  <si>
    <t>Consumo privado</t>
  </si>
  <si>
    <t>Función simple del PIB, regresión estimada, relación del PIB y elasticidad calculada</t>
  </si>
  <si>
    <t>anual, 2006-2013 o 1985-2012 para regresión</t>
  </si>
  <si>
    <t>E,C</t>
  </si>
  <si>
    <t>Inversión privada</t>
  </si>
  <si>
    <t>anual, 2006-2013 o 2000-2012 para regresión</t>
  </si>
  <si>
    <t xml:space="preserve">Inflación </t>
  </si>
  <si>
    <t>Estimación mediante MGM con brecha del producto contemporánea o MCO con brecha del producto rezagada. La brecha del producto se estima usando filtro HP para estas regresiones.</t>
  </si>
  <si>
    <t>Tipo de cambio nominal</t>
  </si>
  <si>
    <t>Basado en tipo de cambio real y precios internos y externos</t>
  </si>
  <si>
    <t>anual, 2006-2013</t>
  </si>
  <si>
    <t xml:space="preserve">Externo </t>
  </si>
  <si>
    <t>Demanda de exportaciones (bienes)</t>
  </si>
  <si>
    <t>enfoque de la elasticidad</t>
  </si>
  <si>
    <t>ND</t>
  </si>
  <si>
    <t>Demanda de importaciones (bienes)</t>
  </si>
  <si>
    <t>Exportaciones de servicios</t>
  </si>
  <si>
    <t>enfoque de la elasticidad para viajes, relación de exportaciones de bienes para otras partidas</t>
  </si>
  <si>
    <t>Importaciones de servicios</t>
  </si>
  <si>
    <t>relación de importación de bienes</t>
  </si>
  <si>
    <t>Crédito y débitos de ingreso primario</t>
  </si>
  <si>
    <t>varios cálculos (ver hoja de cálculo), hay enlaces con el archivo del sector fiscal</t>
  </si>
  <si>
    <t>elasticidad con respecto ingreso externo</t>
  </si>
  <si>
    <t>IED</t>
  </si>
  <si>
    <t>depende del diferencial de crecimiento entre Macronia y Estados Unidos</t>
  </si>
  <si>
    <t xml:space="preserve">Flujos de inversión de cartera privados </t>
  </si>
  <si>
    <t>actualmente exógenos, pero podría usarse UIP</t>
  </si>
  <si>
    <t>Otros flujos de inversión privados</t>
  </si>
  <si>
    <t>actualmente exógenos, tiene que ser coherente con archivo del sector monetario, AEN de bancos</t>
  </si>
  <si>
    <t>Incurrimiento neto de pasivos por parte del gobierno central - títulos de deuda (flujos de cartera)</t>
  </si>
  <si>
    <t>Debe proceder el archivo fiscal</t>
  </si>
  <si>
    <t>Incurrimiento neto de pasivos por parte del gobierno central - instrumentos de deuda (otros flujos de inversión) en millones de dólares de EE.UU.</t>
  </si>
  <si>
    <t xml:space="preserve">Fiscal </t>
  </si>
  <si>
    <t>Ingresos tributarios</t>
  </si>
  <si>
    <t xml:space="preserve">Regresión de MCO </t>
  </si>
  <si>
    <t>anual (2000-2012)</t>
  </si>
  <si>
    <t xml:space="preserve">TEI </t>
  </si>
  <si>
    <t>anuales (basadas en tasas efectivas de impuesto medias de 2010-2012)</t>
  </si>
  <si>
    <t>TMI</t>
  </si>
  <si>
    <t>anuales (basadas en tasas de capacidad de reacción medias de 2010-2012)</t>
  </si>
  <si>
    <t>constancia del PIB nominal</t>
  </si>
  <si>
    <t>anual (2012)</t>
  </si>
  <si>
    <t>tasa implícita (año previo) y stock de deuda medio de los 3 años previos</t>
  </si>
  <si>
    <t>anual (2010-2012)</t>
  </si>
  <si>
    <t>Demanda de dinero</t>
  </si>
  <si>
    <t>MCO (cointegración verificada), modelo autocorrector (ECM)</t>
  </si>
  <si>
    <t>Velocidad</t>
  </si>
  <si>
    <t>Tendencia lineal, última observación o implícita a partir de la función de demanda de dinero</t>
  </si>
  <si>
    <t>Tendencia lineal, última observación</t>
  </si>
  <si>
    <t>Regla de Taylor (función de reacción de autoridades monetarias)</t>
  </si>
  <si>
    <t>Regresión de MCO</t>
  </si>
  <si>
    <t>mensual</t>
  </si>
  <si>
    <t>Leyenda</t>
  </si>
  <si>
    <t>MGM = Métodos generalizados de momentos</t>
  </si>
  <si>
    <t>TEI = Tasas efectivas de impuesto</t>
  </si>
  <si>
    <t>TMI = Tasas marginales de impuesto</t>
  </si>
  <si>
    <t>E= Estimación (es decir, el parámetro se basa en una estimación efectiva con los datos de Macronia)</t>
  </si>
  <si>
    <t>C= Calibración (es decir, el parámetro se basa en suponer un valor de parámetro 'verosímil' para Macronia)</t>
  </si>
  <si>
    <t>Forecast of RCp assuming constant ratio to disposable income since 2013</t>
  </si>
  <si>
    <t>Check with IIP</t>
  </si>
  <si>
    <t>Total debt from IIP</t>
  </si>
  <si>
    <t>General government debt, from IIP</t>
  </si>
  <si>
    <t>Memorandum items</t>
  </si>
  <si>
    <t>Total disbursements long term</t>
  </si>
  <si>
    <t>Total amortization long term</t>
  </si>
  <si>
    <t>Selected stock indicators</t>
  </si>
  <si>
    <t>Assets-to-GDP</t>
  </si>
  <si>
    <t>Liabilities-to-GDP</t>
  </si>
  <si>
    <t>Net worth-to-GDP</t>
  </si>
  <si>
    <t>Net financial worth-to-GDP</t>
  </si>
  <si>
    <t>DROP</t>
  </si>
  <si>
    <t>General Government liabilities-to-GDP</t>
  </si>
  <si>
    <t>Liabilities-to-revenues</t>
  </si>
  <si>
    <t>….</t>
  </si>
  <si>
    <t>Macronia_MASTER_10132015.xlsx</t>
  </si>
  <si>
    <t>Tab Name</t>
  </si>
  <si>
    <t>Tab Description</t>
  </si>
  <si>
    <t>Hidden</t>
  </si>
  <si>
    <t>Workbook_Flowchart</t>
  </si>
  <si>
    <t>Solutions</t>
  </si>
  <si>
    <t>SEFI table</t>
  </si>
  <si>
    <t>GDP table</t>
  </si>
  <si>
    <t>GDP_Nominal</t>
  </si>
  <si>
    <t>LRY</t>
  </si>
  <si>
    <t>GDP_Real</t>
  </si>
  <si>
    <t>GDP_Deflator</t>
  </si>
  <si>
    <t>BOP</t>
  </si>
  <si>
    <t>IIP</t>
  </si>
  <si>
    <t>EX_Debt</t>
  </si>
  <si>
    <t>EX_Stock_Ind</t>
  </si>
  <si>
    <t>Real GDP &amp; Output Gap</t>
  </si>
  <si>
    <t>Inflation</t>
  </si>
  <si>
    <t>Nominal ER</t>
  </si>
  <si>
    <t>Real Private Consumption</t>
  </si>
  <si>
    <t>Real Private Investment</t>
  </si>
  <si>
    <t>Real Imports of Goods</t>
  </si>
  <si>
    <t>Real Exports of Goods</t>
  </si>
  <si>
    <t>Nominal imports and exports</t>
  </si>
  <si>
    <t>Services</t>
  </si>
  <si>
    <t>Primary Income</t>
  </si>
  <si>
    <t>Secondary Income</t>
  </si>
  <si>
    <t>Gov_SGO</t>
  </si>
  <si>
    <t>Gov_SGO_Ind</t>
  </si>
  <si>
    <t>Gov_Bal_Sheet</t>
  </si>
  <si>
    <t>Gov_Stock_Ind</t>
  </si>
  <si>
    <t>Gov_GTR_Proj</t>
  </si>
  <si>
    <t>Worksheet-Gov_Exp_Proj.</t>
  </si>
  <si>
    <t>MON_SDC</t>
  </si>
  <si>
    <t xml:space="preserve">Velocity and Money Demand </t>
  </si>
  <si>
    <t>MD</t>
  </si>
  <si>
    <t xml:space="preserve">Taylor Rule </t>
  </si>
  <si>
    <t>Total NFA and OIN</t>
  </si>
  <si>
    <t>Money multiplier</t>
  </si>
  <si>
    <t>NFA and OIN for CB</t>
  </si>
  <si>
    <t>MON_IND</t>
  </si>
  <si>
    <t>Flow_Funds_2011</t>
  </si>
  <si>
    <t>Flow_Funds_2012</t>
  </si>
  <si>
    <t>Flow_Funds_2013</t>
  </si>
  <si>
    <t>Flow_Funds_2014</t>
  </si>
  <si>
    <t xml:space="preserve"> Appx - FPP.2x projection</t>
  </si>
  <si>
    <t>Real (through 2013)</t>
  </si>
  <si>
    <t>External (through 2013)</t>
  </si>
  <si>
    <t>Fiscal&amp;Monetary (through 2013)</t>
  </si>
  <si>
    <t>Real (through 2014)</t>
  </si>
  <si>
    <t xml:space="preserve">External (through 2014) </t>
  </si>
  <si>
    <t>Fiscal&amp;Monetary (through 2014)</t>
  </si>
  <si>
    <t>results from Eviews</t>
  </si>
  <si>
    <t>Note:</t>
  </si>
  <si>
    <t>Cell I28</t>
  </si>
  <si>
    <t>Cell J28</t>
  </si>
  <si>
    <t>- Until Module 5, your cells I28 and J28 will use the initial assumptions.</t>
  </si>
  <si>
    <t>Initial</t>
  </si>
  <si>
    <t>- In Module 5, you will revise them to reflect the expenditure approach estimation.</t>
  </si>
  <si>
    <t>Revised</t>
  </si>
  <si>
    <t>exports (in BN LC)</t>
  </si>
  <si>
    <t>imports (in bn LC)</t>
  </si>
  <si>
    <t>exports (in mn $)</t>
  </si>
  <si>
    <t>imports (in mn $)</t>
  </si>
  <si>
    <t>implicit exports( $* average ER)</t>
  </si>
  <si>
    <t>implicit imports ( $* average ER)</t>
  </si>
  <si>
    <t>at the beginning of module 3 real sector, start with the initial assumptions listed below</t>
  </si>
  <si>
    <t>table (real and nominal) then go through module external sector without doing GDP convergence yet.</t>
  </si>
  <si>
    <t>file name</t>
  </si>
  <si>
    <t>main assumptions</t>
  </si>
  <si>
    <t>tab/cell</t>
  </si>
  <si>
    <t>Macronia_baseline phase 1</t>
  </si>
  <si>
    <t xml:space="preserve">   real GDP growth</t>
  </si>
  <si>
    <t>exog</t>
  </si>
  <si>
    <t xml:space="preserve">   nominal policy interest rate</t>
  </si>
  <si>
    <t>='Taylor Rule '!D8</t>
  </si>
  <si>
    <t xml:space="preserve">   real policy interest rate</t>
  </si>
  <si>
    <t>endo</t>
  </si>
  <si>
    <t xml:space="preserve">   Inflation </t>
  </si>
  <si>
    <t>=Inflation!O34</t>
  </si>
  <si>
    <t xml:space="preserve">   nominal interbank interest rate (set equal to previous year) in Investment function</t>
  </si>
  <si>
    <t>='Real private investment'I15</t>
  </si>
  <si>
    <t xml:space="preserve">   fiscal stimulus (pct of potential output 2013)</t>
  </si>
  <si>
    <t xml:space="preserve">   RER gap or Implicit UIP-based RER change (in real terms) (+ depreciation)</t>
  </si>
  <si>
    <t xml:space="preserve">memo item: </t>
  </si>
  <si>
    <t>Nominal GDP</t>
  </si>
  <si>
    <t xml:space="preserve">      Net foreign borrowing (in billions of national currency)</t>
  </si>
  <si>
    <t>Check line</t>
  </si>
  <si>
    <t>='Cuadro PIB'!J28</t>
  </si>
  <si>
    <t>='Cuadro PIB'!K36</t>
  </si>
  <si>
    <t>='Cuadro PIB'!L26</t>
  </si>
  <si>
    <t>=SERIES(' _x000E_GOB_EOG_Ind'!$C$26,' _x000E_Gob_EOG_Ind'!$D$3:$L$3,' _x000E_Gob_EOG_Ind'!$D$26:$L$26,3)</t>
  </si>
  <si>
    <t>='TC Nominal'!I40</t>
  </si>
  <si>
    <t>='TC Nominal'!I34</t>
  </si>
  <si>
    <t xml:space="preserve">HOJA DE SOLUCIONES DE MACRONIA 
(Las soluciones numéricas aparecerán en la columna E tan pronto complete sus tareas)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</si>
</sst>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2">
    <numFmt numFmtId="164" formatCode="&quot;$&quot;#,##0_);\(&quot;$&quot;#,##0\)"/>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0.0"/>
    <numFmt numFmtId="170" formatCode="0.0"/>
    <numFmt numFmtId="171" formatCode="#,##0.000"/>
    <numFmt numFmtId="172" formatCode=";;;"/>
    <numFmt numFmtId="173" formatCode="_-* #,##0\ _D_M_-;\-* #,##0\ _D_M_-;_-* &quot;-&quot;\ _D_M_-;_-@_-"/>
    <numFmt numFmtId="174" formatCode="_-* #,##0.00\ _D_M_-;\-* #,##0.00\ _D_M_-;_-* &quot;-&quot;??\ _D_M_-;_-@_-"/>
    <numFmt numFmtId="175" formatCode="_-* #,##0.00\ _k_r_._-;\-* #,##0.00\ _k_r_._-;_-* &quot;-&quot;??\ _k_r_._-;_-@_-"/>
    <numFmt numFmtId="176" formatCode="_-* #,##0\ &quot;DM&quot;_-;\-* #,##0\ &quot;DM&quot;_-;_-* &quot;-&quot;\ &quot;DM&quot;_-;_-@_-"/>
    <numFmt numFmtId="177" formatCode="_-* #,##0.00\ &quot;DM&quot;_-;\-* #,##0.00\ &quot;DM&quot;_-;_-* &quot;-&quot;??\ &quot;DM&quot;_-;_-@_-"/>
    <numFmt numFmtId="178" formatCode="General_)"/>
    <numFmt numFmtId="179" formatCode="0_)"/>
    <numFmt numFmtId="180" formatCode="0.000"/>
    <numFmt numFmtId="181" formatCode="_(* #,##0.0_);_(* \(#,##0.0\);_(* &quot;-&quot;??_);_(@_)"/>
    <numFmt numFmtId="182" formatCode="_(* #,##0_);_(* \(#,##0\);_(* &quot;-&quot;??_);_(@_)"/>
    <numFmt numFmtId="183" formatCode="0.0_)"/>
    <numFmt numFmtId="184" formatCode="0.0%"/>
    <numFmt numFmtId="185" formatCode="#,##0.00000"/>
    <numFmt numFmtId="186" formatCode="[$-F400]h:mm:ss\ AM/PM"/>
    <numFmt numFmtId="187" formatCode="&quot;   &quot;@"/>
    <numFmt numFmtId="188" formatCode="&quot;      &quot;@"/>
    <numFmt numFmtId="189" formatCode="&quot;         &quot;@"/>
    <numFmt numFmtId="190" formatCode="&quot;            &quot;@"/>
    <numFmt numFmtId="191" formatCode="&quot;               &quot;@"/>
    <numFmt numFmtId="192" formatCode="#,##0;[Red]\(#,##0\)"/>
    <numFmt numFmtId="193" formatCode="#,##0.0;\-#,##0.0;&quot;--&quot;"/>
    <numFmt numFmtId="194" formatCode="m/d/yy\ h:mm"/>
    <numFmt numFmtId="195" formatCode="#,#00"/>
    <numFmt numFmtId="196" formatCode="0.000000"/>
    <numFmt numFmtId="197" formatCode="0.000000000"/>
    <numFmt numFmtId="198" formatCode="&quot;L.&quot;\ #,##0_);[Red]\(&quot;L.&quot;\ #,##0\)"/>
    <numFmt numFmtId="199" formatCode="&quot;Cr$&quot;#,##0_);[Red]\(&quot;Cr$&quot;#,##0\)"/>
    <numFmt numFmtId="200" formatCode="&quot;Cr$&quot;#,##0.00_);[Red]\(&quot;Cr$&quot;#,##0.00\)"/>
    <numFmt numFmtId="201" formatCode="\$#,"/>
    <numFmt numFmtId="202" formatCode="&quot;$&quot;#,#00"/>
    <numFmt numFmtId="203" formatCode="&quot;$&quot;#,"/>
    <numFmt numFmtId="204" formatCode="ddd\ d\-mmm\-yy"/>
    <numFmt numFmtId="205" formatCode="[&gt;=0.05]#,##0.0;[&lt;=-0.05]\-#,##0.0;?0.0"/>
    <numFmt numFmtId="206" formatCode="#,##0_);[Red]\-#,##0_);"/>
    <numFmt numFmtId="207" formatCode="[Black]#,##0.0;[Black]\-#,##0.0;;"/>
    <numFmt numFmtId="208" formatCode="[Black][&gt;0.05]#,##0.0;[Black][&lt;-0.05]\-#,##0.0;;"/>
    <numFmt numFmtId="209" formatCode="[Black][&gt;0.5]#,##0;[Black][&lt;-0.5]\-#,##0;;"/>
    <numFmt numFmtId="210" formatCode="%#,#00"/>
    <numFmt numFmtId="211" formatCode="#.##000"/>
    <numFmt numFmtId="212" formatCode="dd\-mmm\-yy_)"/>
    <numFmt numFmtId="213" formatCode="#,##0.0____"/>
    <numFmt numFmtId="214" formatCode="#.##0,"/>
    <numFmt numFmtId="215" formatCode="#,##0.000000"/>
    <numFmt numFmtId="216" formatCode="mmm\ dd\,\ yyyy"/>
    <numFmt numFmtId="217" formatCode="mmm\-yyyy"/>
    <numFmt numFmtId="218" formatCode="yyyy"/>
    <numFmt numFmtId="219" formatCode="&quot;L.&quot;\ #,##0.00_);[Red]\(&quot;L.&quot;\ #,##0.00\)"/>
    <numFmt numFmtId="220" formatCode="\(\$#,###\)"/>
    <numFmt numFmtId="221" formatCode="General\ \ \ \ \ \ "/>
    <numFmt numFmtId="222" formatCode="0.0\ \ \ \ \ \ \ \ "/>
    <numFmt numFmtId="223" formatCode="mmmm\ yyyy"/>
    <numFmt numFmtId="224" formatCode="_(* #,##0.000_);_(* \(#,##0.000\);_(* &quot;-&quot;??_);_(@_)"/>
    <numFmt numFmtId="225" formatCode="0.00000"/>
  </numFmts>
  <fonts count="146">
    <font>
      <sz val="11"/>
      <color theme="1"/>
      <name val="Calibri"/>
      <family val="2"/>
      <scheme val="minor"/>
    </font>
    <font>
      <sz val="11"/>
      <name val="Calibri"/>
      <family val="2"/>
    </font>
    <font>
      <b/>
      <sz val="11"/>
      <color theme="1"/>
      <name val="Calibri"/>
      <family val="2"/>
      <scheme val="minor"/>
    </font>
    <font>
      <sz val="11"/>
      <name val="Calibri"/>
      <family val="2"/>
      <scheme val="minor"/>
    </font>
    <font>
      <sz val="11"/>
      <color theme="1"/>
      <name val="Calibri"/>
      <family val="2"/>
      <scheme val="minor"/>
    </font>
    <font>
      <b/>
      <sz val="11"/>
      <name val="Calibri"/>
      <family val="2"/>
      <scheme val="minor"/>
    </font>
    <font>
      <vertAlign val="subscript"/>
      <sz val="11"/>
      <color theme="1"/>
      <name val="Calibri"/>
      <family val="2"/>
      <scheme val="minor"/>
    </font>
    <font>
      <sz val="12"/>
      <name val="Times New Roman"/>
      <family val="1"/>
    </font>
    <font>
      <sz val="10"/>
      <name val="Arial"/>
      <family val="2"/>
    </font>
    <font>
      <b/>
      <sz val="12"/>
      <name val="Arial"/>
      <family val="2"/>
    </font>
    <font>
      <sz val="12"/>
      <name val="Arial"/>
      <family val="2"/>
    </font>
    <font>
      <b/>
      <sz val="10"/>
      <name val="Arial"/>
      <family val="2"/>
    </font>
    <font>
      <sz val="10"/>
      <color indexed="8"/>
      <name val="Arial"/>
      <family val="2"/>
    </font>
    <font>
      <sz val="10"/>
      <color indexed="9"/>
      <name val="Arial"/>
      <family val="2"/>
    </font>
    <font>
      <sz val="11"/>
      <color indexed="8"/>
      <name val="Calibri"/>
      <family val="2"/>
    </font>
    <font>
      <sz val="11"/>
      <color indexed="9"/>
      <name val="Calibri"/>
      <family val="2"/>
    </font>
    <font>
      <sz val="11"/>
      <color indexed="16"/>
      <name val="Calibri"/>
      <family val="2"/>
    </font>
    <font>
      <b/>
      <sz val="11"/>
      <color indexed="53"/>
      <name val="Calibri"/>
      <family val="2"/>
    </font>
    <font>
      <b/>
      <sz val="11"/>
      <color indexed="9"/>
      <name val="Calibri"/>
      <family val="2"/>
    </font>
    <font>
      <i/>
      <sz val="10"/>
      <color indexed="23"/>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48"/>
      <name val="Calibri"/>
      <family val="2"/>
    </font>
    <font>
      <sz val="11"/>
      <color indexed="53"/>
      <name val="Calibri"/>
      <family val="2"/>
    </font>
    <font>
      <sz val="11"/>
      <color indexed="60"/>
      <name val="Calibri"/>
      <family val="2"/>
    </font>
    <font>
      <sz val="10"/>
      <name val="Helv"/>
    </font>
    <font>
      <sz val="10"/>
      <name val="Courier"/>
      <family val="3"/>
    </font>
    <font>
      <sz val="8"/>
      <name val="Times New Roman"/>
      <family val="1"/>
    </font>
    <font>
      <sz val="10"/>
      <name val="Times New Roman"/>
      <family val="1"/>
    </font>
    <font>
      <b/>
      <sz val="11"/>
      <color indexed="63"/>
      <name val="Calibri"/>
      <family val="2"/>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sz val="12"/>
      <name val="Univers (WN)"/>
      <family val="2"/>
    </font>
    <font>
      <b/>
      <sz val="18"/>
      <color indexed="62"/>
      <name val="Cambria"/>
      <family val="2"/>
    </font>
    <font>
      <b/>
      <sz val="11"/>
      <color indexed="8"/>
      <name val="Calibri"/>
      <family val="2"/>
    </font>
    <font>
      <sz val="11"/>
      <color indexed="10"/>
      <name val="Calibri"/>
      <family val="2"/>
    </font>
    <font>
      <sz val="14"/>
      <color theme="1"/>
      <name val="Calibri"/>
      <family val="2"/>
      <scheme val="minor"/>
    </font>
    <font>
      <b/>
      <sz val="14"/>
      <color theme="1"/>
      <name val="Calibri"/>
      <family val="2"/>
      <scheme val="minor"/>
    </font>
    <font>
      <b/>
      <sz val="9"/>
      <color indexed="81"/>
      <name val="Tahoma"/>
      <family val="2"/>
    </font>
    <font>
      <sz val="9"/>
      <color indexed="81"/>
      <name val="Tahoma"/>
      <family val="2"/>
    </font>
    <font>
      <b/>
      <vertAlign val="subscript"/>
      <sz val="11"/>
      <color theme="1"/>
      <name val="Calibri"/>
      <family val="2"/>
      <scheme val="minor"/>
    </font>
    <font>
      <sz val="11"/>
      <color indexed="12"/>
      <name val="Calibri"/>
      <family val="2"/>
      <scheme val="minor"/>
    </font>
    <font>
      <i/>
      <sz val="11"/>
      <color theme="1"/>
      <name val="Calibri"/>
      <family val="2"/>
      <scheme val="minor"/>
    </font>
    <font>
      <b/>
      <sz val="12"/>
      <name val="Calibri"/>
      <family val="2"/>
      <scheme val="minor"/>
    </font>
    <font>
      <i/>
      <sz val="11"/>
      <name val="Calibri"/>
      <family val="2"/>
      <scheme val="minor"/>
    </font>
    <font>
      <sz val="10"/>
      <name val="Times New Roman"/>
      <family val="1"/>
    </font>
    <font>
      <b/>
      <sz val="14"/>
      <name val="Arial"/>
      <family val="2"/>
    </font>
    <font>
      <sz val="9"/>
      <name val="Arial"/>
      <family val="2"/>
    </font>
    <font>
      <b/>
      <sz val="9"/>
      <name val="Arial"/>
      <family val="2"/>
    </font>
    <font>
      <sz val="14"/>
      <name val="Arial"/>
      <family val="2"/>
    </font>
    <font>
      <sz val="11"/>
      <color rgb="FF0000FF"/>
      <name val="Calibri"/>
      <family val="2"/>
      <scheme val="minor"/>
    </font>
    <font>
      <sz val="10"/>
      <name val="Times New Roman"/>
      <family val="1"/>
      <charset val="204"/>
    </font>
    <font>
      <b/>
      <sz val="11"/>
      <color indexed="12"/>
      <name val="Calibri"/>
      <family val="2"/>
      <scheme val="minor"/>
    </font>
    <font>
      <sz val="8"/>
      <name val="Arial"/>
      <family val="2"/>
    </font>
    <font>
      <sz val="12"/>
      <name val="Calibri"/>
      <family val="2"/>
      <scheme val="minor"/>
    </font>
    <font>
      <sz val="11"/>
      <color rgb="FFFF0000"/>
      <name val="Calibri"/>
      <family val="2"/>
      <scheme val="minor"/>
    </font>
    <font>
      <i/>
      <sz val="12"/>
      <name val="Calibri"/>
      <family val="2"/>
      <scheme val="minor"/>
    </font>
    <font>
      <b/>
      <vertAlign val="superscript"/>
      <sz val="11"/>
      <color theme="1"/>
      <name val="Calibri"/>
      <family val="2"/>
      <scheme val="minor"/>
    </font>
    <font>
      <b/>
      <sz val="11"/>
      <color rgb="FFFF0000"/>
      <name val="Calibri"/>
      <family val="2"/>
      <scheme val="minor"/>
    </font>
    <font>
      <sz val="8"/>
      <color theme="1"/>
      <name val="Calibri"/>
      <family val="2"/>
      <scheme val="minor"/>
    </font>
    <font>
      <b/>
      <sz val="10"/>
      <color theme="1"/>
      <name val="Arial"/>
      <family val="2"/>
    </font>
    <font>
      <sz val="12"/>
      <name val="Helv"/>
    </font>
    <font>
      <sz val="9"/>
      <name val="Times New Roman"/>
      <family val="1"/>
    </font>
    <font>
      <sz val="8"/>
      <color indexed="12"/>
      <name val="Helv"/>
    </font>
    <font>
      <sz val="10"/>
      <name val="Geneva"/>
      <family val="2"/>
    </font>
    <font>
      <sz val="1"/>
      <color indexed="8"/>
      <name val="Courier"/>
      <family val="3"/>
    </font>
    <font>
      <i/>
      <sz val="1"/>
      <color indexed="8"/>
      <name val="Courier"/>
      <family val="3"/>
    </font>
    <font>
      <b/>
      <sz val="11"/>
      <color indexed="52"/>
      <name val="Calibri"/>
      <family val="2"/>
    </font>
    <font>
      <sz val="11"/>
      <color indexed="52"/>
      <name val="Calibri"/>
      <family val="2"/>
    </font>
    <font>
      <b/>
      <sz val="10"/>
      <color indexed="8"/>
      <name val="Verdana"/>
      <family val="2"/>
    </font>
    <font>
      <b/>
      <i/>
      <sz val="10"/>
      <color indexed="8"/>
      <name val="Verdana"/>
      <family val="2"/>
    </font>
    <font>
      <sz val="11"/>
      <color indexed="8"/>
      <name val="Verdana"/>
      <family val="2"/>
    </font>
    <font>
      <b/>
      <sz val="13"/>
      <color indexed="9"/>
      <name val="Verdana"/>
      <family val="2"/>
    </font>
    <font>
      <b/>
      <sz val="10"/>
      <color indexed="54"/>
      <name val="Verdana"/>
      <family val="2"/>
    </font>
    <font>
      <sz val="11"/>
      <color indexed="8"/>
      <name val="Arial"/>
      <family val="2"/>
    </font>
    <font>
      <sz val="12"/>
      <color indexed="24"/>
      <name val="Arial"/>
      <family val="2"/>
    </font>
    <font>
      <b/>
      <sz val="11"/>
      <color indexed="56"/>
      <name val="Calibri"/>
      <family val="2"/>
    </font>
    <font>
      <sz val="11"/>
      <color indexed="62"/>
      <name val="Calibri"/>
      <family val="2"/>
    </font>
    <font>
      <sz val="14"/>
      <name val="Helv"/>
    </font>
    <font>
      <b/>
      <sz val="12"/>
      <color indexed="24"/>
      <name val="Arial"/>
      <family val="2"/>
    </font>
    <font>
      <u/>
      <sz val="10"/>
      <color indexed="12"/>
      <name val="Times New Roman CE"/>
      <charset val="238"/>
    </font>
    <font>
      <u/>
      <sz val="9"/>
      <color indexed="12"/>
      <name val="Arial"/>
      <family val="2"/>
    </font>
    <font>
      <u/>
      <sz val="10"/>
      <color indexed="12"/>
      <name val="Arial"/>
      <family val="2"/>
    </font>
    <font>
      <u/>
      <sz val="7.2"/>
      <color indexed="36"/>
      <name val="Helv"/>
    </font>
    <font>
      <u/>
      <sz val="12"/>
      <color indexed="12"/>
      <name val="Times New Roman"/>
      <family val="1"/>
    </font>
    <font>
      <u/>
      <sz val="9"/>
      <color indexed="12"/>
      <name val="Times New Roman"/>
      <family val="1"/>
    </font>
    <font>
      <u/>
      <sz val="10"/>
      <color indexed="20"/>
      <name val="Arial"/>
      <family val="2"/>
    </font>
    <font>
      <sz val="10"/>
      <name val="Arial Cyr"/>
      <charset val="204"/>
    </font>
    <font>
      <sz val="11"/>
      <color indexed="20"/>
      <name val="Calibri"/>
      <family val="2"/>
    </font>
    <font>
      <sz val="8"/>
      <color indexed="8"/>
      <name val="Helv"/>
    </font>
    <font>
      <u/>
      <sz val="10"/>
      <color indexed="36"/>
      <name val="Times New Roman CE"/>
      <charset val="238"/>
    </font>
    <font>
      <sz val="10"/>
      <name val="MS Sans Serif"/>
      <family val="2"/>
    </font>
    <font>
      <sz val="10"/>
      <name val="Arial CE"/>
      <charset val="238"/>
    </font>
    <font>
      <sz val="12"/>
      <name val="Tms Rmn"/>
    </font>
    <font>
      <sz val="10"/>
      <name val="Tms Rmn"/>
    </font>
    <font>
      <sz val="12"/>
      <name val="Helv"/>
      <family val="2"/>
    </font>
    <font>
      <sz val="11"/>
      <name val="Times New Roman"/>
      <family val="1"/>
    </font>
    <font>
      <i/>
      <sz val="10"/>
      <name val="Helv"/>
    </font>
    <font>
      <sz val="14"/>
      <name val="Times New Roman CE"/>
      <charset val="238"/>
    </font>
    <font>
      <sz val="10"/>
      <color indexed="10"/>
      <name val="MS Sans Serif"/>
      <family val="2"/>
    </font>
    <font>
      <sz val="8"/>
      <name val="Helv"/>
    </font>
    <font>
      <i/>
      <sz val="8"/>
      <name val="Tms Rmn"/>
    </font>
    <font>
      <i/>
      <sz val="11"/>
      <color indexed="23"/>
      <name val="Calibri"/>
      <family val="2"/>
    </font>
    <font>
      <b/>
      <sz val="8"/>
      <name val="Tms Rmn"/>
    </font>
    <font>
      <b/>
      <sz val="18"/>
      <color indexed="56"/>
      <name val="Cambria"/>
      <family val="2"/>
    </font>
    <font>
      <b/>
      <sz val="15"/>
      <color indexed="56"/>
      <name val="Calibri"/>
      <family val="2"/>
    </font>
    <font>
      <b/>
      <sz val="13"/>
      <color indexed="56"/>
      <name val="Calibri"/>
      <family val="2"/>
    </font>
    <font>
      <b/>
      <sz val="1"/>
      <color indexed="8"/>
      <name val="Courier"/>
      <family val="3"/>
    </font>
    <font>
      <b/>
      <sz val="10"/>
      <name val="Times New Roman"/>
      <family val="1"/>
    </font>
    <font>
      <b/>
      <i/>
      <sz val="10"/>
      <name val="Times New Roman"/>
      <family val="1"/>
    </font>
    <font>
      <sz val="12"/>
      <name val="Comic Sans MS"/>
      <family val="4"/>
    </font>
    <font>
      <sz val="10"/>
      <name val="Comic Sans MS"/>
      <family val="4"/>
    </font>
    <font>
      <sz val="9"/>
      <color indexed="8"/>
      <name val="Times New Roman"/>
      <family val="1"/>
    </font>
    <font>
      <vertAlign val="superscript"/>
      <sz val="9"/>
      <color indexed="8"/>
      <name val="Times New Roman"/>
      <family val="1"/>
    </font>
    <font>
      <sz val="12"/>
      <color indexed="24"/>
      <name val="Modern"/>
      <family val="3"/>
      <charset val="255"/>
    </font>
    <font>
      <b/>
      <sz val="18"/>
      <color indexed="24"/>
      <name val="Modern"/>
      <family val="3"/>
      <charset val="255"/>
    </font>
    <font>
      <b/>
      <sz val="12"/>
      <color indexed="24"/>
      <name val="Modern"/>
      <family val="3"/>
      <charset val="255"/>
    </font>
    <font>
      <sz val="8.5"/>
      <name val="MS Sans Serif"/>
      <family val="2"/>
    </font>
    <font>
      <b/>
      <sz val="11"/>
      <color theme="1"/>
      <name val="Symbol"/>
      <family val="1"/>
      <charset val="2"/>
    </font>
    <font>
      <sz val="11"/>
      <color indexed="10"/>
      <name val="Calibri"/>
      <family val="2"/>
      <scheme val="minor"/>
    </font>
    <font>
      <b/>
      <sz val="18"/>
      <color theme="1"/>
      <name val="Calibri"/>
      <family val="2"/>
      <scheme val="minor"/>
    </font>
    <font>
      <b/>
      <sz val="12"/>
      <color theme="1"/>
      <name val="Calibri"/>
      <family val="2"/>
      <scheme val="minor"/>
    </font>
    <font>
      <sz val="10"/>
      <color theme="1"/>
      <name val="Arial"/>
      <family val="2"/>
    </font>
    <font>
      <sz val="11"/>
      <name val="Arial"/>
      <family val="2"/>
    </font>
    <font>
      <sz val="11"/>
      <color indexed="12"/>
      <name val="Arial"/>
      <family val="2"/>
    </font>
    <font>
      <sz val="11"/>
      <color indexed="47"/>
      <name val="Calibri"/>
      <family val="2"/>
      <scheme val="minor"/>
    </font>
    <font>
      <sz val="11"/>
      <color indexed="48"/>
      <name val="Calibri"/>
      <family val="2"/>
      <scheme val="minor"/>
    </font>
    <font>
      <sz val="11"/>
      <color indexed="8"/>
      <name val="Calibri"/>
      <family val="2"/>
      <scheme val="minor"/>
    </font>
    <font>
      <b/>
      <sz val="11"/>
      <color indexed="10"/>
      <name val="Calibri"/>
      <family val="2"/>
      <scheme val="minor"/>
    </font>
    <font>
      <sz val="11"/>
      <color indexed="17"/>
      <name val="Calibri"/>
      <family val="2"/>
      <scheme val="minor"/>
    </font>
    <font>
      <b/>
      <sz val="10"/>
      <color rgb="FFFF0000"/>
      <name val="Arial"/>
      <family val="2"/>
    </font>
    <font>
      <sz val="12"/>
      <color rgb="FFFF0000"/>
      <name val="Calibri"/>
      <family val="2"/>
      <scheme val="minor"/>
    </font>
    <font>
      <i/>
      <sz val="11"/>
      <color rgb="FF000000"/>
      <name val="Calibri"/>
      <family val="2"/>
      <scheme val="minor"/>
    </font>
    <font>
      <sz val="11"/>
      <color rgb="FF000000"/>
      <name val="Calibri"/>
      <family val="2"/>
      <scheme val="minor"/>
    </font>
    <font>
      <b/>
      <vertAlign val="subscript"/>
      <sz val="18"/>
      <color theme="1"/>
      <name val="Calibri"/>
      <family val="2"/>
      <scheme val="minor"/>
    </font>
    <font>
      <vertAlign val="subscript"/>
      <sz val="11"/>
      <color rgb="FF000000"/>
      <name val="Calibri"/>
      <family val="2"/>
      <scheme val="minor"/>
    </font>
    <font>
      <b/>
      <i/>
      <sz val="11"/>
      <color rgb="FF000000"/>
      <name val="Calibri"/>
      <family val="2"/>
      <scheme val="minor"/>
    </font>
    <font>
      <b/>
      <sz val="11"/>
      <color rgb="FF000000"/>
      <name val="Calibri"/>
      <family val="2"/>
      <scheme val="minor"/>
    </font>
    <font>
      <u/>
      <sz val="11"/>
      <color rgb="FF000000"/>
      <name val="Calibri"/>
      <family val="2"/>
      <scheme val="minor"/>
    </font>
  </fonts>
  <fills count="87">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0"/>
        <bgColor indexed="64"/>
      </patternFill>
    </fill>
    <fill>
      <patternFill patternType="solid">
        <fgColor indexed="40"/>
      </patternFill>
    </fill>
    <fill>
      <patternFill patternType="solid">
        <fgColor indexed="29"/>
      </patternFill>
    </fill>
    <fill>
      <patternFill patternType="solid">
        <fgColor indexed="26"/>
      </patternFill>
    </fill>
    <fill>
      <patternFill patternType="solid">
        <fgColor indexed="9"/>
      </patternFill>
    </fill>
    <fill>
      <patternFill patternType="solid">
        <fgColor indexed="44"/>
      </patternFill>
    </fill>
    <fill>
      <patternFill patternType="solid">
        <fgColor indexed="45"/>
      </patternFill>
    </fill>
    <fill>
      <patternFill patternType="solid">
        <fgColor indexed="54"/>
      </patternFill>
    </fill>
    <fill>
      <patternFill patternType="solid">
        <fgColor indexed="57"/>
      </patternFill>
    </fill>
    <fill>
      <patternFill patternType="solid">
        <fgColor indexed="22"/>
      </patternFill>
    </fill>
    <fill>
      <patternFill patternType="solid">
        <fgColor indexed="47"/>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48"/>
        <bgColor indexed="48"/>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25"/>
        <bgColor indexed="2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26"/>
        <bgColor indexed="26"/>
      </patternFill>
    </fill>
    <fill>
      <patternFill patternType="solid">
        <fgColor indexed="47"/>
        <bgColor indexed="47"/>
      </patternFill>
    </fill>
    <fill>
      <patternFill patternType="solid">
        <fgColor indexed="52"/>
        <bgColor indexed="52"/>
      </patternFill>
    </fill>
    <fill>
      <patternFill patternType="solid">
        <fgColor indexed="9"/>
        <bgColor indexed="9"/>
      </patternFill>
    </fill>
    <fill>
      <patternFill patternType="solid">
        <fgColor indexed="42"/>
        <bgColor indexed="42"/>
      </patternFill>
    </fill>
    <fill>
      <patternFill patternType="solid">
        <fgColor indexed="43"/>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15"/>
      </patternFill>
    </fill>
    <fill>
      <patternFill patternType="solid">
        <fgColor rgb="FFFFFF00"/>
        <bgColor indexed="64"/>
      </patternFill>
    </fill>
    <fill>
      <patternFill patternType="solid">
        <fgColor theme="8" tint="0.39997558519241921"/>
        <bgColor indexed="64"/>
      </patternFill>
    </fill>
    <fill>
      <patternFill patternType="solid">
        <fgColor theme="8" tint="0.79998168889431442"/>
        <bgColor indexed="22"/>
      </patternFill>
    </fill>
    <fill>
      <patternFill patternType="solid">
        <fgColor theme="8" tint="0.59999389629810485"/>
        <bgColor indexed="22"/>
      </patternFill>
    </fill>
    <fill>
      <patternFill patternType="solid">
        <fgColor rgb="FFFFC000"/>
        <bgColor indexed="64"/>
      </patternFill>
    </fill>
    <fill>
      <patternFill patternType="solid">
        <fgColor theme="4" tint="0.39994506668294322"/>
        <bgColor indexed="64"/>
      </patternFill>
    </fill>
    <fill>
      <patternFill patternType="solid">
        <fgColor theme="8" tint="0.59999389629810485"/>
        <bgColor indexed="42"/>
      </patternFill>
    </fill>
    <fill>
      <patternFill patternType="solid">
        <fgColor theme="8" tint="0.59999389629810485"/>
        <bgColor indexed="8"/>
      </patternFill>
    </fill>
    <fill>
      <patternFill patternType="solid">
        <fgColor indexed="22"/>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2"/>
      </patternFill>
    </fill>
    <fill>
      <patternFill patternType="solid">
        <fgColor indexed="46"/>
      </patternFill>
    </fill>
    <fill>
      <patternFill patternType="solid">
        <fgColor indexed="27"/>
      </patternFill>
    </fill>
    <fill>
      <patternFill patternType="solid">
        <fgColor indexed="30"/>
      </patternFill>
    </fill>
    <fill>
      <patternFill patternType="solid">
        <fgColor indexed="36"/>
      </patternFill>
    </fill>
    <fill>
      <patternFill patternType="solid">
        <fgColor indexed="49"/>
      </patternFill>
    </fill>
    <fill>
      <patternFill patternType="solid">
        <fgColor indexed="55"/>
      </patternFill>
    </fill>
    <fill>
      <patternFill patternType="solid">
        <fgColor indexed="9"/>
        <bgColor indexed="64"/>
      </patternFill>
    </fill>
    <fill>
      <patternFill patternType="solid">
        <fgColor indexed="24"/>
        <bgColor indexed="64"/>
      </patternFill>
    </fill>
    <fill>
      <patternFill patternType="solid">
        <fgColor indexed="26"/>
        <bgColor indexed="64"/>
      </patternFill>
    </fill>
    <fill>
      <patternFill patternType="solid">
        <fgColor indexed="62"/>
      </patternFill>
    </fill>
    <fill>
      <patternFill patternType="solid">
        <fgColor indexed="31"/>
        <bgColor indexed="8"/>
      </patternFill>
    </fill>
    <fill>
      <patternFill patternType="solid">
        <fgColor indexed="43"/>
        <bgColor indexed="8"/>
      </patternFill>
    </fill>
    <fill>
      <patternFill patternType="solid">
        <fgColor indexed="63"/>
        <bgColor indexed="8"/>
      </patternFill>
    </fill>
    <fill>
      <patternFill patternType="solid">
        <fgColor theme="8" tint="0.59999389629810485"/>
        <bgColor indexed="45"/>
      </patternFill>
    </fill>
    <fill>
      <patternFill patternType="solid">
        <fgColor theme="8" tint="0.79998168889431442"/>
        <bgColor indexed="42"/>
      </patternFill>
    </fill>
    <fill>
      <patternFill patternType="solid">
        <fgColor rgb="FFFFBDFF"/>
        <bgColor indexed="64"/>
      </patternFill>
    </fill>
    <fill>
      <patternFill patternType="solid">
        <fgColor rgb="FFFFBDFF"/>
        <bgColor indexed="45"/>
      </patternFill>
    </fill>
    <fill>
      <patternFill patternType="solid">
        <fgColor theme="6" tint="0.39997558519241921"/>
        <bgColor indexed="64"/>
      </patternFill>
    </fill>
    <fill>
      <patternFill patternType="solid">
        <fgColor theme="0"/>
        <bgColor indexed="45"/>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indexed="48"/>
      </top>
      <bottom style="double">
        <color indexed="48"/>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auto="1"/>
      </bottom>
      <diagonal/>
    </border>
    <border>
      <left/>
      <right style="medium">
        <color auto="1"/>
      </right>
      <top/>
      <bottom style="medium">
        <color auto="1"/>
      </bottom>
      <diagonal/>
    </border>
    <border>
      <left/>
      <right/>
      <top style="double">
        <color indexed="64"/>
      </top>
      <bottom/>
      <diagonal/>
    </border>
    <border>
      <left/>
      <right/>
      <top style="medium">
        <color auto="1"/>
      </top>
      <bottom/>
      <diagonal/>
    </border>
    <border>
      <left/>
      <right/>
      <top style="medium">
        <color auto="1"/>
      </top>
      <bottom style="thin">
        <color indexed="64"/>
      </bottom>
      <diagonal/>
    </border>
    <border>
      <left/>
      <right style="medium">
        <color indexed="64"/>
      </right>
      <top style="thin">
        <color indexed="64"/>
      </top>
      <bottom/>
      <diagonal/>
    </border>
    <border>
      <left style="medium">
        <color auto="1"/>
      </left>
      <right/>
      <top style="medium">
        <color auto="1"/>
      </top>
      <bottom/>
      <diagonal/>
    </border>
    <border>
      <left/>
      <right style="medium">
        <color auto="1"/>
      </right>
      <top style="medium">
        <color auto="1"/>
      </top>
      <bottom/>
      <diagonal/>
    </border>
    <border>
      <left style="medium">
        <color indexed="64"/>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bottom style="double">
        <color indexed="52"/>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style="thin">
        <color indexed="64"/>
      </left>
      <right/>
      <top style="thin">
        <color indexed="64"/>
      </top>
      <bottom/>
      <diagonal/>
    </border>
    <border>
      <left/>
      <right/>
      <top style="medium">
        <color indexed="39"/>
      </top>
      <bottom/>
      <diagonal/>
    </border>
    <border>
      <left style="medium">
        <color indexed="39"/>
      </left>
      <right/>
      <top style="medium">
        <color indexed="39"/>
      </top>
      <bottom/>
      <diagonal/>
    </border>
    <border>
      <left/>
      <right/>
      <top/>
      <bottom style="medium">
        <color indexed="39"/>
      </bottom>
      <diagonal/>
    </border>
    <border>
      <left/>
      <right/>
      <top/>
      <bottom style="thick">
        <color indexed="62"/>
      </bottom>
      <diagonal/>
    </border>
    <border>
      <left/>
      <right/>
      <top/>
      <bottom style="medium">
        <color indexed="30"/>
      </bottom>
      <diagonal/>
    </border>
    <border>
      <left/>
      <right/>
      <top style="thin">
        <color indexed="64"/>
      </top>
      <bottom style="medium">
        <color indexed="64"/>
      </bottom>
      <diagonal/>
    </border>
    <border>
      <left/>
      <right/>
      <top/>
      <bottom style="thin">
        <color indexed="8"/>
      </bottom>
      <diagonal/>
    </border>
    <border>
      <left/>
      <right/>
      <top style="thin">
        <color indexed="64"/>
      </top>
      <bottom style="double">
        <color indexed="64"/>
      </bottom>
      <diagonal/>
    </border>
    <border>
      <left/>
      <right/>
      <top style="medium">
        <color indexed="64"/>
      </top>
      <bottom style="thin">
        <color indexed="64"/>
      </bottom>
      <diagonal/>
    </border>
    <border>
      <left style="thick">
        <color auto="1"/>
      </left>
      <right style="thick">
        <color auto="1"/>
      </right>
      <top style="thick">
        <color auto="1"/>
      </top>
      <bottom style="thick">
        <color auto="1"/>
      </bottom>
      <diagonal/>
    </border>
    <border>
      <left style="thin">
        <color indexed="41"/>
      </left>
      <right style="thin">
        <color indexed="48"/>
      </right>
      <top style="medium">
        <color indexed="41"/>
      </top>
      <bottom style="thin">
        <color indexed="4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s>
  <cellStyleXfs count="1794">
    <xf numFmtId="0" fontId="0" fillId="0" borderId="0"/>
    <xf numFmtId="186" fontId="4" fillId="0" borderId="0"/>
    <xf numFmtId="168" fontId="4" fillId="0" borderId="0" applyFont="0" applyFill="0" applyBorder="0" applyAlignment="0" applyProtection="0"/>
    <xf numFmtId="186" fontId="7" fillId="0" borderId="0"/>
    <xf numFmtId="186" fontId="7" fillId="0" borderId="0"/>
    <xf numFmtId="186" fontId="12" fillId="6" borderId="0" applyNumberFormat="0" applyBorder="0" applyAlignment="0" applyProtection="0"/>
    <xf numFmtId="186" fontId="12" fillId="6" borderId="0" applyNumberFormat="0" applyBorder="0" applyAlignment="0" applyProtection="0"/>
    <xf numFmtId="186" fontId="12" fillId="6" borderId="0" applyNumberFormat="0" applyBorder="0" applyAlignment="0" applyProtection="0"/>
    <xf numFmtId="186" fontId="12" fillId="7" borderId="0" applyNumberFormat="0" applyBorder="0" applyAlignment="0" applyProtection="0"/>
    <xf numFmtId="186" fontId="12" fillId="7" borderId="0" applyNumberFormat="0" applyBorder="0" applyAlignment="0" applyProtection="0"/>
    <xf numFmtId="186" fontId="12" fillId="7" borderId="0" applyNumberFormat="0" applyBorder="0" applyAlignment="0" applyProtection="0"/>
    <xf numFmtId="186" fontId="12" fillId="8" borderId="0" applyNumberFormat="0" applyBorder="0" applyAlignment="0" applyProtection="0"/>
    <xf numFmtId="186" fontId="12" fillId="8" borderId="0" applyNumberFormat="0" applyBorder="0" applyAlignment="0" applyProtection="0"/>
    <xf numFmtId="186" fontId="12" fillId="8" borderId="0" applyNumberFormat="0" applyBorder="0" applyAlignment="0" applyProtection="0"/>
    <xf numFmtId="186" fontId="12" fillId="9" borderId="0" applyNumberFormat="0" applyBorder="0" applyAlignment="0" applyProtection="0"/>
    <xf numFmtId="186" fontId="12" fillId="9" borderId="0" applyNumberFormat="0" applyBorder="0" applyAlignment="0" applyProtection="0"/>
    <xf numFmtId="186" fontId="12" fillId="9" borderId="0" applyNumberFormat="0" applyBorder="0" applyAlignment="0" applyProtection="0"/>
    <xf numFmtId="186" fontId="12" fillId="10" borderId="0" applyNumberFormat="0" applyBorder="0" applyAlignment="0" applyProtection="0"/>
    <xf numFmtId="186" fontId="12" fillId="10" borderId="0" applyNumberFormat="0" applyBorder="0" applyAlignment="0" applyProtection="0"/>
    <xf numFmtId="186" fontId="12" fillId="10" borderId="0" applyNumberFormat="0" applyBorder="0" applyAlignment="0" applyProtection="0"/>
    <xf numFmtId="186" fontId="12" fillId="11" borderId="0" applyNumberFormat="0" applyBorder="0" applyAlignment="0" applyProtection="0"/>
    <xf numFmtId="186" fontId="12" fillId="11" borderId="0" applyNumberFormat="0" applyBorder="0" applyAlignment="0" applyProtection="0"/>
    <xf numFmtId="186" fontId="12" fillId="11" borderId="0" applyNumberFormat="0" applyBorder="0" applyAlignment="0" applyProtection="0"/>
    <xf numFmtId="186" fontId="12" fillId="12" borderId="0" applyNumberFormat="0" applyBorder="0" applyAlignment="0" applyProtection="0"/>
    <xf numFmtId="186" fontId="12" fillId="12" borderId="0" applyNumberFormat="0" applyBorder="0" applyAlignment="0" applyProtection="0"/>
    <xf numFmtId="186" fontId="12" fillId="12" borderId="0" applyNumberFormat="0" applyBorder="0" applyAlignment="0" applyProtection="0"/>
    <xf numFmtId="186" fontId="12" fillId="7" borderId="0" applyNumberFormat="0" applyBorder="0" applyAlignment="0" applyProtection="0"/>
    <xf numFmtId="186" fontId="12" fillId="7" borderId="0" applyNumberFormat="0" applyBorder="0" applyAlignment="0" applyProtection="0"/>
    <xf numFmtId="186" fontId="12" fillId="7" borderId="0" applyNumberFormat="0" applyBorder="0" applyAlignment="0" applyProtection="0"/>
    <xf numFmtId="186" fontId="12" fillId="13" borderId="0" applyNumberFormat="0" applyBorder="0" applyAlignment="0" applyProtection="0"/>
    <xf numFmtId="186" fontId="12" fillId="13" borderId="0" applyNumberFormat="0" applyBorder="0" applyAlignment="0" applyProtection="0"/>
    <xf numFmtId="186" fontId="12" fillId="13" borderId="0" applyNumberFormat="0" applyBorder="0" applyAlignment="0" applyProtection="0"/>
    <xf numFmtId="186" fontId="12" fillId="14" borderId="0" applyNumberFormat="0" applyBorder="0" applyAlignment="0" applyProtection="0"/>
    <xf numFmtId="186" fontId="12" fillId="14" borderId="0" applyNumberFormat="0" applyBorder="0" applyAlignment="0" applyProtection="0"/>
    <xf numFmtId="186" fontId="12" fillId="14" borderId="0" applyNumberFormat="0" applyBorder="0" applyAlignment="0" applyProtection="0"/>
    <xf numFmtId="186" fontId="12" fillId="12" borderId="0" applyNumberFormat="0" applyBorder="0" applyAlignment="0" applyProtection="0"/>
    <xf numFmtId="186" fontId="12" fillId="12" borderId="0" applyNumberFormat="0" applyBorder="0" applyAlignment="0" applyProtection="0"/>
    <xf numFmtId="186" fontId="12" fillId="12" borderId="0" applyNumberFormat="0" applyBorder="0" applyAlignment="0" applyProtection="0"/>
    <xf numFmtId="186" fontId="12" fillId="15" borderId="0" applyNumberFormat="0" applyBorder="0" applyAlignment="0" applyProtection="0"/>
    <xf numFmtId="186" fontId="12" fillId="15" borderId="0" applyNumberFormat="0" applyBorder="0" applyAlignment="0" applyProtection="0"/>
    <xf numFmtId="186" fontId="12" fillId="15" borderId="0" applyNumberFormat="0" applyBorder="0" applyAlignment="0" applyProtection="0"/>
    <xf numFmtId="186" fontId="13" fillId="12" borderId="0" applyNumberFormat="0" applyBorder="0" applyAlignment="0" applyProtection="0"/>
    <xf numFmtId="186" fontId="13" fillId="7" borderId="0" applyNumberFormat="0" applyBorder="0" applyAlignment="0" applyProtection="0"/>
    <xf numFmtId="186" fontId="13" fillId="13" borderId="0" applyNumberFormat="0" applyBorder="0" applyAlignment="0" applyProtection="0"/>
    <xf numFmtId="186" fontId="13" fillId="14" borderId="0" applyNumberFormat="0" applyBorder="0" applyAlignment="0" applyProtection="0"/>
    <xf numFmtId="186" fontId="13" fillId="12" borderId="0" applyNumberFormat="0" applyBorder="0" applyAlignment="0" applyProtection="0"/>
    <xf numFmtId="186" fontId="13" fillId="15" borderId="0" applyNumberFormat="0" applyBorder="0" applyAlignment="0" applyProtection="0"/>
    <xf numFmtId="186" fontId="14" fillId="16" borderId="0" applyNumberFormat="0" applyBorder="0" applyAlignment="0" applyProtection="0"/>
    <xf numFmtId="186" fontId="14" fillId="17" borderId="0" applyNumberFormat="0" applyBorder="0" applyAlignment="0" applyProtection="0"/>
    <xf numFmtId="186" fontId="15" fillId="18"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5" fillId="19" borderId="0" applyNumberFormat="0" applyBorder="0" applyAlignment="0" applyProtection="0"/>
    <xf numFmtId="186" fontId="14" fillId="20" borderId="0" applyNumberFormat="0" applyBorder="0" applyAlignment="0" applyProtection="0"/>
    <xf numFmtId="186" fontId="14" fillId="21" borderId="0" applyNumberFormat="0" applyBorder="0" applyAlignment="0" applyProtection="0"/>
    <xf numFmtId="186" fontId="15" fillId="22"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5" fillId="23" borderId="0" applyNumberFormat="0" applyBorder="0" applyAlignment="0" applyProtection="0"/>
    <xf numFmtId="186" fontId="14" fillId="24" borderId="0" applyNumberFormat="0" applyBorder="0" applyAlignment="0" applyProtection="0"/>
    <xf numFmtId="186" fontId="14" fillId="25" borderId="0" applyNumberFormat="0" applyBorder="0" applyAlignment="0" applyProtection="0"/>
    <xf numFmtId="186" fontId="15" fillId="26"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5" fillId="22" borderId="0" applyNumberFormat="0" applyBorder="0" applyAlignment="0" applyProtection="0"/>
    <xf numFmtId="186" fontId="14" fillId="25" borderId="0" applyNumberFormat="0" applyBorder="0" applyAlignment="0" applyProtection="0"/>
    <xf numFmtId="186" fontId="14" fillId="26" borderId="0" applyNumberFormat="0" applyBorder="0" applyAlignment="0" applyProtection="0"/>
    <xf numFmtId="186" fontId="15" fillId="26"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5" fillId="27" borderId="0" applyNumberFormat="0" applyBorder="0" applyAlignment="0" applyProtection="0"/>
    <xf numFmtId="186" fontId="14" fillId="16" borderId="0" applyNumberFormat="0" applyBorder="0" applyAlignment="0" applyProtection="0"/>
    <xf numFmtId="186" fontId="14" fillId="17" borderId="0" applyNumberFormat="0" applyBorder="0" applyAlignment="0" applyProtection="0"/>
    <xf numFmtId="186" fontId="15" fillId="17"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5" fillId="28" borderId="0" applyNumberFormat="0" applyBorder="0" applyAlignment="0" applyProtection="0"/>
    <xf numFmtId="186" fontId="14" fillId="29" borderId="0" applyNumberFormat="0" applyBorder="0" applyAlignment="0" applyProtection="0"/>
    <xf numFmtId="186" fontId="14" fillId="21" borderId="0" applyNumberFormat="0" applyBorder="0" applyAlignment="0" applyProtection="0"/>
    <xf numFmtId="186" fontId="15" fillId="30"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5" fillId="3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6" fillId="21" borderId="0" applyNumberFormat="0" applyBorder="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7" fillId="32" borderId="23"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86" fontId="18" fillId="22" borderId="24" applyNumberFormat="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68" fontId="4"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14" fillId="0" borderId="0" applyFont="0" applyFill="0" applyBorder="0" applyAlignment="0" applyProtection="0"/>
    <xf numFmtId="175" fontId="14"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6"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77" fontId="8" fillId="0" borderId="0" applyFont="0" applyFill="0" applyBorder="0" applyAlignment="0" applyProtection="0"/>
    <xf numFmtId="186" fontId="19" fillId="0" borderId="0" applyNumberFormat="0" applyFill="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0" fillId="33" borderId="0" applyNumberFormat="0" applyBorder="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1" fillId="0" borderId="25"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2" fillId="0" borderId="26"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27" applyNumberFormat="0" applyFill="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3" fillId="0" borderId="0" applyNumberFormat="0" applyFill="0" applyBorder="0" applyAlignment="0" applyProtection="0"/>
    <xf numFmtId="186" fontId="24" fillId="0" borderId="0" applyNumberFormat="0" applyFill="0" applyBorder="0" applyAlignment="0" applyProtection="0">
      <alignment vertical="top"/>
      <protection locked="0"/>
    </xf>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5" fillId="30" borderId="23" applyNumberFormat="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6" fillId="0" borderId="28" applyNumberFormat="0" applyFill="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27" fillId="30" borderId="0" applyNumberFormat="0" applyBorder="0" applyAlignment="0" applyProtection="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28" fillId="0" borderId="0"/>
    <xf numFmtId="178" fontId="29" fillId="0" borderId="0"/>
    <xf numFmtId="186" fontId="8" fillId="0" borderId="0"/>
    <xf numFmtId="178" fontId="30" fillId="0" borderId="0"/>
    <xf numFmtId="186" fontId="4" fillId="0" borderId="0"/>
    <xf numFmtId="186" fontId="31" fillId="0" borderId="0"/>
    <xf numFmtId="178" fontId="29"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0" borderId="0"/>
    <xf numFmtId="179" fontId="29" fillId="0" borderId="0"/>
    <xf numFmtId="186" fontId="8" fillId="0" borderId="0"/>
    <xf numFmtId="186" fontId="8" fillId="0" borderId="0"/>
    <xf numFmtId="178" fontId="29" fillId="0" borderId="0"/>
    <xf numFmtId="179" fontId="29" fillId="0" borderId="0"/>
    <xf numFmtId="186" fontId="31" fillId="0" borderId="0"/>
    <xf numFmtId="186" fontId="4" fillId="0" borderId="0"/>
    <xf numFmtId="178" fontId="30" fillId="0" borderId="0"/>
    <xf numFmtId="186" fontId="8" fillId="0" borderId="0"/>
    <xf numFmtId="186" fontId="31" fillId="0" borderId="0"/>
    <xf numFmtId="178" fontId="30" fillId="0" borderId="0"/>
    <xf numFmtId="186" fontId="8" fillId="0" borderId="0"/>
    <xf numFmtId="186" fontId="8" fillId="0" borderId="0"/>
    <xf numFmtId="186" fontId="8" fillId="0" borderId="0"/>
    <xf numFmtId="186" fontId="8" fillId="0" borderId="0"/>
    <xf numFmtId="186" fontId="8" fillId="0" borderId="0"/>
    <xf numFmtId="186" fontId="8" fillId="0" borderId="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8" fillId="29" borderId="29" applyNumberFormat="0" applyFon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186" fontId="32" fillId="32" borderId="30"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4" fontId="33" fillId="34" borderId="31" applyNumberFormat="0" applyProtection="0">
      <alignment vertical="center"/>
    </xf>
    <xf numFmtId="4" fontId="34" fillId="34" borderId="31" applyNumberFormat="0" applyProtection="0">
      <alignment vertical="center"/>
    </xf>
    <xf numFmtId="4" fontId="33" fillId="34" borderId="31" applyNumberFormat="0" applyProtection="0">
      <alignment horizontal="left" vertical="center" indent="1"/>
    </xf>
    <xf numFmtId="186" fontId="33" fillId="34" borderId="31" applyNumberFormat="0" applyProtection="0">
      <alignment horizontal="left" vertical="top" indent="1"/>
    </xf>
    <xf numFmtId="4" fontId="33" fillId="6" borderId="0" applyNumberFormat="0" applyProtection="0">
      <alignment horizontal="left" vertical="center" indent="1"/>
    </xf>
    <xf numFmtId="4" fontId="12" fillId="11" borderId="31" applyNumberFormat="0" applyProtection="0">
      <alignment horizontal="right" vertical="center"/>
    </xf>
    <xf numFmtId="4" fontId="12" fillId="11" borderId="31" applyNumberFormat="0" applyProtection="0">
      <alignment horizontal="right" vertical="center"/>
    </xf>
    <xf numFmtId="4" fontId="12" fillId="11" borderId="31" applyNumberFormat="0" applyProtection="0">
      <alignment horizontal="right" vertical="center"/>
    </xf>
    <xf numFmtId="4" fontId="12" fillId="7" borderId="31" applyNumberFormat="0" applyProtection="0">
      <alignment horizontal="right" vertical="center"/>
    </xf>
    <xf numFmtId="4" fontId="12" fillId="7" borderId="31" applyNumberFormat="0" applyProtection="0">
      <alignment horizontal="right" vertical="center"/>
    </xf>
    <xf numFmtId="4" fontId="12" fillId="7" borderId="31" applyNumberFormat="0" applyProtection="0">
      <alignment horizontal="right" vertical="center"/>
    </xf>
    <xf numFmtId="4" fontId="12" fillId="35" borderId="31" applyNumberFormat="0" applyProtection="0">
      <alignment horizontal="right" vertical="center"/>
    </xf>
    <xf numFmtId="4" fontId="12" fillId="35" borderId="31" applyNumberFormat="0" applyProtection="0">
      <alignment horizontal="right" vertical="center"/>
    </xf>
    <xf numFmtId="4" fontId="12" fillId="35" borderId="31" applyNumberFormat="0" applyProtection="0">
      <alignment horizontal="right" vertical="center"/>
    </xf>
    <xf numFmtId="4" fontId="12" fillId="36" borderId="31" applyNumberFormat="0" applyProtection="0">
      <alignment horizontal="right" vertical="center"/>
    </xf>
    <xf numFmtId="4" fontId="12" fillId="36" borderId="31" applyNumberFormat="0" applyProtection="0">
      <alignment horizontal="right" vertical="center"/>
    </xf>
    <xf numFmtId="4" fontId="12" fillId="36" borderId="31" applyNumberFormat="0" applyProtection="0">
      <alignment horizontal="right" vertical="center"/>
    </xf>
    <xf numFmtId="4" fontId="12" fillId="37" borderId="31" applyNumberFormat="0" applyProtection="0">
      <alignment horizontal="right" vertical="center"/>
    </xf>
    <xf numFmtId="4" fontId="12" fillId="37" borderId="31" applyNumberFormat="0" applyProtection="0">
      <alignment horizontal="right" vertical="center"/>
    </xf>
    <xf numFmtId="4" fontId="12" fillId="37" borderId="31" applyNumberFormat="0" applyProtection="0">
      <alignment horizontal="right" vertical="center"/>
    </xf>
    <xf numFmtId="4" fontId="12" fillId="38" borderId="31" applyNumberFormat="0" applyProtection="0">
      <alignment horizontal="right" vertical="center"/>
    </xf>
    <xf numFmtId="4" fontId="12" fillId="38" borderId="31" applyNumberFormat="0" applyProtection="0">
      <alignment horizontal="right" vertical="center"/>
    </xf>
    <xf numFmtId="4" fontId="12" fillId="38" borderId="31" applyNumberFormat="0" applyProtection="0">
      <alignment horizontal="right" vertical="center"/>
    </xf>
    <xf numFmtId="4" fontId="12" fillId="13" borderId="31" applyNumberFormat="0" applyProtection="0">
      <alignment horizontal="right" vertical="center"/>
    </xf>
    <xf numFmtId="4" fontId="12" fillId="13" borderId="31" applyNumberFormat="0" applyProtection="0">
      <alignment horizontal="right" vertical="center"/>
    </xf>
    <xf numFmtId="4" fontId="12" fillId="13" borderId="31" applyNumberFormat="0" applyProtection="0">
      <alignment horizontal="right" vertical="center"/>
    </xf>
    <xf numFmtId="4" fontId="12" fillId="39" borderId="31" applyNumberFormat="0" applyProtection="0">
      <alignment horizontal="right" vertical="center"/>
    </xf>
    <xf numFmtId="4" fontId="12" fillId="39" borderId="31" applyNumberFormat="0" applyProtection="0">
      <alignment horizontal="right" vertical="center"/>
    </xf>
    <xf numFmtId="4" fontId="12" fillId="39" borderId="31" applyNumberFormat="0" applyProtection="0">
      <alignment horizontal="right" vertical="center"/>
    </xf>
    <xf numFmtId="4" fontId="12" fillId="40" borderId="31" applyNumberFormat="0" applyProtection="0">
      <alignment horizontal="right" vertical="center"/>
    </xf>
    <xf numFmtId="4" fontId="12" fillId="40" borderId="31" applyNumberFormat="0" applyProtection="0">
      <alignment horizontal="right" vertical="center"/>
    </xf>
    <xf numFmtId="4" fontId="12" fillId="40" borderId="31" applyNumberFormat="0" applyProtection="0">
      <alignment horizontal="right" vertical="center"/>
    </xf>
    <xf numFmtId="4" fontId="33" fillId="41" borderId="32" applyNumberFormat="0" applyProtection="0">
      <alignment horizontal="left" vertical="center" indent="1"/>
    </xf>
    <xf numFmtId="4" fontId="12" fillId="42" borderId="0" applyNumberFormat="0" applyProtection="0">
      <alignment horizontal="left" vertical="center" indent="1"/>
    </xf>
    <xf numFmtId="4" fontId="12" fillId="42" borderId="0" applyNumberFormat="0" applyProtection="0">
      <alignment horizontal="left" vertical="center" indent="1"/>
    </xf>
    <xf numFmtId="4" fontId="12" fillId="42" borderId="0" applyNumberFormat="0" applyProtection="0">
      <alignment horizontal="left" vertical="center" indent="1"/>
    </xf>
    <xf numFmtId="4" fontId="35" fillId="12" borderId="0" applyNumberFormat="0" applyProtection="0">
      <alignment horizontal="left" vertical="center" indent="1"/>
    </xf>
    <xf numFmtId="4" fontId="35" fillId="12" borderId="0" applyNumberFormat="0" applyProtection="0">
      <alignment horizontal="left" vertical="center" indent="1"/>
    </xf>
    <xf numFmtId="4" fontId="35" fillId="12" borderId="0" applyNumberFormat="0" applyProtection="0">
      <alignment horizontal="left" vertical="center" indent="1"/>
    </xf>
    <xf numFmtId="4" fontId="35" fillId="12" borderId="0" applyNumberFormat="0" applyProtection="0">
      <alignment horizontal="left" vertical="center" indent="1"/>
    </xf>
    <xf numFmtId="4" fontId="35" fillId="12" borderId="0" applyNumberFormat="0" applyProtection="0">
      <alignment horizontal="left" vertical="center" indent="1"/>
    </xf>
    <xf numFmtId="4" fontId="35" fillId="12" borderId="0" applyNumberFormat="0" applyProtection="0">
      <alignment horizontal="left" vertical="center" indent="1"/>
    </xf>
    <xf numFmtId="4" fontId="12" fillId="6" borderId="31" applyNumberFormat="0" applyProtection="0">
      <alignment horizontal="right" vertical="center"/>
    </xf>
    <xf numFmtId="4" fontId="12" fillId="6" borderId="31" applyNumberFormat="0" applyProtection="0">
      <alignment horizontal="right" vertical="center"/>
    </xf>
    <xf numFmtId="4" fontId="12" fillId="6" borderId="31" applyNumberFormat="0" applyProtection="0">
      <alignment horizontal="right" vertical="center"/>
    </xf>
    <xf numFmtId="4" fontId="12" fillId="42" borderId="0" applyNumberFormat="0" applyProtection="0">
      <alignment horizontal="left" vertical="center" indent="1"/>
    </xf>
    <xf numFmtId="4" fontId="12" fillId="42" borderId="0" applyNumberFormat="0" applyProtection="0">
      <alignment horizontal="left" vertical="center" indent="1"/>
    </xf>
    <xf numFmtId="4" fontId="12" fillId="42" borderId="0" applyNumberFormat="0" applyProtection="0">
      <alignment horizontal="left" vertical="center" indent="1"/>
    </xf>
    <xf numFmtId="4" fontId="12" fillId="42" borderId="0" applyNumberFormat="0" applyProtection="0">
      <alignment horizontal="left" vertical="center" indent="1"/>
    </xf>
    <xf numFmtId="4" fontId="12" fillId="42" borderId="0" applyNumberFormat="0" applyProtection="0">
      <alignment horizontal="left" vertical="center" indent="1"/>
    </xf>
    <xf numFmtId="4" fontId="12" fillId="42" borderId="0" applyNumberFormat="0" applyProtection="0">
      <alignment horizontal="left" vertical="center" indent="1"/>
    </xf>
    <xf numFmtId="4" fontId="12" fillId="6" borderId="0" applyNumberFormat="0" applyProtection="0">
      <alignment horizontal="left" vertical="center" indent="1"/>
    </xf>
    <xf numFmtId="4" fontId="12" fillId="6" borderId="0" applyNumberFormat="0" applyProtection="0">
      <alignment horizontal="left" vertical="center" indent="1"/>
    </xf>
    <xf numFmtId="4" fontId="12" fillId="6" borderId="0" applyNumberFormat="0" applyProtection="0">
      <alignment horizontal="left" vertical="center" indent="1"/>
    </xf>
    <xf numFmtId="4" fontId="12" fillId="6" borderId="0" applyNumberFormat="0" applyProtection="0">
      <alignment horizontal="left" vertical="center" indent="1"/>
    </xf>
    <xf numFmtId="4" fontId="12" fillId="6" borderId="0" applyNumberFormat="0" applyProtection="0">
      <alignment horizontal="left" vertical="center" indent="1"/>
    </xf>
    <xf numFmtId="4" fontId="12" fillId="6" borderId="0"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center"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12" borderId="31" applyNumberFormat="0" applyProtection="0">
      <alignment horizontal="left" vertical="top"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center"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6" borderId="31" applyNumberFormat="0" applyProtection="0">
      <alignment horizontal="left" vertical="top"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center"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10" borderId="31" applyNumberFormat="0" applyProtection="0">
      <alignment horizontal="left" vertical="top"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center"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42" borderId="31" applyNumberFormat="0" applyProtection="0">
      <alignment horizontal="left" vertical="top" indent="1"/>
    </xf>
    <xf numFmtId="186" fontId="8" fillId="9" borderId="33" applyNumberFormat="0">
      <protection locked="0"/>
    </xf>
    <xf numFmtId="186" fontId="8" fillId="9" borderId="33" applyNumberFormat="0">
      <protection locked="0"/>
    </xf>
    <xf numFmtId="186" fontId="8" fillId="9" borderId="33" applyNumberFormat="0">
      <protection locked="0"/>
    </xf>
    <xf numFmtId="186" fontId="8" fillId="9" borderId="33" applyNumberFormat="0">
      <protection locked="0"/>
    </xf>
    <xf numFmtId="186" fontId="8" fillId="9" borderId="33" applyNumberFormat="0">
      <protection locked="0"/>
    </xf>
    <xf numFmtId="186" fontId="8" fillId="9" borderId="33" applyNumberFormat="0">
      <protection locked="0"/>
    </xf>
    <xf numFmtId="186" fontId="8" fillId="9" borderId="33" applyNumberFormat="0">
      <protection locked="0"/>
    </xf>
    <xf numFmtId="186" fontId="8" fillId="9" borderId="33" applyNumberFormat="0">
      <protection locked="0"/>
    </xf>
    <xf numFmtId="186" fontId="8" fillId="9" borderId="33" applyNumberFormat="0">
      <protection locked="0"/>
    </xf>
    <xf numFmtId="4" fontId="12" fillId="8" borderId="31" applyNumberFormat="0" applyProtection="0">
      <alignment vertical="center"/>
    </xf>
    <xf numFmtId="4" fontId="12" fillId="8" borderId="31" applyNumberFormat="0" applyProtection="0">
      <alignment vertical="center"/>
    </xf>
    <xf numFmtId="4" fontId="12" fillId="8" borderId="31" applyNumberFormat="0" applyProtection="0">
      <alignment vertical="center"/>
    </xf>
    <xf numFmtId="4" fontId="36" fillId="8" borderId="31" applyNumberFormat="0" applyProtection="0">
      <alignment vertical="center"/>
    </xf>
    <xf numFmtId="4" fontId="12" fillId="8" borderId="31" applyNumberFormat="0" applyProtection="0">
      <alignment horizontal="left" vertical="center" indent="1"/>
    </xf>
    <xf numFmtId="4" fontId="12" fillId="8" borderId="31" applyNumberFormat="0" applyProtection="0">
      <alignment horizontal="left" vertical="center" indent="1"/>
    </xf>
    <xf numFmtId="4" fontId="12" fillId="8" borderId="31" applyNumberFormat="0" applyProtection="0">
      <alignment horizontal="left" vertical="center" indent="1"/>
    </xf>
    <xf numFmtId="186" fontId="12" fillId="8" borderId="31" applyNumberFormat="0" applyProtection="0">
      <alignment horizontal="left" vertical="top" indent="1"/>
    </xf>
    <xf numFmtId="186" fontId="12" fillId="8" borderId="31" applyNumberFormat="0" applyProtection="0">
      <alignment horizontal="left" vertical="top" indent="1"/>
    </xf>
    <xf numFmtId="186" fontId="12" fillId="8" borderId="31" applyNumberFormat="0" applyProtection="0">
      <alignment horizontal="left" vertical="top" indent="1"/>
    </xf>
    <xf numFmtId="4" fontId="12" fillId="42" borderId="31" applyNumberFormat="0" applyProtection="0">
      <alignment horizontal="right" vertical="center"/>
    </xf>
    <xf numFmtId="4" fontId="12" fillId="42" borderId="31" applyNumberFormat="0" applyProtection="0">
      <alignment horizontal="right" vertical="center"/>
    </xf>
    <xf numFmtId="4" fontId="12" fillId="42" borderId="31" applyNumberFormat="0" applyProtection="0">
      <alignment horizontal="right" vertical="center"/>
    </xf>
    <xf numFmtId="4" fontId="36" fillId="42" borderId="31" applyNumberFormat="0" applyProtection="0">
      <alignment horizontal="right" vertical="center"/>
    </xf>
    <xf numFmtId="4" fontId="12" fillId="6" borderId="31" applyNumberFormat="0" applyProtection="0">
      <alignment horizontal="left" vertical="center" indent="1"/>
    </xf>
    <xf numFmtId="4" fontId="12" fillId="6" borderId="31" applyNumberFormat="0" applyProtection="0">
      <alignment horizontal="left" vertical="center" indent="1"/>
    </xf>
    <xf numFmtId="4" fontId="12" fillId="6" borderId="31" applyNumberFormat="0" applyProtection="0">
      <alignment horizontal="left" vertical="center" indent="1"/>
    </xf>
    <xf numFmtId="186" fontId="12" fillId="6" borderId="31" applyNumberFormat="0" applyProtection="0">
      <alignment horizontal="left" vertical="top" indent="1"/>
    </xf>
    <xf numFmtId="186" fontId="12" fillId="6" borderId="31" applyNumberFormat="0" applyProtection="0">
      <alignment horizontal="left" vertical="top" indent="1"/>
    </xf>
    <xf numFmtId="186" fontId="12" fillId="6" borderId="31" applyNumberFormat="0" applyProtection="0">
      <alignment horizontal="left" vertical="top" indent="1"/>
    </xf>
    <xf numFmtId="4" fontId="37" fillId="43" borderId="0" applyNumberFormat="0" applyProtection="0">
      <alignment horizontal="left" vertical="center" indent="1"/>
    </xf>
    <xf numFmtId="4" fontId="37" fillId="43" borderId="0" applyNumberFormat="0" applyProtection="0">
      <alignment horizontal="left" vertical="center" indent="1"/>
    </xf>
    <xf numFmtId="4" fontId="37" fillId="43" borderId="0" applyNumberFormat="0" applyProtection="0">
      <alignment horizontal="left" vertical="center" indent="1"/>
    </xf>
    <xf numFmtId="4" fontId="37" fillId="43" borderId="0" applyNumberFormat="0" applyProtection="0">
      <alignment horizontal="left" vertical="center" indent="1"/>
    </xf>
    <xf numFmtId="4" fontId="37" fillId="43" borderId="0" applyNumberFormat="0" applyProtection="0">
      <alignment horizontal="left" vertical="center" indent="1"/>
    </xf>
    <xf numFmtId="4" fontId="37" fillId="43" borderId="0" applyNumberFormat="0" applyProtection="0">
      <alignment horizontal="left" vertical="center" indent="1"/>
    </xf>
    <xf numFmtId="4" fontId="38" fillId="42" borderId="31" applyNumberFormat="0" applyProtection="0">
      <alignment horizontal="right" vertical="center"/>
    </xf>
    <xf numFmtId="186" fontId="39" fillId="0" borderId="0"/>
    <xf numFmtId="186" fontId="40" fillId="0" borderId="0" applyNumberFormat="0" applyFill="0" applyBorder="0" applyAlignment="0" applyProtection="0"/>
    <xf numFmtId="186" fontId="40" fillId="0" borderId="0" applyNumberFormat="0" applyFill="0" applyBorder="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1" fillId="0" borderId="34" applyNumberFormat="0" applyFill="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42" fillId="0" borderId="0" applyNumberFormat="0" applyFill="0" applyBorder="0" applyAlignment="0" applyProtection="0"/>
    <xf numFmtId="186" fontId="52" fillId="0" borderId="0"/>
    <xf numFmtId="183" fontId="28" fillId="0" borderId="0"/>
    <xf numFmtId="186" fontId="58" fillId="0" borderId="0"/>
    <xf numFmtId="186" fontId="7" fillId="0" borderId="0"/>
    <xf numFmtId="168" fontId="7" fillId="0" borderId="0" applyFont="0" applyFill="0" applyBorder="0" applyAlignment="0" applyProtection="0"/>
    <xf numFmtId="186" fontId="7" fillId="0" borderId="0"/>
    <xf numFmtId="183" fontId="28" fillId="0" borderId="0"/>
    <xf numFmtId="168" fontId="4" fillId="0" borderId="0" applyFont="0" applyFill="0" applyBorder="0" applyAlignment="0" applyProtection="0"/>
    <xf numFmtId="186" fontId="4" fillId="0" borderId="0"/>
    <xf numFmtId="186" fontId="4" fillId="0" borderId="0"/>
    <xf numFmtId="186" fontId="7" fillId="0" borderId="0"/>
    <xf numFmtId="186" fontId="4" fillId="0" borderId="0"/>
    <xf numFmtId="186" fontId="4" fillId="0" borderId="0"/>
    <xf numFmtId="186" fontId="24" fillId="0" borderId="0" applyNumberFormat="0" applyFill="0" applyBorder="0" applyAlignment="0" applyProtection="0">
      <alignment vertical="top"/>
      <protection locked="0"/>
    </xf>
    <xf numFmtId="186" fontId="39" fillId="52" borderId="18" applyAlignment="0">
      <alignment vertical="center"/>
    </xf>
    <xf numFmtId="186" fontId="31" fillId="0" borderId="0"/>
    <xf numFmtId="186" fontId="4" fillId="0" borderId="0"/>
    <xf numFmtId="186" fontId="8" fillId="0" borderId="0"/>
    <xf numFmtId="186" fontId="4" fillId="0" borderId="0"/>
    <xf numFmtId="37" fontId="68" fillId="0" borderId="0"/>
    <xf numFmtId="186" fontId="8" fillId="0" borderId="0" applyNumberFormat="0" applyFill="0" applyBorder="0" applyAlignment="0" applyProtection="0"/>
    <xf numFmtId="186" fontId="12" fillId="0" borderId="0">
      <alignment vertical="top"/>
    </xf>
    <xf numFmtId="186" fontId="12" fillId="0" borderId="0">
      <alignment vertical="top"/>
    </xf>
    <xf numFmtId="186" fontId="12" fillId="0" borderId="0">
      <alignment vertical="top"/>
    </xf>
    <xf numFmtId="186" fontId="12" fillId="0" borderId="0">
      <alignment vertical="top"/>
    </xf>
    <xf numFmtId="37" fontId="68" fillId="0" borderId="0"/>
    <xf numFmtId="37" fontId="68" fillId="0" borderId="0"/>
    <xf numFmtId="37" fontId="68" fillId="0" borderId="0"/>
    <xf numFmtId="186" fontId="12" fillId="0" borderId="0">
      <alignment vertical="top"/>
    </xf>
    <xf numFmtId="187" fontId="69" fillId="0" borderId="0" applyFont="0" applyFill="0" applyBorder="0" applyAlignment="0" applyProtection="0"/>
    <xf numFmtId="188" fontId="69" fillId="0" borderId="0" applyFont="0" applyFill="0" applyBorder="0" applyAlignment="0" applyProtection="0"/>
    <xf numFmtId="186" fontId="4" fillId="54" borderId="0" applyNumberFormat="0" applyBorder="0" applyAlignment="0" applyProtection="0"/>
    <xf numFmtId="186" fontId="4" fillId="56" borderId="0" applyNumberFormat="0" applyBorder="0" applyAlignment="0" applyProtection="0"/>
    <xf numFmtId="186" fontId="4" fillId="58" borderId="0" applyNumberFormat="0" applyBorder="0" applyAlignment="0" applyProtection="0"/>
    <xf numFmtId="186" fontId="4" fillId="60" borderId="0" applyNumberFormat="0" applyBorder="0" applyAlignment="0" applyProtection="0"/>
    <xf numFmtId="186" fontId="4" fillId="62" borderId="0" applyNumberFormat="0" applyBorder="0" applyAlignment="0" applyProtection="0"/>
    <xf numFmtId="186" fontId="4" fillId="64" borderId="0" applyNumberFormat="0" applyBorder="0" applyAlignment="0" applyProtection="0"/>
    <xf numFmtId="186" fontId="14" fillId="66" borderId="0" applyNumberFormat="0" applyBorder="0" applyAlignment="0" applyProtection="0"/>
    <xf numFmtId="186" fontId="14" fillId="11" borderId="0" applyNumberFormat="0" applyBorder="0" applyAlignment="0" applyProtection="0"/>
    <xf numFmtId="186" fontId="14" fillId="67" borderId="0" applyNumberFormat="0" applyBorder="0" applyAlignment="0" applyProtection="0"/>
    <xf numFmtId="186" fontId="14" fillId="68" borderId="0" applyNumberFormat="0" applyBorder="0" applyAlignment="0" applyProtection="0"/>
    <xf numFmtId="186" fontId="14" fillId="69" borderId="0" applyNumberFormat="0" applyBorder="0" applyAlignment="0" applyProtection="0"/>
    <xf numFmtId="186" fontId="14" fillId="15" borderId="0" applyNumberFormat="0" applyBorder="0" applyAlignment="0" applyProtection="0"/>
    <xf numFmtId="189" fontId="69" fillId="0" borderId="0" applyFont="0" applyFill="0" applyBorder="0" applyAlignment="0" applyProtection="0"/>
    <xf numFmtId="190" fontId="69" fillId="0" borderId="0" applyFont="0" applyFill="0" applyBorder="0" applyAlignment="0" applyProtection="0"/>
    <xf numFmtId="186" fontId="4" fillId="55" borderId="0" applyNumberFormat="0" applyBorder="0" applyAlignment="0" applyProtection="0"/>
    <xf numFmtId="186" fontId="4" fillId="57" borderId="0" applyNumberFormat="0" applyBorder="0" applyAlignment="0" applyProtection="0"/>
    <xf numFmtId="186" fontId="4" fillId="59" borderId="0" applyNumberFormat="0" applyBorder="0" applyAlignment="0" applyProtection="0"/>
    <xf numFmtId="186" fontId="4" fillId="61" borderId="0" applyNumberFormat="0" applyBorder="0" applyAlignment="0" applyProtection="0"/>
    <xf numFmtId="186" fontId="4" fillId="63" borderId="0" applyNumberFormat="0" applyBorder="0" applyAlignment="0" applyProtection="0"/>
    <xf numFmtId="186" fontId="4" fillId="65" borderId="0" applyNumberFormat="0" applyBorder="0" applyAlignment="0" applyProtection="0"/>
    <xf numFmtId="186" fontId="14" fillId="10" borderId="0" applyNumberFormat="0" applyBorder="0" applyAlignment="0" applyProtection="0"/>
    <xf numFmtId="186" fontId="14" fillId="7" borderId="0" applyNumberFormat="0" applyBorder="0" applyAlignment="0" applyProtection="0"/>
    <xf numFmtId="186" fontId="14" fillId="40" borderId="0" applyNumberFormat="0" applyBorder="0" applyAlignment="0" applyProtection="0"/>
    <xf numFmtId="186" fontId="14" fillId="68" borderId="0" applyNumberFormat="0" applyBorder="0" applyAlignment="0" applyProtection="0"/>
    <xf numFmtId="186" fontId="14" fillId="10" borderId="0" applyNumberFormat="0" applyBorder="0" applyAlignment="0" applyProtection="0"/>
    <xf numFmtId="186" fontId="14" fillId="36" borderId="0" applyNumberFormat="0" applyBorder="0" applyAlignment="0" applyProtection="0"/>
    <xf numFmtId="191" fontId="69" fillId="0" borderId="0" applyFont="0" applyFill="0" applyBorder="0" applyAlignment="0" applyProtection="0"/>
    <xf numFmtId="186" fontId="15" fillId="70" borderId="0" applyNumberFormat="0" applyBorder="0" applyAlignment="0" applyProtection="0"/>
    <xf numFmtId="186" fontId="15" fillId="7" borderId="0" applyNumberFormat="0" applyBorder="0" applyAlignment="0" applyProtection="0"/>
    <xf numFmtId="186" fontId="15" fillId="40" borderId="0" applyNumberFormat="0" applyBorder="0" applyAlignment="0" applyProtection="0"/>
    <xf numFmtId="186" fontId="15" fillId="71" borderId="0" applyNumberFormat="0" applyBorder="0" applyAlignment="0" applyProtection="0"/>
    <xf numFmtId="186" fontId="15" fillId="72" borderId="0" applyNumberFormat="0" applyBorder="0" applyAlignment="0" applyProtection="0"/>
    <xf numFmtId="186" fontId="15" fillId="37" borderId="0" applyNumberFormat="0" applyBorder="0" applyAlignment="0" applyProtection="0"/>
    <xf numFmtId="186" fontId="8" fillId="0" borderId="0" applyNumberFormat="0" applyFill="0" applyBorder="0" applyAlignment="0" applyProtection="0"/>
    <xf numFmtId="186" fontId="31" fillId="0" borderId="21">
      <alignment horizontal="center" vertical="center"/>
    </xf>
    <xf numFmtId="186" fontId="70" fillId="0" borderId="15">
      <protection hidden="1"/>
    </xf>
    <xf numFmtId="186" fontId="71" fillId="14" borderId="15" applyNumberFormat="0" applyFont="0" applyBorder="0" applyAlignment="0" applyProtection="0">
      <protection hidden="1"/>
    </xf>
    <xf numFmtId="186" fontId="20" fillId="67" borderId="0" applyNumberFormat="0" applyBorder="0" applyAlignment="0" applyProtection="0"/>
    <xf numFmtId="2" fontId="72" fillId="0" borderId="0">
      <protection locked="0"/>
    </xf>
    <xf numFmtId="2" fontId="73" fillId="0" borderId="0">
      <protection locked="0"/>
    </xf>
    <xf numFmtId="186" fontId="72" fillId="0" borderId="0">
      <protection locked="0"/>
    </xf>
    <xf numFmtId="186" fontId="72" fillId="0" borderId="0">
      <protection locked="0"/>
    </xf>
    <xf numFmtId="186" fontId="74" fillId="14" borderId="23" applyNumberFormat="0" applyAlignment="0" applyProtection="0"/>
    <xf numFmtId="186" fontId="18" fillId="73" borderId="24" applyNumberFormat="0" applyAlignment="0" applyProtection="0"/>
    <xf numFmtId="186" fontId="75" fillId="0" borderId="52" applyNumberFormat="0" applyFill="0" applyAlignment="0" applyProtection="0"/>
    <xf numFmtId="186" fontId="11" fillId="0" borderId="0"/>
    <xf numFmtId="192" fontId="8" fillId="0" borderId="0"/>
    <xf numFmtId="192" fontId="8" fillId="0" borderId="0"/>
    <xf numFmtId="1" fontId="76" fillId="74" borderId="33">
      <alignment horizontal="right" vertical="center"/>
    </xf>
    <xf numFmtId="186" fontId="77" fillId="74" borderId="33">
      <alignment horizontal="right" vertical="center"/>
    </xf>
    <xf numFmtId="186" fontId="8" fillId="74" borderId="53"/>
    <xf numFmtId="186" fontId="8" fillId="74" borderId="53"/>
    <xf numFmtId="186" fontId="8" fillId="74" borderId="53"/>
    <xf numFmtId="186" fontId="8" fillId="74" borderId="53"/>
    <xf numFmtId="186" fontId="8" fillId="74" borderId="53"/>
    <xf numFmtId="186" fontId="8" fillId="74" borderId="53"/>
    <xf numFmtId="186" fontId="8" fillId="74" borderId="53"/>
    <xf numFmtId="186" fontId="8" fillId="74" borderId="53"/>
    <xf numFmtId="186" fontId="8" fillId="74" borderId="53"/>
    <xf numFmtId="186" fontId="8" fillId="74" borderId="53"/>
    <xf numFmtId="186" fontId="76" fillId="52" borderId="33">
      <alignment horizontal="center" vertical="center"/>
    </xf>
    <xf numFmtId="1" fontId="76" fillId="74" borderId="33">
      <alignment horizontal="right" vertical="center"/>
    </xf>
    <xf numFmtId="186" fontId="8" fillId="74" borderId="0"/>
    <xf numFmtId="186" fontId="8" fillId="74" borderId="0"/>
    <xf numFmtId="186" fontId="8" fillId="74" borderId="0"/>
    <xf numFmtId="186" fontId="8" fillId="74" borderId="0"/>
    <xf numFmtId="186" fontId="8" fillId="74" borderId="0"/>
    <xf numFmtId="186" fontId="8" fillId="74" borderId="0"/>
    <xf numFmtId="186" fontId="8" fillId="74" borderId="0"/>
    <xf numFmtId="186" fontId="8" fillId="74" borderId="0"/>
    <xf numFmtId="186" fontId="8" fillId="74" borderId="0"/>
    <xf numFmtId="186" fontId="8" fillId="74" borderId="0"/>
    <xf numFmtId="186" fontId="78" fillId="74" borderId="33">
      <alignment horizontal="left" vertical="center"/>
    </xf>
    <xf numFmtId="186" fontId="78" fillId="74" borderId="33"/>
    <xf numFmtId="186" fontId="77" fillId="74" borderId="33">
      <alignment horizontal="right" vertical="center"/>
    </xf>
    <xf numFmtId="186" fontId="79" fillId="75" borderId="33">
      <alignment horizontal="left" vertical="center"/>
    </xf>
    <xf numFmtId="186" fontId="79" fillId="75" borderId="33">
      <alignment horizontal="left" vertical="center"/>
    </xf>
    <xf numFmtId="186" fontId="80" fillId="74" borderId="33">
      <alignment horizontal="left" vertical="center"/>
    </xf>
    <xf numFmtId="186" fontId="81" fillId="74" borderId="53"/>
    <xf numFmtId="186" fontId="76" fillId="76" borderId="33">
      <alignment horizontal="left" vertical="center"/>
    </xf>
    <xf numFmtId="168" fontId="4" fillId="0" borderId="0" applyFont="0" applyFill="0" applyBorder="0" applyAlignment="0" applyProtection="0"/>
    <xf numFmtId="168" fontId="4" fillId="0" borderId="0" applyFont="0" applyFill="0" applyBorder="0" applyAlignment="0" applyProtection="0"/>
    <xf numFmtId="193" fontId="31" fillId="0" borderId="0"/>
    <xf numFmtId="193" fontId="31" fillId="0" borderId="0"/>
    <xf numFmtId="193" fontId="31" fillId="0" borderId="0"/>
    <xf numFmtId="193" fontId="31" fillId="0" borderId="0"/>
    <xf numFmtId="193" fontId="31" fillId="0" borderId="0"/>
    <xf numFmtId="193" fontId="31" fillId="0" borderId="0"/>
    <xf numFmtId="3" fontId="8" fillId="0" borderId="0" applyFill="0" applyBorder="0" applyAlignment="0" applyProtection="0"/>
    <xf numFmtId="186" fontId="28" fillId="0" borderId="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3"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164" fontId="8" fillId="0" borderId="0" applyFill="0" applyBorder="0" applyAlignment="0" applyProtection="0"/>
    <xf numFmtId="2" fontId="72" fillId="0" borderId="0">
      <protection locked="0"/>
    </xf>
    <xf numFmtId="186" fontId="82" fillId="0" borderId="0" applyProtection="0"/>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94" fontId="8" fillId="0" borderId="0" applyFont="0" applyFill="0" applyBorder="0" applyAlignment="0" applyProtection="0">
      <alignment wrapText="1"/>
    </xf>
    <xf numFmtId="15" fontId="55" fillId="0" borderId="0"/>
    <xf numFmtId="186" fontId="31" fillId="0" borderId="0"/>
    <xf numFmtId="170" fontId="31" fillId="0" borderId="0" applyBorder="0"/>
    <xf numFmtId="170" fontId="31" fillId="0" borderId="54"/>
    <xf numFmtId="186" fontId="83" fillId="0" borderId="0" applyNumberFormat="0" applyFill="0" applyBorder="0" applyAlignment="0" applyProtection="0"/>
    <xf numFmtId="186" fontId="15" fillId="77" borderId="0" applyNumberFormat="0" applyBorder="0" applyAlignment="0" applyProtection="0"/>
    <xf numFmtId="186" fontId="15" fillId="35" borderId="0" applyNumberFormat="0" applyBorder="0" applyAlignment="0" applyProtection="0"/>
    <xf numFmtId="186" fontId="15" fillId="13" borderId="0" applyNumberFormat="0" applyBorder="0" applyAlignment="0" applyProtection="0"/>
    <xf numFmtId="186" fontId="15" fillId="71" borderId="0" applyNumberFormat="0" applyBorder="0" applyAlignment="0" applyProtection="0"/>
    <xf numFmtId="186" fontId="15" fillId="72" borderId="0" applyNumberFormat="0" applyBorder="0" applyAlignment="0" applyProtection="0"/>
    <xf numFmtId="186" fontId="15" fillId="38" borderId="0" applyNumberFormat="0" applyBorder="0" applyAlignment="0" applyProtection="0"/>
    <xf numFmtId="186" fontId="84" fillId="15" borderId="23" applyNumberFormat="0" applyAlignment="0" applyProtection="0"/>
    <xf numFmtId="186" fontId="31" fillId="0" borderId="0"/>
    <xf numFmtId="186" fontId="31" fillId="0" borderId="0"/>
    <xf numFmtId="186" fontId="12" fillId="0" borderId="0">
      <alignment vertical="top"/>
    </xf>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31"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31"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31"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31" fillId="0" borderId="0" applyFont="0" applyFill="0" applyBorder="0" applyAlignment="0" applyProtection="0"/>
    <xf numFmtId="186" fontId="8" fillId="0" borderId="0" applyFont="0" applyFill="0" applyBorder="0" applyAlignment="0" applyProtection="0"/>
    <xf numFmtId="186" fontId="31" fillId="0" borderId="0" applyFont="0" applyFill="0" applyBorder="0" applyAlignment="0" applyProtection="0"/>
    <xf numFmtId="186" fontId="31" fillId="0" borderId="0" applyFont="0" applyFill="0" applyBorder="0" applyAlignment="0" applyProtection="0"/>
    <xf numFmtId="186" fontId="31" fillId="0" borderId="0" applyFont="0" applyFill="0" applyBorder="0" applyAlignment="0" applyProtection="0"/>
    <xf numFmtId="186" fontId="31" fillId="0" borderId="0" applyFont="0" applyFill="0" applyBorder="0" applyAlignment="0" applyProtection="0"/>
    <xf numFmtId="186" fontId="8" fillId="0" borderId="0" applyFont="0" applyFill="0" applyBorder="0" applyAlignment="0" applyProtection="0"/>
    <xf numFmtId="178" fontId="68" fillId="0" borderId="0"/>
    <xf numFmtId="169" fontId="8" fillId="0" borderId="0" applyFont="0" applyFill="0" applyBorder="0" applyAlignment="0" applyProtection="0"/>
    <xf numFmtId="169" fontId="8" fillId="0" borderId="0" applyFont="0" applyFill="0" applyBorder="0" applyAlignment="0" applyProtection="0"/>
    <xf numFmtId="186" fontId="72" fillId="0" borderId="0">
      <protection locked="0"/>
    </xf>
    <xf numFmtId="169" fontId="8" fillId="0" borderId="0" applyFont="0" applyFill="0" applyBorder="0" applyAlignment="0" applyProtection="0"/>
    <xf numFmtId="169" fontId="8" fillId="0" borderId="0" applyFont="0" applyFill="0" applyBorder="0" applyAlignment="0" applyProtection="0"/>
    <xf numFmtId="186" fontId="72" fillId="0" borderId="0">
      <protection locked="0"/>
    </xf>
    <xf numFmtId="169" fontId="8" fillId="0" borderId="0" applyFont="0" applyFill="0" applyBorder="0" applyAlignment="0" applyProtection="0"/>
    <xf numFmtId="169" fontId="8" fillId="0" borderId="0" applyFont="0" applyFill="0" applyBorder="0" applyAlignment="0" applyProtection="0"/>
    <xf numFmtId="186" fontId="73" fillId="0" borderId="0">
      <protection locked="0"/>
    </xf>
    <xf numFmtId="169" fontId="8" fillId="0" borderId="0" applyFont="0" applyFill="0" applyBorder="0" applyAlignment="0" applyProtection="0"/>
    <xf numFmtId="169" fontId="8" fillId="0" borderId="0" applyFont="0" applyFill="0" applyBorder="0" applyAlignment="0" applyProtection="0"/>
    <xf numFmtId="186" fontId="72" fillId="0" borderId="0">
      <protection locked="0"/>
    </xf>
    <xf numFmtId="169" fontId="8" fillId="0" borderId="0" applyFont="0" applyFill="0" applyBorder="0" applyAlignment="0" applyProtection="0"/>
    <xf numFmtId="169" fontId="8" fillId="0" borderId="0" applyFont="0" applyFill="0" applyBorder="0" applyAlignment="0" applyProtection="0"/>
    <xf numFmtId="186" fontId="72" fillId="0" borderId="0">
      <protection locked="0"/>
    </xf>
    <xf numFmtId="169" fontId="8" fillId="0" borderId="0" applyFont="0" applyFill="0" applyBorder="0" applyAlignment="0" applyProtection="0"/>
    <xf numFmtId="169" fontId="8" fillId="0" borderId="0" applyFont="0" applyFill="0" applyBorder="0" applyAlignment="0" applyProtection="0"/>
    <xf numFmtId="186" fontId="72" fillId="0" borderId="0">
      <protection locked="0"/>
    </xf>
    <xf numFmtId="169" fontId="8" fillId="0" borderId="0" applyFont="0" applyFill="0" applyBorder="0" applyAlignment="0" applyProtection="0"/>
    <xf numFmtId="169" fontId="8" fillId="0" borderId="0" applyFont="0" applyFill="0" applyBorder="0" applyAlignment="0" applyProtection="0"/>
    <xf numFmtId="186" fontId="73" fillId="0" borderId="0">
      <protection locked="0"/>
    </xf>
    <xf numFmtId="186" fontId="72" fillId="0" borderId="0">
      <protection locked="0"/>
    </xf>
    <xf numFmtId="195" fontId="72" fillId="0" borderId="0">
      <protection locked="0"/>
    </xf>
    <xf numFmtId="2" fontId="82" fillId="0" borderId="0" applyProtection="0"/>
    <xf numFmtId="186" fontId="85" fillId="0" borderId="0"/>
    <xf numFmtId="186" fontId="28" fillId="0" borderId="0"/>
    <xf numFmtId="195" fontId="72" fillId="0" borderId="0">
      <protection locked="0"/>
    </xf>
    <xf numFmtId="38" fontId="60" fillId="52" borderId="0" applyNumberFormat="0" applyBorder="0" applyAlignment="0" applyProtection="0"/>
    <xf numFmtId="186" fontId="9" fillId="0" borderId="0"/>
    <xf numFmtId="186" fontId="82" fillId="0" borderId="0" applyNumberFormat="0" applyFont="0" applyFill="0" applyBorder="0" applyAlignment="0" applyProtection="0"/>
    <xf numFmtId="186" fontId="86" fillId="0" borderId="0" applyProtection="0"/>
    <xf numFmtId="186" fontId="87" fillId="0" borderId="0" applyNumberFormat="0" applyFill="0" applyBorder="0" applyAlignment="0" applyProtection="0">
      <alignment vertical="top"/>
      <protection locked="0"/>
    </xf>
    <xf numFmtId="186" fontId="88" fillId="0" borderId="0" applyNumberFormat="0" applyFill="0" applyBorder="0" applyAlignment="0" applyProtection="0">
      <alignment vertical="top"/>
      <protection locked="0"/>
    </xf>
    <xf numFmtId="186" fontId="89" fillId="0" borderId="0" applyNumberFormat="0" applyFill="0" applyBorder="0" applyAlignment="0" applyProtection="0">
      <alignment vertical="top"/>
      <protection locked="0"/>
    </xf>
    <xf numFmtId="186" fontId="90" fillId="0" borderId="0" applyNumberFormat="0" applyFill="0" applyBorder="0" applyAlignment="0" applyProtection="0">
      <alignment vertical="top"/>
      <protection locked="0"/>
    </xf>
    <xf numFmtId="186" fontId="89" fillId="0" borderId="0" applyNumberFormat="0" applyFill="0" applyBorder="0" applyAlignment="0" applyProtection="0">
      <alignment vertical="top"/>
      <protection locked="0"/>
    </xf>
    <xf numFmtId="186" fontId="91" fillId="0" borderId="0" applyNumberFormat="0" applyFill="0" applyBorder="0" applyAlignment="0" applyProtection="0">
      <alignment vertical="top"/>
      <protection locked="0"/>
    </xf>
    <xf numFmtId="186" fontId="92" fillId="0" borderId="0" applyNumberFormat="0" applyFill="0" applyBorder="0" applyAlignment="0" applyProtection="0">
      <alignment vertical="top"/>
      <protection locked="0"/>
    </xf>
    <xf numFmtId="186" fontId="93" fillId="0" borderId="0" applyNumberFormat="0" applyFill="0" applyBorder="0" applyAlignment="0" applyProtection="0">
      <alignment vertical="top"/>
      <protection locked="0"/>
    </xf>
    <xf numFmtId="186" fontId="94" fillId="0" borderId="0"/>
    <xf numFmtId="169" fontId="69" fillId="0" borderId="0" applyFont="0" applyFill="0" applyBorder="0" applyAlignment="0" applyProtection="0"/>
    <xf numFmtId="3" fontId="69" fillId="0" borderId="0" applyFont="0" applyFill="0" applyBorder="0" applyAlignment="0" applyProtection="0"/>
    <xf numFmtId="186" fontId="95" fillId="11" borderId="0" applyNumberFormat="0" applyBorder="0" applyAlignment="0" applyProtection="0"/>
    <xf numFmtId="10" fontId="60" fillId="74" borderId="33" applyNumberFormat="0" applyBorder="0" applyAlignment="0" applyProtection="0"/>
    <xf numFmtId="186" fontId="11" fillId="0" borderId="0"/>
    <xf numFmtId="196" fontId="68" fillId="0" borderId="0" applyFont="0" applyFill="0" applyBorder="0" applyAlignment="0" applyProtection="0"/>
    <xf numFmtId="186" fontId="96" fillId="0" borderId="15">
      <alignment horizontal="left"/>
      <protection locked="0"/>
    </xf>
    <xf numFmtId="186" fontId="97" fillId="0" borderId="0" applyNumberFormat="0" applyFill="0" applyBorder="0" applyAlignment="0" applyProtection="0">
      <alignment vertical="top"/>
      <protection locked="0"/>
    </xf>
    <xf numFmtId="197" fontId="8" fillId="0" borderId="0" applyFont="0" applyFill="0" applyBorder="0" applyAlignment="0" applyProtection="0"/>
    <xf numFmtId="19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82" fontId="31" fillId="0" borderId="0" applyFont="0" applyFill="0" applyBorder="0" applyAlignment="0" applyProtection="0"/>
    <xf numFmtId="182" fontId="31" fillId="0" borderId="0" applyFont="0" applyFill="0" applyBorder="0" applyAlignment="0" applyProtection="0"/>
    <xf numFmtId="182" fontId="31" fillId="0" borderId="0" applyFont="0" applyFill="0" applyBorder="0" applyAlignment="0" applyProtection="0"/>
    <xf numFmtId="182" fontId="31" fillId="0" borderId="0" applyFont="0" applyFill="0" applyBorder="0" applyAlignment="0" applyProtection="0"/>
    <xf numFmtId="182" fontId="31" fillId="0" borderId="0" applyFont="0" applyFill="0" applyBorder="0" applyAlignment="0" applyProtection="0"/>
    <xf numFmtId="182" fontId="31" fillId="0" borderId="0" applyFont="0" applyFill="0" applyBorder="0" applyAlignment="0" applyProtection="0"/>
    <xf numFmtId="182" fontId="3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182" fontId="31" fillId="0" borderId="0" applyFont="0" applyFill="0" applyBorder="0" applyAlignment="0" applyProtection="0"/>
    <xf numFmtId="168" fontId="31" fillId="0" borderId="0" applyFont="0" applyFill="0" applyBorder="0" applyAlignment="0" applyProtection="0"/>
    <xf numFmtId="168" fontId="31" fillId="0" borderId="0" applyFont="0" applyFill="0" applyBorder="0" applyAlignment="0" applyProtection="0"/>
    <xf numFmtId="166" fontId="31" fillId="0" borderId="0" applyFont="0" applyFill="0" applyBorder="0" applyAlignment="0" applyProtection="0"/>
    <xf numFmtId="168" fontId="31" fillId="0" borderId="0" applyFont="0" applyFill="0" applyBorder="0" applyAlignment="0" applyProtection="0"/>
    <xf numFmtId="199" fontId="98" fillId="0" borderId="0" applyFont="0" applyFill="0" applyBorder="0" applyAlignment="0" applyProtection="0"/>
    <xf numFmtId="200" fontId="98" fillId="0" borderId="0" applyFont="0" applyFill="0" applyBorder="0" applyAlignment="0" applyProtection="0"/>
    <xf numFmtId="201" fontId="72" fillId="0" borderId="0">
      <protection locked="0"/>
    </xf>
    <xf numFmtId="165" fontId="31" fillId="0" borderId="0" applyFont="0" applyFill="0" applyBorder="0" applyAlignment="0" applyProtection="0"/>
    <xf numFmtId="167" fontId="31" fillId="0" borderId="0" applyFont="0" applyFill="0" applyBorder="0" applyAlignment="0" applyProtection="0"/>
    <xf numFmtId="202" fontId="72" fillId="0" borderId="0">
      <protection locked="0"/>
    </xf>
    <xf numFmtId="203" fontId="72" fillId="0" borderId="0">
      <protection locked="0"/>
    </xf>
    <xf numFmtId="204" fontId="54" fillId="0" borderId="0"/>
    <xf numFmtId="186" fontId="99" fillId="0" borderId="0"/>
    <xf numFmtId="186" fontId="29" fillId="0" borderId="0"/>
    <xf numFmtId="186" fontId="10" fillId="0" borderId="0"/>
    <xf numFmtId="186" fontId="28" fillId="0" borderId="0"/>
    <xf numFmtId="186" fontId="100" fillId="0" borderId="0"/>
    <xf numFmtId="186" fontId="101" fillId="0" borderId="0"/>
    <xf numFmtId="186" fontId="100" fillId="0" borderId="0"/>
    <xf numFmtId="186" fontId="100" fillId="0" borderId="0"/>
    <xf numFmtId="186" fontId="101" fillId="0" borderId="0"/>
    <xf numFmtId="186" fontId="102" fillId="0" borderId="0"/>
    <xf numFmtId="186" fontId="4" fillId="0" borderId="0"/>
    <xf numFmtId="186" fontId="4" fillId="0" borderId="0"/>
    <xf numFmtId="186" fontId="4" fillId="0" borderId="0"/>
    <xf numFmtId="186" fontId="4" fillId="0" borderId="0"/>
    <xf numFmtId="186" fontId="4" fillId="0" borderId="0"/>
    <xf numFmtId="186" fontId="8" fillId="0" borderId="0"/>
    <xf numFmtId="186" fontId="8" fillId="0" borderId="0"/>
    <xf numFmtId="186" fontId="8" fillId="0" borderId="0"/>
    <xf numFmtId="186" fontId="31" fillId="0" borderId="0"/>
    <xf numFmtId="2" fontId="31" fillId="0" borderId="0"/>
    <xf numFmtId="186" fontId="31" fillId="0" borderId="0"/>
    <xf numFmtId="186" fontId="8" fillId="0" borderId="0"/>
    <xf numFmtId="186" fontId="31" fillId="0" borderId="0"/>
    <xf numFmtId="205" fontId="31" fillId="0" borderId="0" applyFill="0" applyBorder="0" applyAlignment="0" applyProtection="0">
      <alignment horizontal="right"/>
    </xf>
    <xf numFmtId="205" fontId="31" fillId="0" borderId="0" applyFill="0" applyBorder="0" applyAlignment="0" applyProtection="0">
      <alignment horizontal="right"/>
    </xf>
    <xf numFmtId="206" fontId="103" fillId="0" borderId="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8" fillId="8" borderId="29" applyNumberFormat="0" applyFont="0" applyAlignment="0" applyProtection="0"/>
    <xf numFmtId="186" fontId="4" fillId="53" borderId="51" applyNumberFormat="0" applyFont="0" applyAlignment="0" applyProtection="0"/>
    <xf numFmtId="186" fontId="69" fillId="0" borderId="0">
      <alignment horizontal="left"/>
    </xf>
    <xf numFmtId="186" fontId="104" fillId="0" borderId="15"/>
    <xf numFmtId="49" fontId="105" fillId="0" borderId="0"/>
    <xf numFmtId="186" fontId="28" fillId="0" borderId="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207" fontId="31" fillId="0" borderId="0" applyFont="0" applyFill="0" applyBorder="0" applyAlignment="0" applyProtection="0"/>
    <xf numFmtId="207" fontId="31" fillId="0" borderId="0" applyFont="0" applyFill="0" applyBorder="0" applyAlignment="0" applyProtection="0"/>
    <xf numFmtId="207" fontId="31" fillId="0" borderId="0" applyFont="0" applyFill="0" applyBorder="0" applyAlignment="0" applyProtection="0"/>
    <xf numFmtId="207" fontId="31" fillId="0" borderId="0" applyFont="0" applyFill="0" applyBorder="0" applyAlignment="0" applyProtection="0"/>
    <xf numFmtId="207" fontId="31" fillId="0" borderId="0" applyFont="0" applyFill="0" applyBorder="0" applyAlignment="0" applyProtection="0"/>
    <xf numFmtId="207" fontId="31" fillId="0" borderId="0" applyFont="0" applyFill="0" applyBorder="0" applyAlignment="0" applyProtection="0"/>
    <xf numFmtId="208" fontId="69" fillId="0" borderId="0" applyFont="0" applyFill="0" applyBorder="0" applyAlignment="0" applyProtection="0"/>
    <xf numFmtId="209" fontId="69" fillId="0" borderId="0" applyFont="0" applyFill="0" applyBorder="0" applyAlignment="0" applyProtection="0"/>
    <xf numFmtId="207" fontId="31" fillId="0" borderId="0" applyFont="0" applyFill="0" applyBorder="0" applyAlignment="0" applyProtection="0"/>
    <xf numFmtId="210" fontId="72" fillId="0" borderId="0">
      <protection locked="0"/>
    </xf>
    <xf numFmtId="211" fontId="72" fillId="0" borderId="0">
      <protection locked="0"/>
    </xf>
    <xf numFmtId="212" fontId="8" fillId="0" borderId="0" applyFont="0" applyFill="0" applyBorder="0" applyAlignment="0" applyProtection="0"/>
    <xf numFmtId="210" fontId="72" fillId="0" borderId="0">
      <protection locked="0"/>
    </xf>
    <xf numFmtId="9" fontId="31" fillId="0" borderId="0" applyFont="0" applyFill="0" applyBorder="0" applyAlignment="0" applyProtection="0"/>
    <xf numFmtId="9" fontId="8" fillId="0" borderId="0" applyFont="0" applyFill="0" applyBorder="0" applyAlignment="0" applyProtection="0"/>
    <xf numFmtId="213" fontId="31" fillId="0" borderId="0" applyFill="0" applyBorder="0" applyAlignment="0">
      <alignment horizontal="centerContinuous"/>
    </xf>
    <xf numFmtId="213" fontId="31" fillId="0" borderId="0" applyFill="0" applyBorder="0" applyAlignment="0">
      <alignment horizontal="centerContinuous"/>
    </xf>
    <xf numFmtId="186" fontId="69" fillId="0" borderId="0"/>
    <xf numFmtId="211" fontId="72" fillId="0" borderId="0">
      <protection locked="0"/>
    </xf>
    <xf numFmtId="214" fontId="72" fillId="0" borderId="0">
      <protection locked="0"/>
    </xf>
    <xf numFmtId="186" fontId="106" fillId="0" borderId="15" applyNumberFormat="0" applyFill="0" applyBorder="0" applyAlignment="0" applyProtection="0">
      <protection hidden="1"/>
    </xf>
    <xf numFmtId="170" fontId="107" fillId="0" borderId="0"/>
    <xf numFmtId="39" fontId="60" fillId="0" borderId="55" applyFill="0">
      <alignment horizontal="left"/>
    </xf>
    <xf numFmtId="39" fontId="60" fillId="0" borderId="55" applyFill="0">
      <alignment horizontal="left"/>
    </xf>
    <xf numFmtId="39" fontId="60" fillId="0" borderId="55" applyFill="0">
      <alignment horizontal="left"/>
    </xf>
    <xf numFmtId="39" fontId="60" fillId="0" borderId="55" applyFill="0">
      <alignment horizontal="left"/>
    </xf>
    <xf numFmtId="39" fontId="60" fillId="0" borderId="55" applyFill="0">
      <alignment horizontal="left"/>
    </xf>
    <xf numFmtId="39" fontId="60" fillId="0" borderId="55" applyFill="0">
      <alignment horizontal="left"/>
    </xf>
    <xf numFmtId="186" fontId="32" fillId="14" borderId="30" applyNumberFormat="0" applyAlignment="0" applyProtection="0"/>
    <xf numFmtId="186" fontId="31" fillId="0" borderId="22">
      <alignment horizontal="center" vertical="center"/>
    </xf>
    <xf numFmtId="38" fontId="98" fillId="0" borderId="5"/>
    <xf numFmtId="38" fontId="98" fillId="0" borderId="5"/>
    <xf numFmtId="38" fontId="98" fillId="0" borderId="5"/>
    <xf numFmtId="38" fontId="98" fillId="0" borderId="5"/>
    <xf numFmtId="38" fontId="98" fillId="0" borderId="5"/>
    <xf numFmtId="38" fontId="98" fillId="0" borderId="5"/>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38" fontId="98" fillId="0" borderId="0" applyFont="0" applyFill="0" applyBorder="0" applyAlignment="0" applyProtection="0"/>
    <xf numFmtId="40" fontId="98" fillId="0" borderId="0" applyFont="0" applyFill="0" applyBorder="0" applyAlignment="0" applyProtection="0"/>
    <xf numFmtId="186" fontId="12" fillId="0" borderId="0">
      <alignment vertical="top"/>
    </xf>
    <xf numFmtId="186" fontId="12" fillId="0" borderId="0">
      <alignment vertical="top"/>
    </xf>
    <xf numFmtId="186" fontId="11" fillId="78" borderId="56" applyNumberFormat="0" applyProtection="0">
      <alignment horizontal="center" wrapText="1"/>
    </xf>
    <xf numFmtId="186" fontId="11" fillId="78" borderId="56" applyNumberFormat="0" applyProtection="0">
      <alignment horizontal="center" wrapText="1"/>
    </xf>
    <xf numFmtId="186" fontId="11" fillId="78" borderId="56" applyNumberFormat="0" applyProtection="0">
      <alignment horizontal="center" wrapText="1"/>
    </xf>
    <xf numFmtId="186" fontId="11" fillId="78" borderId="56" applyNumberFormat="0" applyProtection="0">
      <alignment horizontal="center" wrapText="1"/>
    </xf>
    <xf numFmtId="186" fontId="11" fillId="78" borderId="56" applyNumberFormat="0" applyProtection="0">
      <alignment horizontal="center" wrapText="1"/>
    </xf>
    <xf numFmtId="186" fontId="11" fillId="78" borderId="56" applyNumberFormat="0" applyProtection="0">
      <alignment horizontal="center" wrapText="1"/>
    </xf>
    <xf numFmtId="186" fontId="11" fillId="78" borderId="57" applyNumberFormat="0" applyAlignment="0" applyProtection="0">
      <alignment wrapText="1"/>
    </xf>
    <xf numFmtId="186" fontId="11" fillId="78" borderId="57" applyNumberFormat="0" applyAlignment="0" applyProtection="0">
      <alignment wrapText="1"/>
    </xf>
    <xf numFmtId="186" fontId="11" fillId="78" borderId="57" applyNumberFormat="0" applyAlignment="0" applyProtection="0">
      <alignment wrapText="1"/>
    </xf>
    <xf numFmtId="186" fontId="11" fillId="78" borderId="57" applyNumberFormat="0" applyAlignment="0" applyProtection="0">
      <alignment wrapText="1"/>
    </xf>
    <xf numFmtId="186" fontId="11" fillId="78" borderId="57" applyNumberFormat="0" applyAlignment="0" applyProtection="0">
      <alignment wrapText="1"/>
    </xf>
    <xf numFmtId="186" fontId="11" fillId="78" borderId="57" applyNumberFormat="0" applyAlignment="0" applyProtection="0">
      <alignment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79" borderId="0" applyNumberFormat="0" applyBorder="0">
      <alignment horizontal="center"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58" applyNumberFormat="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80" borderId="0" applyNumberFormat="0" applyBorder="0">
      <alignmen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6"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7"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218" fontId="8" fillId="0" borderId="0" applyFill="0" applyBorder="0" applyAlignment="0" applyProtection="0">
      <alignmen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pplyProtection="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86" fontId="8" fillId="0" borderId="0" applyNumberFormat="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17" fontId="8" fillId="0" borderId="0" applyFill="0" applyBorder="0">
      <alignment horizontal="righ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219" fontId="8" fillId="0" borderId="0" applyFill="0" applyBorder="0" applyAlignment="0" applyProtection="0">
      <alignment wrapText="1"/>
    </xf>
    <xf numFmtId="186" fontId="9" fillId="0" borderId="0" applyNumberFormat="0" applyFill="0" applyBorder="0">
      <alignment horizontal="left"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11" fillId="0" borderId="0" applyNumberFormat="0" applyFill="0" applyBorder="0">
      <alignment horizontal="center" wrapText="1"/>
    </xf>
    <xf numFmtId="186" fontId="68" fillId="0" borderId="0"/>
    <xf numFmtId="186" fontId="108" fillId="0" borderId="0"/>
    <xf numFmtId="186" fontId="8" fillId="0" borderId="0" applyNumberFormat="0"/>
    <xf numFmtId="186" fontId="8" fillId="0" borderId="0" applyNumberFormat="0"/>
    <xf numFmtId="186" fontId="8" fillId="0" borderId="0" applyNumberFormat="0"/>
    <xf numFmtId="186" fontId="8" fillId="0" borderId="0" applyNumberFormat="0"/>
    <xf numFmtId="186" fontId="8" fillId="0" borderId="0" applyNumberFormat="0"/>
    <xf numFmtId="186" fontId="8" fillId="0" borderId="0" applyNumberFormat="0"/>
    <xf numFmtId="186" fontId="8" fillId="0" borderId="0" applyNumberFormat="0"/>
    <xf numFmtId="186" fontId="8" fillId="0" borderId="0" applyNumberFormat="0"/>
    <xf numFmtId="186" fontId="8" fillId="0" borderId="0" applyNumberFormat="0"/>
    <xf numFmtId="186" fontId="8" fillId="0" borderId="0" applyNumberFormat="0"/>
    <xf numFmtId="186" fontId="42" fillId="0" borderId="0" applyNumberFormat="0" applyFill="0" applyBorder="0" applyAlignment="0" applyProtection="0"/>
    <xf numFmtId="186" fontId="109" fillId="0" borderId="0" applyNumberFormat="0" applyFill="0" applyBorder="0" applyAlignment="0" applyProtection="0"/>
    <xf numFmtId="186" fontId="110" fillId="0" borderId="0"/>
    <xf numFmtId="186" fontId="111" fillId="0" borderId="0" applyNumberFormat="0" applyFill="0" applyBorder="0" applyAlignment="0" applyProtection="0"/>
    <xf numFmtId="186" fontId="112" fillId="0" borderId="59" applyNumberFormat="0" applyFill="0" applyAlignment="0" applyProtection="0"/>
    <xf numFmtId="186" fontId="113" fillId="0" borderId="26" applyNumberFormat="0" applyFill="0" applyAlignment="0" applyProtection="0"/>
    <xf numFmtId="186" fontId="83" fillId="0" borderId="60" applyNumberFormat="0" applyFill="0" applyAlignment="0" applyProtection="0"/>
    <xf numFmtId="186" fontId="111" fillId="0" borderId="0" applyNumberFormat="0" applyFill="0" applyBorder="0" applyAlignment="0" applyProtection="0"/>
    <xf numFmtId="2" fontId="114" fillId="0" borderId="0">
      <protection locked="0"/>
    </xf>
    <xf numFmtId="2" fontId="114" fillId="0" borderId="0">
      <protection locked="0"/>
    </xf>
    <xf numFmtId="186" fontId="107" fillId="14" borderId="15"/>
    <xf numFmtId="186" fontId="8" fillId="0" borderId="0">
      <alignment horizontal="center"/>
    </xf>
    <xf numFmtId="220" fontId="11" fillId="0" borderId="0"/>
    <xf numFmtId="186" fontId="8" fillId="0" borderId="61"/>
    <xf numFmtId="211" fontId="72" fillId="0" borderId="0">
      <protection locked="0"/>
    </xf>
    <xf numFmtId="214" fontId="72" fillId="0" borderId="0">
      <protection locked="0"/>
    </xf>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4" fontId="8" fillId="0" borderId="0" applyFont="0" applyFill="0" applyBorder="0" applyAlignment="0" applyProtection="0"/>
    <xf numFmtId="186" fontId="31" fillId="0" borderId="0" applyNumberFormat="0" applyFill="0" applyBorder="0" applyAlignment="0" applyProtection="0"/>
    <xf numFmtId="186" fontId="115" fillId="0" borderId="0" applyNumberFormat="0" applyFont="0" applyFill="0" applyBorder="0" applyAlignment="0" applyProtection="0">
      <alignment vertical="top"/>
    </xf>
    <xf numFmtId="186" fontId="31" fillId="0" borderId="0" applyNumberFormat="0" applyFill="0" applyBorder="0" applyAlignment="0" applyProtection="0"/>
    <xf numFmtId="186" fontId="116" fillId="0" borderId="0" applyNumberFormat="0" applyFont="0" applyFill="0" applyBorder="0" applyAlignment="0" applyProtection="0">
      <alignment vertical="top"/>
    </xf>
    <xf numFmtId="186" fontId="31" fillId="0" borderId="0" applyNumberFormat="0" applyFill="0" applyBorder="0" applyAlignment="0" applyProtection="0"/>
    <xf numFmtId="186" fontId="116" fillId="0" borderId="0" applyNumberFormat="0" applyFont="0" applyFill="0" applyBorder="0" applyAlignment="0" applyProtection="0">
      <alignment vertical="top"/>
    </xf>
    <xf numFmtId="186" fontId="31" fillId="0" borderId="0" applyNumberFormat="0" applyFill="0" applyBorder="0" applyAlignment="0" applyProtection="0"/>
    <xf numFmtId="186" fontId="115" fillId="0" borderId="0" applyNumberFormat="0" applyFont="0" applyFill="0" applyBorder="0" applyAlignment="0" applyProtection="0"/>
    <xf numFmtId="186" fontId="31" fillId="0" borderId="0" applyNumberFormat="0" applyFill="0" applyBorder="0" applyAlignment="0" applyProtection="0"/>
    <xf numFmtId="186" fontId="115" fillId="0" borderId="0" applyNumberFormat="0" applyFont="0" applyFill="0" applyBorder="0" applyAlignment="0" applyProtection="0">
      <alignment horizontal="left" vertical="top"/>
    </xf>
    <xf numFmtId="186" fontId="31" fillId="0" borderId="0" applyNumberFormat="0" applyFill="0" applyBorder="0" applyAlignment="0" applyProtection="0"/>
    <xf numFmtId="186" fontId="115" fillId="0" borderId="0" applyNumberFormat="0" applyFont="0" applyFill="0" applyBorder="0" applyAlignment="0" applyProtection="0">
      <alignment horizontal="left" vertical="top"/>
    </xf>
    <xf numFmtId="186" fontId="31" fillId="0" borderId="0" applyNumberFormat="0" applyFill="0" applyBorder="0" applyAlignment="0" applyProtection="0"/>
    <xf numFmtId="186" fontId="115" fillId="0" borderId="0" applyNumberFormat="0" applyFont="0" applyFill="0" applyBorder="0" applyAlignment="0" applyProtection="0">
      <alignment horizontal="left" vertical="top"/>
    </xf>
    <xf numFmtId="186" fontId="117" fillId="0" borderId="0" applyNumberFormat="0" applyFont="0" applyFill="0" applyBorder="0" applyAlignment="0" applyProtection="0">
      <alignment horizontal="center"/>
    </xf>
    <xf numFmtId="186" fontId="117" fillId="0" borderId="0" applyNumberFormat="0" applyFont="0" applyFill="0" applyBorder="0" applyAlignment="0" applyProtection="0">
      <alignment horizontal="center"/>
    </xf>
    <xf numFmtId="186" fontId="31" fillId="0" borderId="0"/>
    <xf numFmtId="186" fontId="118" fillId="0" borderId="0" applyNumberFormat="0" applyFont="0" applyFill="0" applyBorder="0" applyAlignment="0" applyProtection="0"/>
    <xf numFmtId="186" fontId="119" fillId="0" borderId="0">
      <alignment horizontal="left" wrapText="1"/>
    </xf>
    <xf numFmtId="186" fontId="120" fillId="0" borderId="0">
      <alignment horizontal="left" wrapText="1"/>
    </xf>
    <xf numFmtId="186" fontId="31" fillId="0" borderId="0" applyNumberFormat="0" applyFill="0" applyBorder="0" applyAlignment="0" applyProtection="0"/>
    <xf numFmtId="186" fontId="119" fillId="0" borderId="22" applyNumberFormat="0" applyFont="0" applyFill="0" applyBorder="0" applyAlignment="0" applyProtection="0">
      <alignment horizontal="center" wrapText="1"/>
    </xf>
    <xf numFmtId="186" fontId="31" fillId="0" borderId="0" applyNumberFormat="0" applyFill="0" applyBorder="0" applyAlignment="0" applyProtection="0"/>
    <xf numFmtId="221" fontId="69" fillId="0" borderId="0" applyNumberFormat="0" applyFont="0" applyFill="0" applyBorder="0" applyAlignment="0" applyProtection="0">
      <alignment horizontal="right"/>
    </xf>
    <xf numFmtId="186" fontId="31" fillId="0" borderId="0" applyNumberFormat="0" applyFill="0" applyBorder="0" applyAlignment="0" applyProtection="0"/>
    <xf numFmtId="186" fontId="119" fillId="0" borderId="0" applyNumberFormat="0" applyFont="0" applyFill="0" applyBorder="0" applyAlignment="0" applyProtection="0">
      <alignment horizontal="left" indent="1"/>
    </xf>
    <xf numFmtId="186" fontId="31" fillId="0" borderId="0" applyNumberFormat="0" applyFill="0" applyBorder="0" applyAlignment="0" applyProtection="0"/>
    <xf numFmtId="222" fontId="119" fillId="0" borderId="0" applyNumberFormat="0" applyFont="0" applyFill="0" applyBorder="0" applyAlignment="0" applyProtection="0"/>
    <xf numFmtId="186" fontId="31" fillId="0" borderId="62" applyNumberFormat="0" applyFill="0" applyAlignment="0" applyProtection="0"/>
    <xf numFmtId="186" fontId="118" fillId="0" borderId="7" applyNumberFormat="0" applyFont="0" applyFill="0" applyBorder="0" applyAlignment="0" applyProtection="0"/>
    <xf numFmtId="186" fontId="31" fillId="0" borderId="0" applyNumberFormat="0" applyFill="0" applyBorder="0" applyAlignment="0" applyProtection="0"/>
    <xf numFmtId="186" fontId="31" fillId="0" borderId="0" applyNumberFormat="0" applyFont="0" applyFill="0" applyBorder="0" applyAlignment="0" applyProtection="0">
      <alignment horizontal="left" wrapText="1" indent="1"/>
    </xf>
    <xf numFmtId="186" fontId="31" fillId="0" borderId="0" applyNumberFormat="0" applyFill="0" applyBorder="0" applyAlignment="0" applyProtection="0"/>
    <xf numFmtId="186" fontId="119" fillId="0" borderId="0" applyNumberFormat="0" applyFont="0" applyFill="0" applyBorder="0" applyAlignment="0" applyProtection="0">
      <alignment horizontal="left" indent="1"/>
    </xf>
    <xf numFmtId="186" fontId="31" fillId="0" borderId="0" applyNumberFormat="0" applyFill="0" applyBorder="0" applyAlignment="0" applyProtection="0"/>
    <xf numFmtId="186" fontId="31" fillId="0" borderId="0" applyNumberFormat="0" applyFont="0" applyFill="0" applyBorder="0" applyAlignment="0" applyProtection="0">
      <alignment horizontal="left" wrapText="1" indent="2"/>
    </xf>
    <xf numFmtId="223" fontId="31" fillId="0" borderId="0">
      <alignment horizontal="right"/>
    </xf>
    <xf numFmtId="170" fontId="7" fillId="0" borderId="0">
      <alignment horizontal="right"/>
    </xf>
    <xf numFmtId="186" fontId="121" fillId="0" borderId="0" applyProtection="0"/>
    <xf numFmtId="165" fontId="31" fillId="0" borderId="0" applyFont="0" applyFill="0" applyBorder="0" applyAlignment="0" applyProtection="0"/>
    <xf numFmtId="167" fontId="31" fillId="0" borderId="0" applyFont="0" applyFill="0" applyBorder="0" applyAlignment="0" applyProtection="0"/>
    <xf numFmtId="186" fontId="122" fillId="0" borderId="0" applyProtection="0"/>
    <xf numFmtId="186" fontId="123" fillId="0" borderId="0" applyProtection="0"/>
    <xf numFmtId="186" fontId="121" fillId="0" borderId="63" applyProtection="0"/>
    <xf numFmtId="186" fontId="124" fillId="0" borderId="0"/>
    <xf numFmtId="10" fontId="121" fillId="0" borderId="0" applyProtection="0"/>
    <xf numFmtId="186" fontId="121" fillId="0" borderId="0"/>
    <xf numFmtId="2" fontId="121" fillId="0" borderId="0" applyProtection="0"/>
    <xf numFmtId="166" fontId="31" fillId="0" borderId="0" applyFont="0" applyFill="0" applyBorder="0" applyAlignment="0" applyProtection="0"/>
    <xf numFmtId="168" fontId="31" fillId="0" borderId="0" applyFont="0" applyFill="0" applyBorder="0" applyAlignment="0" applyProtection="0"/>
    <xf numFmtId="4" fontId="33" fillId="41" borderId="66" applyNumberFormat="0" applyProtection="0">
      <alignment horizontal="left" vertical="center" indent="1"/>
    </xf>
    <xf numFmtId="186" fontId="118" fillId="0" borderId="42" applyNumberFormat="0" applyFont="0" applyFill="0" applyBorder="0" applyAlignment="0" applyProtection="0"/>
  </cellStyleXfs>
  <cellXfs count="1182">
    <xf numFmtId="0" fontId="0" fillId="0" borderId="0" xfId="0"/>
    <xf numFmtId="0" fontId="0" fillId="3" borderId="0" xfId="0" applyFill="1" applyAlignment="1">
      <alignment horizontal="center" vertical="center"/>
    </xf>
    <xf numFmtId="0" fontId="0" fillId="3" borderId="0" xfId="0" applyFill="1"/>
    <xf numFmtId="0" fontId="0" fillId="3" borderId="0" xfId="0" applyFill="1" applyAlignment="1">
      <alignment horizontal="left" indent="1"/>
    </xf>
    <xf numFmtId="0" fontId="0" fillId="3" borderId="0" xfId="0" applyFill="1" applyAlignment="1">
      <alignment horizontal="right" indent="1"/>
    </xf>
    <xf numFmtId="0" fontId="0" fillId="2" borderId="4" xfId="0" applyFill="1" applyBorder="1" applyAlignment="1">
      <alignment horizontal="left" indent="1"/>
    </xf>
    <xf numFmtId="0" fontId="0" fillId="2" borderId="4" xfId="0" applyFill="1" applyBorder="1" applyAlignment="1">
      <alignment horizontal="left" indent="3"/>
    </xf>
    <xf numFmtId="3" fontId="0" fillId="2" borderId="0" xfId="0" applyNumberFormat="1" applyFill="1" applyAlignment="1">
      <alignment horizontal="right" indent="1"/>
    </xf>
    <xf numFmtId="3" fontId="0" fillId="2" borderId="5" xfId="0" applyNumberFormat="1" applyFill="1" applyBorder="1" applyAlignment="1">
      <alignment horizontal="right" indent="1"/>
    </xf>
    <xf numFmtId="0" fontId="0" fillId="2" borderId="4" xfId="0" applyFill="1" applyBorder="1" applyAlignment="1">
      <alignment horizontal="left" indent="5"/>
    </xf>
    <xf numFmtId="0" fontId="0" fillId="2" borderId="6" xfId="0" applyFill="1" applyBorder="1" applyAlignment="1">
      <alignment horizontal="left" indent="1"/>
    </xf>
    <xf numFmtId="0" fontId="0" fillId="2" borderId="7" xfId="0" applyFill="1" applyBorder="1" applyAlignment="1">
      <alignment horizontal="right" indent="1"/>
    </xf>
    <xf numFmtId="0" fontId="0" fillId="2" borderId="8" xfId="0" applyFill="1" applyBorder="1" applyAlignment="1">
      <alignment horizontal="right" indent="1"/>
    </xf>
    <xf numFmtId="169" fontId="0" fillId="2" borderId="0" xfId="0" applyNumberFormat="1" applyFill="1" applyAlignment="1">
      <alignment horizontal="right" indent="1"/>
    </xf>
    <xf numFmtId="0" fontId="0" fillId="2" borderId="4" xfId="0" applyFill="1" applyBorder="1" applyAlignment="1">
      <alignment horizontal="left" vertical="center" indent="1"/>
    </xf>
    <xf numFmtId="0" fontId="2" fillId="2" borderId="5" xfId="0" applyFont="1" applyFill="1" applyBorder="1" applyAlignment="1">
      <alignment horizontal="right" vertical="center" indent="1"/>
    </xf>
    <xf numFmtId="0" fontId="0" fillId="2" borderId="0" xfId="0" applyFill="1" applyAlignment="1">
      <alignment horizontal="left" vertical="center" indent="1"/>
    </xf>
    <xf numFmtId="0" fontId="0" fillId="2" borderId="7" xfId="0" applyFill="1" applyBorder="1" applyAlignment="1">
      <alignment horizontal="left" indent="1"/>
    </xf>
    <xf numFmtId="0" fontId="0" fillId="2" borderId="0" xfId="0" applyFill="1" applyAlignment="1">
      <alignment horizontal="left" indent="2"/>
    </xf>
    <xf numFmtId="0" fontId="0" fillId="2" borderId="0" xfId="0" applyFill="1" applyAlignment="1">
      <alignment horizontal="left" indent="4"/>
    </xf>
    <xf numFmtId="0" fontId="0" fillId="2" borderId="0" xfId="0" applyFill="1" applyAlignment="1">
      <alignment horizontal="left"/>
    </xf>
    <xf numFmtId="0" fontId="2" fillId="2" borderId="0" xfId="0" applyFont="1" applyFill="1" applyAlignment="1">
      <alignment horizontal="left"/>
    </xf>
    <xf numFmtId="169" fontId="0" fillId="2" borderId="0" xfId="0" quotePrefix="1" applyNumberFormat="1" applyFill="1" applyAlignment="1">
      <alignment horizontal="right" indent="1"/>
    </xf>
    <xf numFmtId="0" fontId="2" fillId="2" borderId="0" xfId="0" applyFont="1" applyFill="1"/>
    <xf numFmtId="3" fontId="0" fillId="2" borderId="0" xfId="0" applyNumberFormat="1" applyFill="1" applyAlignment="1">
      <alignment horizontal="right" vertical="center" indent="1"/>
    </xf>
    <xf numFmtId="3" fontId="2" fillId="2" borderId="0" xfId="0" applyNumberFormat="1" applyFont="1" applyFill="1" applyAlignment="1">
      <alignment horizontal="right" indent="1"/>
    </xf>
    <xf numFmtId="3" fontId="2" fillId="2" borderId="0" xfId="0" applyNumberFormat="1" applyFont="1" applyFill="1" applyAlignment="1">
      <alignment horizontal="right" vertical="center" indent="1"/>
    </xf>
    <xf numFmtId="0" fontId="0" fillId="2" borderId="0" xfId="0" applyFill="1" applyAlignment="1">
      <alignment horizontal="left" indent="6"/>
    </xf>
    <xf numFmtId="3" fontId="2" fillId="2" borderId="0" xfId="0" quotePrefix="1" applyNumberFormat="1" applyFont="1" applyFill="1" applyAlignment="1">
      <alignment horizontal="right" indent="1"/>
    </xf>
    <xf numFmtId="0" fontId="0" fillId="2" borderId="0" xfId="0" applyFill="1"/>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3" fontId="0" fillId="2" borderId="0" xfId="0" quotePrefix="1" applyNumberFormat="1" applyFill="1" applyAlignment="1">
      <alignment horizontal="right" indent="1"/>
    </xf>
    <xf numFmtId="3" fontId="3" fillId="2" borderId="0" xfId="0" applyNumberFormat="1" applyFont="1" applyFill="1" applyAlignment="1">
      <alignment horizontal="right" vertical="center" indent="1"/>
    </xf>
    <xf numFmtId="186" fontId="3" fillId="2" borderId="0" xfId="1" applyFont="1" applyFill="1" applyAlignment="1">
      <alignment horizontal="left" indent="6"/>
    </xf>
    <xf numFmtId="186" fontId="3" fillId="2" borderId="0" xfId="1" applyFont="1" applyFill="1" applyAlignment="1">
      <alignment horizontal="left" indent="2"/>
    </xf>
    <xf numFmtId="186" fontId="3" fillId="2" borderId="0" xfId="1" applyFont="1" applyFill="1" applyAlignment="1">
      <alignment horizontal="left" indent="4"/>
    </xf>
    <xf numFmtId="3" fontId="5" fillId="2" borderId="0" xfId="0" applyNumberFormat="1" applyFont="1" applyFill="1" applyAlignment="1">
      <alignment horizontal="right" indent="1"/>
    </xf>
    <xf numFmtId="3" fontId="3" fillId="2" borderId="0" xfId="0" applyNumberFormat="1" applyFont="1" applyFill="1" applyAlignment="1">
      <alignment horizontal="right" indent="1"/>
    </xf>
    <xf numFmtId="186" fontId="3" fillId="2" borderId="0" xfId="1" applyFont="1" applyFill="1" applyAlignment="1">
      <alignment horizontal="left" indent="8"/>
    </xf>
    <xf numFmtId="3" fontId="0" fillId="2" borderId="0" xfId="0" applyNumberFormat="1" applyFill="1" applyAlignment="1">
      <alignment horizontal="left" indent="2"/>
    </xf>
    <xf numFmtId="169" fontId="0" fillId="2" borderId="0" xfId="0" applyNumberFormat="1" applyFill="1" applyAlignment="1">
      <alignment horizontal="right" vertical="center" indent="1"/>
    </xf>
    <xf numFmtId="3" fontId="0" fillId="2" borderId="0" xfId="0" quotePrefix="1" applyNumberFormat="1" applyFill="1" applyAlignment="1">
      <alignment horizontal="right" vertical="center" indent="1"/>
    </xf>
    <xf numFmtId="0" fontId="2" fillId="2" borderId="4" xfId="0" applyFont="1" applyFill="1" applyBorder="1" applyAlignment="1">
      <alignment horizontal="center" vertical="center" wrapText="1"/>
    </xf>
    <xf numFmtId="169" fontId="3" fillId="2" borderId="0" xfId="0" applyNumberFormat="1" applyFont="1" applyFill="1" applyAlignment="1">
      <alignment horizontal="right" vertical="center" indent="1"/>
    </xf>
    <xf numFmtId="0" fontId="2" fillId="2" borderId="4" xfId="0" applyFont="1" applyFill="1" applyBorder="1" applyAlignment="1">
      <alignment horizontal="left" indent="3"/>
    </xf>
    <xf numFmtId="3" fontId="5" fillId="2" borderId="0" xfId="0" applyNumberFormat="1" applyFont="1" applyFill="1" applyAlignment="1">
      <alignment horizontal="right" vertical="center" indent="1"/>
    </xf>
    <xf numFmtId="3" fontId="2" fillId="2" borderId="5" xfId="0" applyNumberFormat="1" applyFont="1" applyFill="1" applyBorder="1" applyAlignment="1">
      <alignment horizontal="right" indent="1"/>
    </xf>
    <xf numFmtId="0" fontId="2" fillId="3" borderId="0" xfId="0" applyFont="1" applyFill="1"/>
    <xf numFmtId="3" fontId="3" fillId="2" borderId="0" xfId="0" quotePrefix="1" applyNumberFormat="1" applyFont="1" applyFill="1" applyAlignment="1">
      <alignment horizontal="right" vertical="center" inden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3" fontId="3" fillId="2" borderId="2" xfId="0" applyNumberFormat="1" applyFont="1" applyFill="1" applyBorder="1" applyAlignment="1">
      <alignment horizontal="right" vertical="center" indent="1"/>
    </xf>
    <xf numFmtId="3" fontId="3" fillId="2" borderId="3" xfId="0" applyNumberFormat="1" applyFont="1" applyFill="1" applyBorder="1" applyAlignment="1">
      <alignment horizontal="right" vertical="center" indent="1"/>
    </xf>
    <xf numFmtId="3" fontId="0" fillId="2" borderId="5" xfId="0" applyNumberFormat="1" applyFill="1" applyBorder="1" applyAlignment="1">
      <alignment horizontal="right" vertical="center" indent="1"/>
    </xf>
    <xf numFmtId="3" fontId="3" fillId="2" borderId="5" xfId="0" applyNumberFormat="1" applyFont="1" applyFill="1" applyBorder="1" applyAlignment="1">
      <alignment horizontal="right" vertical="center" indent="1"/>
    </xf>
    <xf numFmtId="3" fontId="5" fillId="4" borderId="8" xfId="0" applyNumberFormat="1" applyFont="1" applyFill="1" applyBorder="1" applyAlignment="1">
      <alignment horizontal="right" vertical="center" indent="1"/>
    </xf>
    <xf numFmtId="3" fontId="3" fillId="2" borderId="1" xfId="0" applyNumberFormat="1" applyFont="1" applyFill="1" applyBorder="1" applyAlignment="1">
      <alignment horizontal="right" vertical="center" indent="1"/>
    </xf>
    <xf numFmtId="3" fontId="3" fillId="2" borderId="4" xfId="0" applyNumberFormat="1" applyFont="1" applyFill="1" applyBorder="1" applyAlignment="1">
      <alignment horizontal="right" vertical="center" indent="1"/>
    </xf>
    <xf numFmtId="3" fontId="5" fillId="4" borderId="6" xfId="0" applyNumberFormat="1" applyFont="1" applyFill="1" applyBorder="1" applyAlignment="1">
      <alignment horizontal="right" vertical="center" indent="1"/>
    </xf>
    <xf numFmtId="3" fontId="3" fillId="2" borderId="7" xfId="0" applyNumberFormat="1" applyFont="1" applyFill="1" applyBorder="1" applyAlignment="1">
      <alignment horizontal="right" vertical="center" indent="1"/>
    </xf>
    <xf numFmtId="186" fontId="4" fillId="2" borderId="14" xfId="1" applyFill="1" applyBorder="1" applyAlignment="1">
      <alignment horizontal="left" indent="2"/>
    </xf>
    <xf numFmtId="186" fontId="0" fillId="2" borderId="14" xfId="1" applyFont="1" applyFill="1" applyBorder="1" applyAlignment="1">
      <alignment horizontal="left" indent="2"/>
    </xf>
    <xf numFmtId="186" fontId="3" fillId="2" borderId="14" xfId="1" applyFont="1" applyFill="1" applyBorder="1" applyAlignment="1">
      <alignment horizontal="left" indent="4"/>
    </xf>
    <xf numFmtId="186" fontId="5" fillId="4" borderId="11" xfId="1" applyFont="1" applyFill="1" applyBorder="1" applyAlignment="1">
      <alignment horizontal="left" indent="2"/>
    </xf>
    <xf numFmtId="3" fontId="0" fillId="2" borderId="4" xfId="0" applyNumberFormat="1" applyFill="1" applyBorder="1" applyAlignment="1">
      <alignment horizontal="right" vertical="center" indent="1"/>
    </xf>
    <xf numFmtId="186" fontId="5" fillId="2" borderId="10" xfId="1" applyFont="1" applyFill="1" applyBorder="1" applyAlignment="1">
      <alignment horizontal="left" indent="2"/>
    </xf>
    <xf numFmtId="186" fontId="5" fillId="2" borderId="14" xfId="1" applyFont="1" applyFill="1" applyBorder="1" applyAlignment="1">
      <alignment horizontal="left" indent="2"/>
    </xf>
    <xf numFmtId="186" fontId="0" fillId="2" borderId="14" xfId="1" applyFont="1" applyFill="1" applyBorder="1" applyAlignment="1">
      <alignment horizontal="left" indent="4"/>
    </xf>
    <xf numFmtId="3" fontId="5" fillId="4" borderId="2" xfId="0" applyNumberFormat="1" applyFont="1" applyFill="1" applyBorder="1" applyAlignment="1">
      <alignment horizontal="right" vertical="center" indent="1"/>
    </xf>
    <xf numFmtId="186" fontId="5" fillId="4" borderId="10" xfId="1" applyFont="1" applyFill="1" applyBorder="1" applyAlignment="1">
      <alignment horizontal="left" indent="2"/>
    </xf>
    <xf numFmtId="186" fontId="3" fillId="2" borderId="14" xfId="1" applyFont="1" applyFill="1" applyBorder="1" applyAlignment="1">
      <alignment horizontal="left" indent="8"/>
    </xf>
    <xf numFmtId="186" fontId="3" fillId="2" borderId="14" xfId="1" applyFont="1" applyFill="1" applyBorder="1" applyAlignment="1">
      <alignment horizontal="left" indent="6"/>
    </xf>
    <xf numFmtId="186" fontId="3" fillId="2" borderId="11" xfId="1" applyFont="1" applyFill="1" applyBorder="1" applyAlignment="1">
      <alignment horizontal="left" indent="6"/>
    </xf>
    <xf numFmtId="3" fontId="5" fillId="4" borderId="7" xfId="0" quotePrefix="1" applyNumberFormat="1" applyFont="1" applyFill="1" applyBorder="1" applyAlignment="1">
      <alignment horizontal="right" vertical="center" indent="1"/>
    </xf>
    <xf numFmtId="3" fontId="5" fillId="4" borderId="2" xfId="0" quotePrefix="1" applyNumberFormat="1" applyFont="1" applyFill="1" applyBorder="1" applyAlignment="1">
      <alignment horizontal="right" vertical="center" indent="1"/>
    </xf>
    <xf numFmtId="3" fontId="3" fillId="2" borderId="10" xfId="0" applyNumberFormat="1" applyFont="1" applyFill="1" applyBorder="1" applyAlignment="1">
      <alignment horizontal="right" vertical="center" indent="1"/>
    </xf>
    <xf numFmtId="3" fontId="3" fillId="2" borderId="14" xfId="0" applyNumberFormat="1" applyFont="1" applyFill="1" applyBorder="1" applyAlignment="1">
      <alignment horizontal="right" vertical="center" indent="1"/>
    </xf>
    <xf numFmtId="3" fontId="0" fillId="2" borderId="14" xfId="0" quotePrefix="1" applyNumberFormat="1" applyFill="1" applyBorder="1" applyAlignment="1">
      <alignment horizontal="right" vertical="center" indent="1"/>
    </xf>
    <xf numFmtId="3" fontId="5" fillId="4" borderId="11" xfId="0" applyNumberFormat="1" applyFont="1" applyFill="1" applyBorder="1" applyAlignment="1">
      <alignment horizontal="right" vertical="center" indent="1"/>
    </xf>
    <xf numFmtId="3" fontId="3" fillId="2" borderId="15" xfId="0" applyNumberFormat="1" applyFont="1" applyFill="1" applyBorder="1" applyAlignment="1">
      <alignment horizontal="right" vertical="center" indent="1"/>
    </xf>
    <xf numFmtId="3" fontId="0" fillId="2" borderId="15" xfId="0" applyNumberFormat="1" applyFill="1" applyBorder="1" applyAlignment="1">
      <alignment horizontal="right" vertical="center" indent="1"/>
    </xf>
    <xf numFmtId="3" fontId="3" fillId="2" borderId="16" xfId="0" applyNumberFormat="1" applyFont="1" applyFill="1" applyBorder="1" applyAlignment="1">
      <alignment horizontal="right" vertical="center" indent="1"/>
    </xf>
    <xf numFmtId="3" fontId="5" fillId="4" borderId="17" xfId="0" applyNumberFormat="1" applyFont="1" applyFill="1" applyBorder="1" applyAlignment="1">
      <alignment horizontal="right" vertical="center" indent="1"/>
    </xf>
    <xf numFmtId="3" fontId="5" fillId="2" borderId="15" xfId="0" applyNumberFormat="1" applyFont="1" applyFill="1" applyBorder="1" applyAlignment="1">
      <alignment horizontal="right" vertical="center" indent="1"/>
    </xf>
    <xf numFmtId="3" fontId="3" fillId="2" borderId="15" xfId="0" quotePrefix="1" applyNumberFormat="1" applyFont="1" applyFill="1" applyBorder="1" applyAlignment="1">
      <alignment horizontal="right" vertical="center" indent="1"/>
    </xf>
    <xf numFmtId="3" fontId="5" fillId="4" borderId="10" xfId="0" applyNumberFormat="1" applyFont="1" applyFill="1" applyBorder="1" applyAlignment="1">
      <alignment horizontal="right" vertical="center" indent="1"/>
    </xf>
    <xf numFmtId="3" fontId="5" fillId="2" borderId="14" xfId="0" applyNumberFormat="1" applyFont="1" applyFill="1" applyBorder="1" applyAlignment="1">
      <alignment horizontal="right" vertical="center" indent="1"/>
    </xf>
    <xf numFmtId="3" fontId="3" fillId="2" borderId="11" xfId="0" applyNumberFormat="1" applyFont="1" applyFill="1" applyBorder="1" applyAlignment="1">
      <alignment horizontal="right" vertical="center" indent="1"/>
    </xf>
    <xf numFmtId="3" fontId="5" fillId="2" borderId="14" xfId="0" quotePrefix="1" applyNumberFormat="1" applyFont="1" applyFill="1" applyBorder="1" applyAlignment="1">
      <alignment horizontal="right" vertical="center" indent="1"/>
    </xf>
    <xf numFmtId="3" fontId="5" fillId="2" borderId="11" xfId="0" quotePrefix="1" applyNumberFormat="1" applyFont="1" applyFill="1" applyBorder="1" applyAlignment="1">
      <alignment horizontal="right" vertical="center" indent="1"/>
    </xf>
    <xf numFmtId="3" fontId="5" fillId="4" borderId="16" xfId="0" applyNumberFormat="1" applyFont="1" applyFill="1" applyBorder="1" applyAlignment="1">
      <alignment horizontal="right" vertical="center" indent="1"/>
    </xf>
    <xf numFmtId="3" fontId="3" fillId="2" borderId="17" xfId="0" applyNumberFormat="1" applyFont="1" applyFill="1" applyBorder="1" applyAlignment="1">
      <alignment horizontal="right" vertical="center" indent="1"/>
    </xf>
    <xf numFmtId="3" fontId="3" fillId="2" borderId="17" xfId="0" quotePrefix="1" applyNumberFormat="1" applyFont="1" applyFill="1" applyBorder="1" applyAlignment="1">
      <alignment horizontal="right" vertical="center" indent="1"/>
    </xf>
    <xf numFmtId="186" fontId="5" fillId="4" borderId="9" xfId="1" applyFont="1" applyFill="1" applyBorder="1" applyAlignment="1">
      <alignment horizontal="left"/>
    </xf>
    <xf numFmtId="3" fontId="5" fillId="4" borderId="18" xfId="0" applyNumberFormat="1" applyFont="1" applyFill="1" applyBorder="1" applyAlignment="1">
      <alignment horizontal="right" vertical="center" indent="1"/>
    </xf>
    <xf numFmtId="3" fontId="5" fillId="4" borderId="20" xfId="0" applyNumberFormat="1" applyFont="1" applyFill="1" applyBorder="1" applyAlignment="1">
      <alignment horizontal="right" vertical="center" indent="1"/>
    </xf>
    <xf numFmtId="3" fontId="5" fillId="4" borderId="9" xfId="0" applyNumberFormat="1" applyFont="1" applyFill="1" applyBorder="1" applyAlignment="1">
      <alignment horizontal="right" vertical="center" indent="1"/>
    </xf>
    <xf numFmtId="3" fontId="5" fillId="4" borderId="19" xfId="0" applyNumberFormat="1" applyFont="1" applyFill="1" applyBorder="1" applyAlignment="1">
      <alignment horizontal="right" vertical="center" indent="1"/>
    </xf>
    <xf numFmtId="170" fontId="0" fillId="2" borderId="0" xfId="0" applyNumberFormat="1" applyFill="1" applyAlignment="1">
      <alignment horizontal="center" vertical="center"/>
    </xf>
    <xf numFmtId="169" fontId="0" fillId="2" borderId="0" xfId="0" applyNumberFormat="1" applyFill="1" applyAlignment="1">
      <alignment horizontal="center" vertical="center"/>
    </xf>
    <xf numFmtId="0" fontId="0" fillId="2" borderId="0" xfId="0" applyFill="1" applyAlignment="1">
      <alignment horizontal="left" wrapText="1" indent="2"/>
    </xf>
    <xf numFmtId="4" fontId="0" fillId="2" borderId="0" xfId="0" applyNumberFormat="1" applyFill="1" applyAlignment="1">
      <alignment horizontal="right" indent="1"/>
    </xf>
    <xf numFmtId="186" fontId="5" fillId="2" borderId="0" xfId="1" applyFont="1" applyFill="1" applyAlignment="1">
      <alignment horizontal="left"/>
    </xf>
    <xf numFmtId="0" fontId="3" fillId="3" borderId="0" xfId="0" applyFont="1" applyFill="1" applyAlignment="1">
      <alignment horizontal="left" indent="1"/>
    </xf>
    <xf numFmtId="4" fontId="0" fillId="2" borderId="4" xfId="0" applyNumberFormat="1" applyFill="1" applyBorder="1" applyAlignment="1">
      <alignment horizontal="centerContinuous" vertical="center"/>
    </xf>
    <xf numFmtId="4" fontId="0" fillId="2" borderId="0" xfId="0" applyNumberFormat="1" applyFill="1" applyAlignment="1">
      <alignment horizontal="centerContinuous" vertical="center"/>
    </xf>
    <xf numFmtId="4" fontId="0" fillId="2" borderId="5" xfId="0" applyNumberFormat="1" applyFill="1" applyBorder="1" applyAlignment="1">
      <alignment horizontal="centerContinuous" vertical="center"/>
    </xf>
    <xf numFmtId="0" fontId="0" fillId="2" borderId="4" xfId="0" applyFill="1" applyBorder="1" applyAlignment="1">
      <alignment horizontal="centerContinuous" vertical="center"/>
    </xf>
    <xf numFmtId="0" fontId="0" fillId="2" borderId="0" xfId="0" applyFill="1" applyAlignment="1">
      <alignment horizontal="centerContinuous" vertical="center"/>
    </xf>
    <xf numFmtId="0" fontId="0" fillId="2" borderId="5" xfId="0" applyFill="1" applyBorder="1" applyAlignment="1">
      <alignment horizontal="centerContinuous"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0" fillId="2" borderId="5" xfId="0" applyFill="1" applyBorder="1" applyAlignment="1">
      <alignment horizontal="center" vertical="center" wrapText="1"/>
    </xf>
    <xf numFmtId="0" fontId="44" fillId="3" borderId="0" xfId="0" applyFont="1" applyFill="1" applyAlignment="1">
      <alignment horizontal="center" vertical="center"/>
    </xf>
    <xf numFmtId="170" fontId="0" fillId="2" borderId="5" xfId="0" applyNumberFormat="1" applyFill="1" applyBorder="1" applyAlignment="1">
      <alignment horizontal="center" vertical="center"/>
    </xf>
    <xf numFmtId="0" fontId="0" fillId="3" borderId="0" xfId="0" applyFill="1" applyAlignment="1">
      <alignment horizontal="left" vertical="center"/>
    </xf>
    <xf numFmtId="170" fontId="2" fillId="3" borderId="0" xfId="0" applyNumberFormat="1" applyFont="1" applyFill="1" applyAlignment="1">
      <alignment horizontal="left"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2" fontId="2" fillId="3" borderId="0" xfId="0" applyNumberFormat="1" applyFont="1" applyFill="1" applyAlignment="1">
      <alignment horizontal="center" vertical="center"/>
    </xf>
    <xf numFmtId="0" fontId="11" fillId="2" borderId="4" xfId="0" applyFont="1" applyFill="1" applyBorder="1"/>
    <xf numFmtId="0" fontId="8" fillId="2" borderId="0" xfId="0" applyFont="1" applyFill="1"/>
    <xf numFmtId="0" fontId="8" fillId="2" borderId="4" xfId="0" applyFont="1" applyFill="1" applyBorder="1"/>
    <xf numFmtId="0" fontId="11" fillId="2" borderId="0" xfId="0" applyFont="1" applyFill="1" applyAlignment="1">
      <alignment horizontal="right"/>
    </xf>
    <xf numFmtId="0" fontId="11" fillId="2" borderId="0" xfId="0" applyFont="1" applyFill="1"/>
    <xf numFmtId="3" fontId="11" fillId="2" borderId="0" xfId="0" applyNumberFormat="1" applyFont="1" applyFill="1"/>
    <xf numFmtId="171" fontId="8" fillId="2" borderId="0" xfId="0" applyNumberFormat="1" applyFont="1" applyFill="1"/>
    <xf numFmtId="3" fontId="8" fillId="2" borderId="0" xfId="0" applyNumberFormat="1" applyFont="1" applyFill="1"/>
    <xf numFmtId="169" fontId="11" fillId="2" borderId="0" xfId="0" applyNumberFormat="1" applyFont="1" applyFill="1"/>
    <xf numFmtId="4" fontId="11" fillId="2" borderId="0" xfId="0" applyNumberFormat="1" applyFont="1" applyFill="1"/>
    <xf numFmtId="170" fontId="11" fillId="5" borderId="9" xfId="0" applyNumberFormat="1" applyFont="1" applyFill="1" applyBorder="1" applyAlignment="1">
      <alignment horizontal="center"/>
    </xf>
    <xf numFmtId="0" fontId="0" fillId="2" borderId="6" xfId="0" applyFill="1" applyBorder="1"/>
    <xf numFmtId="0" fontId="0" fillId="2" borderId="7" xfId="0" applyFill="1" applyBorder="1"/>
    <xf numFmtId="0" fontId="44" fillId="3" borderId="0" xfId="0" applyFont="1" applyFill="1" applyAlignment="1">
      <alignment horizontal="left" vertical="center"/>
    </xf>
    <xf numFmtId="0" fontId="2" fillId="2" borderId="35"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37" xfId="0" applyFont="1" applyFill="1" applyBorder="1" applyAlignment="1">
      <alignment horizontal="center" vertical="center" wrapText="1"/>
    </xf>
    <xf numFmtId="2" fontId="0" fillId="2" borderId="0" xfId="0" applyNumberFormat="1" applyFill="1" applyAlignment="1">
      <alignment horizontal="center" vertical="center"/>
    </xf>
    <xf numFmtId="2" fontId="0" fillId="2" borderId="5" xfId="0" applyNumberFormat="1" applyFill="1" applyBorder="1" applyAlignment="1">
      <alignment horizontal="center" vertical="center"/>
    </xf>
    <xf numFmtId="2" fontId="0" fillId="3" borderId="0" xfId="0" applyNumberFormat="1" applyFill="1" applyAlignment="1">
      <alignment horizontal="center" vertical="center"/>
    </xf>
    <xf numFmtId="170" fontId="0" fillId="3" borderId="0" xfId="0" applyNumberFormat="1" applyFill="1" applyAlignment="1">
      <alignment horizontal="center" vertical="center"/>
    </xf>
    <xf numFmtId="0" fontId="2" fillId="2" borderId="6" xfId="0" applyFont="1" applyFill="1" applyBorder="1" applyAlignment="1">
      <alignment horizontal="center" vertical="center"/>
    </xf>
    <xf numFmtId="2" fontId="0" fillId="2" borderId="7" xfId="0" applyNumberFormat="1" applyFill="1" applyBorder="1" applyAlignment="1">
      <alignment horizontal="center" vertical="center"/>
    </xf>
    <xf numFmtId="2" fontId="0" fillId="2" borderId="8" xfId="0" applyNumberForma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5" fillId="2" borderId="4" xfId="0" applyFont="1" applyFill="1" applyBorder="1"/>
    <xf numFmtId="0" fontId="3" fillId="2" borderId="0" xfId="0" applyFont="1" applyFill="1"/>
    <xf numFmtId="0" fontId="3" fillId="2" borderId="4" xfId="0" applyFont="1" applyFill="1" applyBorder="1"/>
    <xf numFmtId="0" fontId="5" fillId="2" borderId="0" xfId="0" applyFont="1" applyFill="1" applyAlignment="1">
      <alignment horizontal="right"/>
    </xf>
    <xf numFmtId="0" fontId="5" fillId="2"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5" fillId="2" borderId="0" xfId="0" applyFont="1" applyFill="1"/>
    <xf numFmtId="170" fontId="5" fillId="5" borderId="9" xfId="0" applyNumberFormat="1" applyFont="1" applyFill="1" applyBorder="1" applyAlignment="1">
      <alignment horizontal="center"/>
    </xf>
    <xf numFmtId="170" fontId="5" fillId="2" borderId="0" xfId="0" applyNumberFormat="1" applyFont="1" applyFill="1" applyAlignment="1">
      <alignment horizontal="center"/>
    </xf>
    <xf numFmtId="3" fontId="5" fillId="2" borderId="0" xfId="0" applyNumberFormat="1" applyFont="1" applyFill="1"/>
    <xf numFmtId="171" fontId="3" fillId="2" borderId="0" xfId="0" applyNumberFormat="1" applyFont="1" applyFill="1"/>
    <xf numFmtId="3" fontId="3" fillId="2" borderId="0" xfId="0" applyNumberFormat="1" applyFont="1" applyFill="1"/>
    <xf numFmtId="169" fontId="5" fillId="2" borderId="0" xfId="0" applyNumberFormat="1" applyFont="1" applyFill="1"/>
    <xf numFmtId="4" fontId="5" fillId="2" borderId="0" xfId="0" applyNumberFormat="1" applyFont="1" applyFill="1"/>
    <xf numFmtId="169" fontId="3" fillId="2" borderId="0" xfId="0" applyNumberFormat="1" applyFont="1" applyFill="1"/>
    <xf numFmtId="4" fontId="3" fillId="2" borderId="0" xfId="0" applyNumberFormat="1" applyFont="1" applyFill="1"/>
    <xf numFmtId="0" fontId="2" fillId="3" borderId="0" xfId="0" applyFont="1" applyFill="1" applyAlignment="1">
      <alignment horizontal="center" vertical="top"/>
    </xf>
    <xf numFmtId="2" fontId="0" fillId="3" borderId="0" xfId="0" applyNumberFormat="1" applyFill="1" applyAlignment="1">
      <alignment horizontal="center" vertical="top"/>
    </xf>
    <xf numFmtId="0" fontId="0" fillId="2" borderId="5" xfId="0" applyFill="1" applyBorder="1"/>
    <xf numFmtId="170" fontId="5" fillId="0" borderId="9" xfId="0" applyNumberFormat="1" applyFont="1" applyBorder="1" applyAlignment="1">
      <alignment horizontal="center"/>
    </xf>
    <xf numFmtId="0" fontId="0" fillId="2" borderId="8" xfId="0" applyFill="1" applyBorder="1"/>
    <xf numFmtId="0" fontId="3" fillId="2" borderId="40" xfId="0" applyFont="1" applyFill="1" applyBorder="1"/>
    <xf numFmtId="0" fontId="3" fillId="2" borderId="41" xfId="0" applyFont="1" applyFill="1" applyBorder="1" applyAlignment="1">
      <alignment horizontal="right"/>
    </xf>
    <xf numFmtId="0" fontId="5" fillId="2" borderId="41" xfId="0" applyFont="1" applyFill="1" applyBorder="1" applyAlignment="1">
      <alignment horizontal="right"/>
    </xf>
    <xf numFmtId="0" fontId="48" fillId="2" borderId="0" xfId="0" applyFont="1" applyFill="1"/>
    <xf numFmtId="0" fontId="3" fillId="2" borderId="38" xfId="0" applyFont="1" applyFill="1" applyBorder="1"/>
    <xf numFmtId="0" fontId="5" fillId="2" borderId="22" xfId="0" applyFont="1" applyFill="1" applyBorder="1" applyAlignment="1">
      <alignment horizontal="right"/>
    </xf>
    <xf numFmtId="0" fontId="5" fillId="2" borderId="0" xfId="0" applyFont="1" applyFill="1" applyAlignment="1">
      <alignment horizontal="left"/>
    </xf>
    <xf numFmtId="0" fontId="3" fillId="2" borderId="0" xfId="0" applyFont="1" applyFill="1" applyAlignment="1">
      <alignment horizontal="left"/>
    </xf>
    <xf numFmtId="0" fontId="3" fillId="2" borderId="5" xfId="0" applyFont="1" applyFill="1" applyBorder="1"/>
    <xf numFmtId="3" fontId="3" fillId="2" borderId="0" xfId="0" applyNumberFormat="1" applyFont="1" applyFill="1" applyAlignment="1">
      <alignment horizontal="center"/>
    </xf>
    <xf numFmtId="170" fontId="3" fillId="2" borderId="0" xfId="0" applyNumberFormat="1" applyFont="1" applyFill="1" applyAlignment="1">
      <alignment vertical="center"/>
    </xf>
    <xf numFmtId="170" fontId="3" fillId="2" borderId="0" xfId="0" applyNumberFormat="1" applyFont="1" applyFill="1" applyAlignment="1">
      <alignment horizontal="center"/>
    </xf>
    <xf numFmtId="0" fontId="3" fillId="2" borderId="0" xfId="0" applyFont="1" applyFill="1" applyAlignment="1">
      <alignment horizontal="center"/>
    </xf>
    <xf numFmtId="170" fontId="3" fillId="2" borderId="0" xfId="0" applyNumberFormat="1" applyFont="1" applyFill="1"/>
    <xf numFmtId="0" fontId="3" fillId="2" borderId="22" xfId="0" applyFont="1" applyFill="1" applyBorder="1"/>
    <xf numFmtId="0" fontId="0" fillId="2" borderId="4" xfId="0" applyFill="1" applyBorder="1"/>
    <xf numFmtId="170" fontId="0" fillId="3" borderId="0" xfId="0" applyNumberFormat="1" applyFill="1"/>
    <xf numFmtId="0" fontId="2" fillId="3" borderId="0" xfId="0" applyFont="1" applyFill="1" applyAlignment="1">
      <alignment vertical="center"/>
    </xf>
    <xf numFmtId="0" fontId="2" fillId="45" borderId="4" xfId="0" applyFont="1" applyFill="1" applyBorder="1" applyAlignment="1">
      <alignment horizontal="center" vertical="center"/>
    </xf>
    <xf numFmtId="0" fontId="3" fillId="2" borderId="1" xfId="0" applyFont="1" applyFill="1" applyBorder="1"/>
    <xf numFmtId="0" fontId="3" fillId="2" borderId="2" xfId="0" applyFont="1" applyFill="1" applyBorder="1"/>
    <xf numFmtId="0" fontId="0" fillId="2" borderId="2" xfId="0" applyFill="1" applyBorder="1"/>
    <xf numFmtId="0" fontId="3" fillId="2" borderId="0" xfId="0" applyFont="1" applyFill="1" applyAlignment="1">
      <alignment horizontal="right"/>
    </xf>
    <xf numFmtId="0" fontId="5" fillId="2" borderId="4" xfId="0" applyFont="1" applyFill="1" applyBorder="1" applyAlignment="1">
      <alignment horizontal="left"/>
    </xf>
    <xf numFmtId="0" fontId="3" fillId="2" borderId="4" xfId="0" applyFont="1" applyFill="1" applyBorder="1" applyAlignment="1">
      <alignment horizontal="left"/>
    </xf>
    <xf numFmtId="169" fontId="3" fillId="2" borderId="0" xfId="0" applyNumberFormat="1" applyFont="1" applyFill="1" applyAlignment="1">
      <alignment horizontal="center"/>
    </xf>
    <xf numFmtId="170" fontId="3" fillId="2" borderId="0" xfId="0" applyNumberFormat="1" applyFont="1" applyFill="1" applyAlignment="1">
      <alignment horizontal="right"/>
    </xf>
    <xf numFmtId="0" fontId="3" fillId="3" borderId="0" xfId="0" applyFont="1" applyFill="1"/>
    <xf numFmtId="0" fontId="5" fillId="2" borderId="38" xfId="0" applyFont="1" applyFill="1" applyBorder="1" applyAlignment="1">
      <alignment horizontal="center"/>
    </xf>
    <xf numFmtId="0" fontId="51" fillId="2" borderId="0" xfId="0" applyFont="1" applyFill="1" applyAlignment="1">
      <alignment horizontal="centerContinuous"/>
    </xf>
    <xf numFmtId="1" fontId="3" fillId="2" borderId="0" xfId="0" applyNumberFormat="1" applyFont="1" applyFill="1"/>
    <xf numFmtId="186" fontId="3" fillId="2" borderId="4" xfId="0" applyNumberFormat="1"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0" fillId="2" borderId="0" xfId="0" applyFill="1" applyAlignment="1">
      <alignment horizontal="left" indent="8"/>
    </xf>
    <xf numFmtId="169" fontId="0" fillId="2" borderId="5" xfId="0" applyNumberFormat="1" applyFill="1" applyBorder="1" applyAlignment="1">
      <alignment horizontal="right" indent="1"/>
    </xf>
    <xf numFmtId="3" fontId="0" fillId="2" borderId="5" xfId="0" applyNumberFormat="1" applyFill="1" applyBorder="1" applyAlignment="1">
      <alignment horizontal="center"/>
    </xf>
    <xf numFmtId="3" fontId="0" fillId="2" borderId="5" xfId="0" applyNumberFormat="1" applyFill="1" applyBorder="1"/>
    <xf numFmtId="0" fontId="2" fillId="2" borderId="0" xfId="0" applyFont="1" applyFill="1" applyAlignment="1">
      <alignment horizontal="left" indent="2"/>
    </xf>
    <xf numFmtId="0" fontId="3" fillId="2" borderId="0" xfId="0" applyFont="1" applyFill="1" applyAlignment="1">
      <alignment horizontal="left" indent="2"/>
    </xf>
    <xf numFmtId="0" fontId="2" fillId="2" borderId="4" xfId="0" applyFont="1" applyFill="1" applyBorder="1" applyAlignment="1">
      <alignment horizontal="centerContinuous" vertical="center"/>
    </xf>
    <xf numFmtId="0" fontId="2" fillId="2" borderId="0" xfId="0" applyFont="1" applyFill="1" applyAlignment="1">
      <alignment horizontal="centerContinuous" vertical="center"/>
    </xf>
    <xf numFmtId="186" fontId="2" fillId="2" borderId="0" xfId="1" applyFont="1" applyFill="1" applyAlignment="1">
      <alignment horizontal="left"/>
    </xf>
    <xf numFmtId="186" fontId="0" fillId="2" borderId="0" xfId="1" applyFont="1" applyFill="1" applyAlignment="1">
      <alignment horizontal="left" indent="2"/>
    </xf>
    <xf numFmtId="186" fontId="5" fillId="2" borderId="4" xfId="1" applyFont="1" applyFill="1" applyBorder="1" applyAlignment="1">
      <alignment horizontal="centerContinuous" vertical="center"/>
    </xf>
    <xf numFmtId="186" fontId="3" fillId="2" borderId="0" xfId="1" applyFont="1" applyFill="1" applyAlignment="1">
      <alignment horizontal="left" indent="3"/>
    </xf>
    <xf numFmtId="3" fontId="0" fillId="3" borderId="0" xfId="0" applyNumberFormat="1" applyFill="1"/>
    <xf numFmtId="186" fontId="8" fillId="2" borderId="0" xfId="883" applyFont="1" applyFill="1"/>
    <xf numFmtId="184" fontId="0" fillId="3" borderId="0" xfId="1531" applyNumberFormat="1" applyFont="1" applyFill="1" applyProtection="1"/>
    <xf numFmtId="10" fontId="0" fillId="3" borderId="0" xfId="1531" applyNumberFormat="1" applyFont="1" applyFill="1" applyProtection="1"/>
    <xf numFmtId="9" fontId="3" fillId="2" borderId="0" xfId="1531" applyNumberFormat="1" applyFont="1" applyFill="1" applyAlignment="1" applyProtection="1">
      <alignment horizontal="right" indent="1"/>
    </xf>
    <xf numFmtId="186" fontId="4" fillId="3" borderId="0" xfId="903" applyFill="1" applyAlignment="1">
      <alignment horizontal="right" vertical="center"/>
    </xf>
    <xf numFmtId="186" fontId="4" fillId="0" borderId="0" xfId="903" applyAlignment="1">
      <alignment horizontal="right"/>
    </xf>
    <xf numFmtId="186" fontId="3" fillId="2" borderId="0" xfId="903" applyFont="1" applyFill="1" applyAlignment="1">
      <alignment horizontal="right"/>
    </xf>
    <xf numFmtId="186" fontId="2" fillId="3" borderId="0" xfId="903" applyFont="1" applyFill="1" applyAlignment="1">
      <alignment horizontal="left" vertical="center"/>
    </xf>
    <xf numFmtId="186" fontId="4" fillId="3" borderId="0" xfId="903" applyFill="1" applyAlignment="1">
      <alignment horizontal="left" vertical="center"/>
    </xf>
    <xf numFmtId="170" fontId="3" fillId="2" borderId="0" xfId="903" applyNumberFormat="1" applyFont="1" applyFill="1" applyAlignment="1">
      <alignment horizontal="right"/>
    </xf>
    <xf numFmtId="3" fontId="3" fillId="2" borderId="0" xfId="903" applyNumberFormat="1" applyFont="1" applyFill="1" applyAlignment="1">
      <alignment horizontal="right"/>
    </xf>
    <xf numFmtId="186" fontId="4" fillId="2" borderId="0" xfId="903" applyFill="1" applyAlignment="1">
      <alignment horizontal="right"/>
    </xf>
    <xf numFmtId="4" fontId="3" fillId="2" borderId="0" xfId="903" applyNumberFormat="1" applyFont="1" applyFill="1" applyAlignment="1">
      <alignment horizontal="right"/>
    </xf>
    <xf numFmtId="186" fontId="5" fillId="2" borderId="0" xfId="903" applyFont="1" applyFill="1" applyAlignment="1">
      <alignment horizontal="right"/>
    </xf>
    <xf numFmtId="4" fontId="5" fillId="2" borderId="0" xfId="903" applyNumberFormat="1" applyFont="1" applyFill="1" applyAlignment="1">
      <alignment horizontal="right"/>
    </xf>
    <xf numFmtId="186" fontId="4" fillId="2" borderId="0" xfId="903" applyFill="1" applyAlignment="1">
      <alignment horizontal="right" vertical="center"/>
    </xf>
    <xf numFmtId="186" fontId="3" fillId="3" borderId="0" xfId="1205" applyFont="1" applyFill="1"/>
    <xf numFmtId="186" fontId="5" fillId="3" borderId="0" xfId="1202" applyFont="1" applyFill="1" applyAlignment="1">
      <alignment horizontal="left"/>
    </xf>
    <xf numFmtId="186" fontId="3" fillId="3" borderId="0" xfId="1205" applyFont="1" applyFill="1" applyAlignment="1">
      <alignment horizontal="centerContinuous"/>
    </xf>
    <xf numFmtId="186" fontId="48" fillId="3" borderId="0" xfId="1205" applyFont="1" applyFill="1"/>
    <xf numFmtId="183" fontId="3" fillId="3" borderId="0" xfId="1206" applyFont="1" applyFill="1"/>
    <xf numFmtId="186" fontId="5" fillId="3" borderId="0" xfId="3" applyFont="1" applyFill="1" applyAlignment="1">
      <alignment horizontal="right"/>
    </xf>
    <xf numFmtId="183" fontId="48" fillId="3" borderId="0" xfId="1206" applyFont="1" applyFill="1"/>
    <xf numFmtId="186" fontId="51" fillId="3" borderId="0" xfId="1205" applyFont="1" applyFill="1"/>
    <xf numFmtId="0" fontId="0" fillId="2" borderId="0" xfId="0" applyFill="1" applyAlignment="1">
      <alignment horizontal="left" indent="1"/>
    </xf>
    <xf numFmtId="0" fontId="0" fillId="2" borderId="0" xfId="0" applyFill="1" applyAlignment="1">
      <alignment horizontal="right" indent="1"/>
    </xf>
    <xf numFmtId="0" fontId="0" fillId="44" borderId="0" xfId="0" applyFill="1"/>
    <xf numFmtId="170" fontId="3" fillId="3" borderId="0" xfId="0" applyNumberFormat="1" applyFont="1" applyFill="1" applyAlignment="1">
      <alignment vertical="center"/>
    </xf>
    <xf numFmtId="0" fontId="0" fillId="3" borderId="0" xfId="0" quotePrefix="1" applyFill="1"/>
    <xf numFmtId="0" fontId="0" fillId="44" borderId="0" xfId="0" applyFill="1" applyAlignment="1">
      <alignment horizontal="left" indent="1"/>
    </xf>
    <xf numFmtId="186" fontId="3" fillId="2" borderId="0" xfId="1205" applyFont="1" applyFill="1"/>
    <xf numFmtId="183" fontId="3" fillId="50" borderId="0" xfId="1201" applyFont="1" applyFill="1"/>
    <xf numFmtId="169" fontId="3" fillId="2" borderId="0" xfId="0" applyNumberFormat="1" applyFont="1" applyFill="1" applyAlignment="1">
      <alignment horizontal="right"/>
    </xf>
    <xf numFmtId="169" fontId="62" fillId="2" borderId="0" xfId="0" applyNumberFormat="1" applyFont="1" applyFill="1" applyAlignment="1">
      <alignment horizontal="right" indent="1"/>
    </xf>
    <xf numFmtId="0" fontId="62" fillId="2" borderId="0" xfId="0" applyFont="1" applyFill="1" applyAlignment="1">
      <alignment horizontal="left"/>
    </xf>
    <xf numFmtId="186" fontId="57" fillId="3" borderId="0" xfId="0" applyNumberFormat="1" applyFont="1" applyFill="1"/>
    <xf numFmtId="2" fontId="0" fillId="2" borderId="0" xfId="0" applyNumberFormat="1" applyFill="1"/>
    <xf numFmtId="3" fontId="0" fillId="3" borderId="0" xfId="0" applyNumberFormat="1" applyFill="1" applyAlignment="1">
      <alignment horizontal="center" vertical="center"/>
    </xf>
    <xf numFmtId="3" fontId="0" fillId="2" borderId="0" xfId="0" applyNumberFormat="1" applyFill="1" applyAlignment="1">
      <alignment horizontal="center" vertical="center"/>
    </xf>
    <xf numFmtId="171" fontId="0" fillId="3" borderId="0" xfId="0" applyNumberFormat="1" applyFill="1"/>
    <xf numFmtId="185" fontId="0" fillId="3" borderId="0" xfId="0" applyNumberFormat="1" applyFill="1"/>
    <xf numFmtId="170" fontId="5" fillId="5" borderId="9" xfId="0" quotePrefix="1" applyNumberFormat="1" applyFont="1" applyFill="1" applyBorder="1" applyAlignment="1">
      <alignment horizontal="center"/>
    </xf>
    <xf numFmtId="184" fontId="0" fillId="2" borderId="0" xfId="1531" applyNumberFormat="1" applyFont="1" applyFill="1" applyAlignment="1" applyProtection="1">
      <alignment horizontal="center" vertical="center"/>
    </xf>
    <xf numFmtId="171" fontId="0" fillId="2" borderId="0" xfId="0" applyNumberFormat="1" applyFill="1" applyAlignment="1">
      <alignment horizontal="center" vertical="center"/>
    </xf>
    <xf numFmtId="0" fontId="2" fillId="3" borderId="0" xfId="0" applyFont="1" applyFill="1" applyAlignment="1">
      <alignment horizontal="left" vertical="center" wrapText="1"/>
    </xf>
    <xf numFmtId="2" fontId="0" fillId="3" borderId="0" xfId="0" applyNumberFormat="1" applyFill="1"/>
    <xf numFmtId="186" fontId="56" fillId="2" borderId="22" xfId="1215" applyFont="1" applyFill="1" applyBorder="1"/>
    <xf numFmtId="186" fontId="8" fillId="2" borderId="22" xfId="1215" applyFont="1" applyFill="1" applyBorder="1"/>
    <xf numFmtId="186" fontId="8" fillId="2" borderId="0" xfId="1215" applyFont="1" applyFill="1"/>
    <xf numFmtId="2" fontId="8" fillId="2" borderId="0" xfId="0" applyNumberFormat="1" applyFont="1" applyFill="1"/>
    <xf numFmtId="0" fontId="62" fillId="3" borderId="0" xfId="0" applyFont="1" applyFill="1"/>
    <xf numFmtId="0" fontId="49" fillId="2" borderId="46" xfId="0" applyFont="1" applyFill="1" applyBorder="1" applyAlignment="1">
      <alignment horizontal="centerContinuous"/>
    </xf>
    <xf numFmtId="2" fontId="0" fillId="2" borderId="7" xfId="0" applyNumberFormat="1" applyFill="1" applyBorder="1"/>
    <xf numFmtId="0" fontId="49" fillId="2" borderId="46" xfId="0" applyFont="1" applyFill="1" applyBorder="1" applyAlignment="1">
      <alignment horizontal="center"/>
    </xf>
    <xf numFmtId="2" fontId="49" fillId="2" borderId="46" xfId="0" applyNumberFormat="1" applyFont="1" applyFill="1" applyBorder="1" applyAlignment="1">
      <alignment horizontal="center"/>
    </xf>
    <xf numFmtId="0" fontId="62" fillId="2" borderId="4" xfId="0" applyFont="1" applyFill="1" applyBorder="1" applyAlignment="1">
      <alignment horizontal="left" indent="3"/>
    </xf>
    <xf numFmtId="3" fontId="62" fillId="2" borderId="5" xfId="0" applyNumberFormat="1" applyFont="1" applyFill="1" applyBorder="1" applyAlignment="1">
      <alignment horizontal="right" vertical="center" indent="1"/>
    </xf>
    <xf numFmtId="0" fontId="0" fillId="3" borderId="0" xfId="0" applyFill="1" applyAlignment="1">
      <alignment horizontal="right"/>
    </xf>
    <xf numFmtId="3" fontId="0" fillId="3" borderId="0" xfId="0" applyNumberFormat="1" applyFill="1" applyAlignment="1">
      <alignment horizontal="right" vertical="center"/>
    </xf>
    <xf numFmtId="3" fontId="0" fillId="3" borderId="0" xfId="0" applyNumberFormat="1" applyFill="1" applyAlignment="1">
      <alignment horizontal="right"/>
    </xf>
    <xf numFmtId="0" fontId="2" fillId="2" borderId="45" xfId="0" applyFont="1" applyFill="1" applyBorder="1" applyAlignment="1">
      <alignment horizontal="centerContinuous" vertical="center" wrapText="1"/>
    </xf>
    <xf numFmtId="0" fontId="0" fillId="2" borderId="45" xfId="0" applyFill="1" applyBorder="1" applyAlignment="1">
      <alignment horizontal="centerContinuous" vertical="center" wrapText="1"/>
    </xf>
    <xf numFmtId="170" fontId="0" fillId="2" borderId="0" xfId="0" applyNumberFormat="1" applyFill="1" applyAlignment="1">
      <alignment horizontal="right" vertical="center"/>
    </xf>
    <xf numFmtId="3" fontId="62" fillId="2" borderId="0" xfId="0" applyNumberFormat="1" applyFont="1" applyFill="1" applyAlignment="1">
      <alignment horizontal="right" indent="1"/>
    </xf>
    <xf numFmtId="184" fontId="0" fillId="3" borderId="0" xfId="1531" applyNumberFormat="1" applyFont="1" applyFill="1" applyAlignment="1" applyProtection="1">
      <alignment horizontal="center" vertical="center"/>
    </xf>
    <xf numFmtId="0" fontId="2" fillId="2" borderId="0" xfId="0" applyFont="1" applyFill="1" applyAlignment="1">
      <alignment horizontal="left" vertical="center"/>
    </xf>
    <xf numFmtId="0" fontId="0" fillId="44" borderId="0" xfId="0" applyFill="1" applyAlignment="1">
      <alignment horizontal="right" indent="1"/>
    </xf>
    <xf numFmtId="186" fontId="2" fillId="3" borderId="0" xfId="903" applyFont="1" applyFill="1" applyAlignment="1">
      <alignment horizontal="right" vertical="center"/>
    </xf>
    <xf numFmtId="186" fontId="2" fillId="3" borderId="0" xfId="903" applyFont="1" applyFill="1" applyAlignment="1">
      <alignment horizontal="right" vertical="center" wrapText="1"/>
    </xf>
    <xf numFmtId="186" fontId="3" fillId="2" borderId="0" xfId="903" applyFont="1" applyFill="1" applyAlignment="1">
      <alignment horizontal="center"/>
    </xf>
    <xf numFmtId="3" fontId="3" fillId="2" borderId="0" xfId="903" applyNumberFormat="1" applyFont="1" applyFill="1" applyAlignment="1">
      <alignment horizontal="center"/>
    </xf>
    <xf numFmtId="0" fontId="0" fillId="2" borderId="42" xfId="0" applyFill="1" applyBorder="1" applyAlignment="1">
      <alignment horizontal="right" indent="1"/>
    </xf>
    <xf numFmtId="0" fontId="3" fillId="2" borderId="45" xfId="0" applyFont="1" applyFill="1" applyBorder="1"/>
    <xf numFmtId="0" fontId="0" fillId="2" borderId="42" xfId="0" applyFill="1" applyBorder="1"/>
    <xf numFmtId="0" fontId="5" fillId="2" borderId="1" xfId="0" applyFont="1" applyFill="1" applyBorder="1" applyAlignment="1">
      <alignment horizontal="centerContinuous"/>
    </xf>
    <xf numFmtId="0" fontId="5" fillId="2" borderId="2" xfId="0" applyFont="1" applyFill="1" applyBorder="1" applyAlignment="1">
      <alignment horizontal="centerContinuous"/>
    </xf>
    <xf numFmtId="0" fontId="5" fillId="2" borderId="3" xfId="0" applyFont="1" applyFill="1" applyBorder="1" applyAlignment="1">
      <alignment horizontal="centerContinuous"/>
    </xf>
    <xf numFmtId="0" fontId="5" fillId="2" borderId="45" xfId="0" applyFont="1" applyFill="1" applyBorder="1" applyAlignment="1">
      <alignment horizontal="centerContinuous"/>
    </xf>
    <xf numFmtId="0" fontId="3" fillId="2" borderId="42" xfId="0" applyFont="1" applyFill="1" applyBorder="1"/>
    <xf numFmtId="3" fontId="5" fillId="2" borderId="0" xfId="0" applyNumberFormat="1" applyFont="1" applyFill="1" applyAlignment="1">
      <alignment horizontal="right"/>
    </xf>
    <xf numFmtId="184" fontId="0" fillId="2" borderId="0" xfId="1531" applyNumberFormat="1" applyFont="1" applyFill="1" applyAlignment="1" applyProtection="1">
      <alignment horizontal="centerContinuous" vertical="center"/>
    </xf>
    <xf numFmtId="0" fontId="0" fillId="2" borderId="0" xfId="0" applyFill="1" applyAlignment="1">
      <alignment horizontal="left" indent="3"/>
    </xf>
    <xf numFmtId="0" fontId="11" fillId="2" borderId="0" xfId="0" applyFont="1" applyFill="1" applyAlignment="1">
      <alignment horizont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8" fillId="2" borderId="0" xfId="0" applyFont="1" applyFill="1" applyAlignment="1">
      <alignment horizontal="center"/>
    </xf>
    <xf numFmtId="0" fontId="2" fillId="2" borderId="4" xfId="0" applyFont="1" applyFill="1" applyBorder="1" applyAlignment="1">
      <alignment horizontal="left" vertical="center"/>
    </xf>
    <xf numFmtId="180" fontId="2" fillId="2" borderId="0" xfId="0" applyNumberFormat="1" applyFont="1" applyFill="1" applyAlignment="1">
      <alignment horizontal="left" vertical="center"/>
    </xf>
    <xf numFmtId="0" fontId="5" fillId="3" borderId="0" xfId="0" applyFont="1" applyFill="1"/>
    <xf numFmtId="0" fontId="0" fillId="2" borderId="48" xfId="0" applyFill="1" applyBorder="1"/>
    <xf numFmtId="0" fontId="5" fillId="2" borderId="45" xfId="0" applyFont="1" applyFill="1" applyBorder="1" applyAlignment="1">
      <alignment horizontal="centerContinuous" vertical="center"/>
    </xf>
    <xf numFmtId="0" fontId="5" fillId="2" borderId="49" xfId="0" applyFont="1" applyFill="1" applyBorder="1" applyAlignment="1">
      <alignment horizontal="centerContinuous" vertical="center"/>
    </xf>
    <xf numFmtId="186" fontId="0" fillId="3" borderId="0" xfId="0" applyNumberFormat="1" applyFill="1"/>
    <xf numFmtId="186" fontId="2" fillId="2" borderId="0" xfId="0" applyNumberFormat="1" applyFont="1" applyFill="1" applyAlignment="1">
      <alignment wrapText="1"/>
    </xf>
    <xf numFmtId="186" fontId="0" fillId="2" borderId="5" xfId="0" applyNumberFormat="1" applyFill="1" applyBorder="1" applyAlignment="1">
      <alignment wrapText="1"/>
    </xf>
    <xf numFmtId="10" fontId="0" fillId="2" borderId="5" xfId="0" applyNumberFormat="1" applyFill="1" applyBorder="1" applyAlignment="1">
      <alignment horizontal="right"/>
    </xf>
    <xf numFmtId="0" fontId="2" fillId="3" borderId="4" xfId="0" applyFont="1" applyFill="1" applyBorder="1"/>
    <xf numFmtId="186" fontId="5" fillId="2" borderId="0" xfId="1215" applyFont="1" applyFill="1"/>
    <xf numFmtId="186" fontId="0" fillId="2" borderId="0" xfId="0" applyNumberFormat="1" applyFill="1"/>
    <xf numFmtId="186" fontId="3" fillId="2" borderId="0" xfId="1215" applyFont="1" applyFill="1"/>
    <xf numFmtId="2" fontId="0" fillId="5" borderId="0" xfId="0" applyNumberFormat="1" applyFill="1" applyAlignment="1">
      <alignment horizontal="center"/>
    </xf>
    <xf numFmtId="2" fontId="0" fillId="3" borderId="0" xfId="0" applyNumberFormat="1" applyFill="1" applyAlignment="1">
      <alignment horizontal="right"/>
    </xf>
    <xf numFmtId="2" fontId="0" fillId="2" borderId="42" xfId="0" applyNumberFormat="1" applyFill="1" applyBorder="1" applyAlignment="1">
      <alignment horizontal="right"/>
    </xf>
    <xf numFmtId="180" fontId="0" fillId="3" borderId="0" xfId="0" applyNumberFormat="1" applyFill="1"/>
    <xf numFmtId="0" fontId="0" fillId="2" borderId="4" xfId="0" applyFill="1" applyBorder="1" applyAlignment="1">
      <alignment wrapText="1"/>
    </xf>
    <xf numFmtId="0" fontId="3" fillId="2" borderId="0" xfId="0" applyFont="1" applyFill="1" applyAlignment="1">
      <alignment horizontal="center" wrapText="1"/>
    </xf>
    <xf numFmtId="0" fontId="5" fillId="2" borderId="0" xfId="0" applyFont="1" applyFill="1" applyAlignment="1">
      <alignment horizontal="centerContinuous" wrapText="1"/>
    </xf>
    <xf numFmtId="169" fontId="5" fillId="2" borderId="0" xfId="0" applyNumberFormat="1" applyFont="1" applyFill="1" applyAlignment="1">
      <alignment horizontal="center" wrapText="1"/>
    </xf>
    <xf numFmtId="0" fontId="2" fillId="2" borderId="0" xfId="0" applyFont="1" applyFill="1" applyAlignment="1">
      <alignment wrapText="1"/>
    </xf>
    <xf numFmtId="0" fontId="5" fillId="2" borderId="0" xfId="0" applyFont="1" applyFill="1" applyAlignment="1">
      <alignment horizontal="center" wrapText="1"/>
    </xf>
    <xf numFmtId="186" fontId="0" fillId="3" borderId="0" xfId="0" applyNumberFormat="1" applyFill="1" applyAlignment="1">
      <alignment wrapText="1"/>
    </xf>
    <xf numFmtId="0" fontId="0" fillId="3" borderId="0" xfId="0" applyFill="1" applyAlignment="1">
      <alignment wrapText="1"/>
    </xf>
    <xf numFmtId="169" fontId="5" fillId="2" borderId="0" xfId="0" applyNumberFormat="1" applyFont="1" applyFill="1" applyAlignment="1">
      <alignment horizontal="right" wrapText="1"/>
    </xf>
    <xf numFmtId="186" fontId="0" fillId="2" borderId="0" xfId="0" applyNumberFormat="1" applyFill="1" applyAlignment="1">
      <alignment horizontal="right" wrapText="1"/>
    </xf>
    <xf numFmtId="186" fontId="2" fillId="2" borderId="0" xfId="0" applyNumberFormat="1" applyFont="1" applyFill="1" applyAlignment="1">
      <alignment horizontal="right" wrapText="1"/>
    </xf>
    <xf numFmtId="186" fontId="0" fillId="2" borderId="5" xfId="0" applyNumberFormat="1" applyFill="1" applyBorder="1" applyAlignment="1">
      <alignment horizontal="right" wrapText="1"/>
    </xf>
    <xf numFmtId="1" fontId="0" fillId="3" borderId="0" xfId="0" applyNumberFormat="1" applyFill="1"/>
    <xf numFmtId="0" fontId="2" fillId="3" borderId="50" xfId="0" applyFont="1" applyFill="1" applyBorder="1"/>
    <xf numFmtId="0" fontId="0" fillId="3" borderId="19" xfId="0" applyFill="1" applyBorder="1"/>
    <xf numFmtId="0" fontId="2" fillId="3" borderId="48" xfId="0" applyFont="1" applyFill="1" applyBorder="1"/>
    <xf numFmtId="0" fontId="2" fillId="3" borderId="6" xfId="0" applyFont="1" applyFill="1" applyBorder="1"/>
    <xf numFmtId="1" fontId="2" fillId="3" borderId="0" xfId="0" applyNumberFormat="1" applyFont="1" applyFill="1"/>
    <xf numFmtId="3" fontId="2" fillId="3" borderId="0" xfId="0" applyNumberFormat="1" applyFont="1" applyFill="1"/>
    <xf numFmtId="3" fontId="3" fillId="2" borderId="0" xfId="0" applyNumberFormat="1" applyFont="1" applyFill="1" applyAlignment="1">
      <alignment horizontal="right"/>
    </xf>
    <xf numFmtId="1" fontId="2" fillId="2" borderId="0" xfId="0" applyNumberFormat="1" applyFont="1" applyFill="1" applyAlignment="1">
      <alignment horizontal="right" vertical="center" indent="1"/>
    </xf>
    <xf numFmtId="184" fontId="0" fillId="2" borderId="0" xfId="1531" applyNumberFormat="1" applyFont="1" applyFill="1" applyAlignment="1" applyProtection="1">
      <alignment horizontal="right" indent="1"/>
    </xf>
    <xf numFmtId="1" fontId="5" fillId="2" borderId="0" xfId="0" applyNumberFormat="1" applyFont="1" applyFill="1" applyAlignment="1">
      <alignment horizontal="center"/>
    </xf>
    <xf numFmtId="1" fontId="0" fillId="2" borderId="4" xfId="0" applyNumberFormat="1" applyFill="1" applyBorder="1" applyAlignment="1">
      <alignment horizontal="center" vertical="center"/>
    </xf>
    <xf numFmtId="1" fontId="5" fillId="2" borderId="22" xfId="0" applyNumberFormat="1" applyFont="1" applyFill="1" applyBorder="1" applyAlignment="1">
      <alignment horizontal="right"/>
    </xf>
    <xf numFmtId="0" fontId="2" fillId="2" borderId="0" xfId="0" applyFont="1" applyFill="1" applyAlignment="1">
      <alignment horizontal="right" vertical="center" indent="1"/>
    </xf>
    <xf numFmtId="1" fontId="3" fillId="2" borderId="0" xfId="0" applyNumberFormat="1" applyFont="1" applyFill="1" applyAlignment="1">
      <alignment vertical="center"/>
    </xf>
    <xf numFmtId="4" fontId="65" fillId="3" borderId="0" xfId="0" applyNumberFormat="1" applyFont="1" applyFill="1" applyAlignment="1">
      <alignment horizontal="center" vertical="center"/>
    </xf>
    <xf numFmtId="0" fontId="2" fillId="2" borderId="5" xfId="0" applyFont="1" applyFill="1" applyBorder="1" applyAlignment="1">
      <alignment horizontal="center" vertical="center"/>
    </xf>
    <xf numFmtId="3" fontId="0" fillId="2" borderId="0" xfId="0" applyNumberFormat="1" applyFill="1" applyAlignment="1">
      <alignment horizontal="centerContinuous" vertical="center"/>
    </xf>
    <xf numFmtId="184" fontId="0" fillId="3" borderId="0" xfId="1531" applyNumberFormat="1" applyFont="1" applyFill="1" applyAlignment="1" applyProtection="1">
      <alignment horizontal="center" vertical="center"/>
    </xf>
    <xf numFmtId="4" fontId="0" fillId="2" borderId="0" xfId="0" applyNumberFormat="1" applyFill="1" applyAlignment="1">
      <alignment horizontal="center" vertical="center"/>
    </xf>
    <xf numFmtId="4" fontId="2" fillId="2" borderId="67" xfId="0" applyNumberFormat="1" applyFont="1" applyFill="1" applyBorder="1" applyAlignment="1">
      <alignment horizontal="centerContinuous" vertical="center" wrapText="1"/>
    </xf>
    <xf numFmtId="4" fontId="2" fillId="2" borderId="68" xfId="0" applyNumberFormat="1" applyFont="1" applyFill="1" applyBorder="1" applyAlignment="1">
      <alignment horizontal="centerContinuous" vertical="center" wrapText="1"/>
    </xf>
    <xf numFmtId="4" fontId="2" fillId="2" borderId="69" xfId="0" applyNumberFormat="1" applyFont="1" applyFill="1" applyBorder="1" applyAlignment="1">
      <alignment horizontal="centerContinuous" vertical="center" wrapText="1"/>
    </xf>
    <xf numFmtId="0" fontId="0" fillId="2" borderId="5" xfId="0" applyFill="1" applyBorder="1" applyAlignment="1">
      <alignment horizontal="right" indent="1"/>
    </xf>
    <xf numFmtId="0" fontId="0" fillId="2" borderId="0" xfId="0" applyFill="1" applyAlignment="1">
      <alignment vertical="center"/>
    </xf>
    <xf numFmtId="1" fontId="0" fillId="2" borderId="0" xfId="0" applyNumberFormat="1" applyFill="1" applyAlignment="1">
      <alignment horizontal="right" vertical="center"/>
    </xf>
    <xf numFmtId="0" fontId="3" fillId="2" borderId="0" xfId="0" applyFont="1" applyFill="1" applyAlignment="1">
      <alignment horizontal="left" indent="4"/>
    </xf>
    <xf numFmtId="182" fontId="3" fillId="2" borderId="0" xfId="0" applyNumberFormat="1" applyFont="1" applyFill="1" applyAlignment="1">
      <alignment horizontal="right"/>
    </xf>
    <xf numFmtId="1" fontId="3" fillId="2" borderId="0" xfId="0" applyNumberFormat="1" applyFont="1" applyFill="1" applyAlignment="1">
      <alignment horizontal="right"/>
    </xf>
    <xf numFmtId="170" fontId="0" fillId="2" borderId="0" xfId="0" applyNumberFormat="1" applyFill="1" applyAlignment="1">
      <alignment horizontal="center"/>
    </xf>
    <xf numFmtId="170" fontId="8" fillId="2" borderId="0" xfId="0" applyNumberFormat="1" applyFont="1" applyFill="1" applyAlignment="1">
      <alignment horizontal="center"/>
    </xf>
    <xf numFmtId="0" fontId="127" fillId="3" borderId="0" xfId="0" applyFont="1" applyFill="1" applyAlignment="1">
      <alignment horizontal="center" vertical="center"/>
    </xf>
    <xf numFmtId="170" fontId="11" fillId="5" borderId="9" xfId="0" applyNumberFormat="1" applyFont="1" applyFill="1" applyBorder="1" applyAlignment="1">
      <alignment horizontal="center" vertical="center"/>
    </xf>
    <xf numFmtId="170" fontId="0" fillId="2" borderId="0" xfId="0" applyNumberFormat="1" applyFill="1"/>
    <xf numFmtId="170" fontId="11" fillId="2" borderId="0" xfId="0" applyNumberFormat="1" applyFont="1" applyFill="1" applyAlignment="1">
      <alignment horizontal="center"/>
    </xf>
    <xf numFmtId="0" fontId="65" fillId="3" borderId="0" xfId="0" applyFont="1" applyFill="1" applyAlignment="1">
      <alignment horizontal="center" vertical="center"/>
    </xf>
    <xf numFmtId="0" fontId="127" fillId="3" borderId="0" xfId="0" applyFont="1" applyFill="1" applyAlignment="1">
      <alignment horizontal="left" vertical="center"/>
    </xf>
    <xf numFmtId="1" fontId="0" fillId="2" borderId="0" xfId="0" applyNumberFormat="1" applyFill="1" applyAlignment="1">
      <alignment horizontal="center" vertical="center"/>
    </xf>
    <xf numFmtId="170" fontId="11" fillId="2" borderId="9" xfId="0" applyNumberFormat="1" applyFont="1" applyFill="1" applyBorder="1" applyAlignment="1">
      <alignment horizontal="center"/>
    </xf>
    <xf numFmtId="182" fontId="0" fillId="2" borderId="0" xfId="2" applyNumberFormat="1" applyFont="1" applyFill="1" applyBorder="1" applyAlignment="1">
      <alignment horizontal="center" vertical="center"/>
    </xf>
    <xf numFmtId="169" fontId="11" fillId="5" borderId="9" xfId="0" applyNumberFormat="1" applyFont="1" applyFill="1" applyBorder="1" applyAlignment="1">
      <alignment horizontal="center"/>
    </xf>
    <xf numFmtId="169" fontId="11" fillId="2" borderId="0" xfId="0" applyNumberFormat="1" applyFont="1" applyFill="1" applyAlignment="1">
      <alignment horizontal="center"/>
    </xf>
    <xf numFmtId="2" fontId="2" fillId="2" borderId="0" xfId="0" applyNumberFormat="1" applyFont="1" applyFill="1" applyAlignment="1">
      <alignment horizontal="center" vertical="center"/>
    </xf>
    <xf numFmtId="9" fontId="0" fillId="2" borderId="0" xfId="1531" applyNumberFormat="1" applyFont="1" applyFill="1" applyAlignment="1" applyProtection="1">
      <alignment horizontal="center" vertical="center"/>
    </xf>
    <xf numFmtId="3" fontId="5" fillId="5" borderId="9" xfId="0" applyNumberFormat="1" applyFont="1" applyFill="1" applyBorder="1" applyAlignment="1">
      <alignment horizontal="center"/>
    </xf>
    <xf numFmtId="2" fontId="0" fillId="2" borderId="7" xfId="0" applyNumberFormat="1" applyFill="1" applyBorder="1" applyAlignment="1">
      <alignment horizontal="center" vertical="top"/>
    </xf>
    <xf numFmtId="180" fontId="0" fillId="2" borderId="7" xfId="0" applyNumberFormat="1" applyFill="1" applyBorder="1" applyAlignment="1">
      <alignment horizontal="center" vertical="top"/>
    </xf>
    <xf numFmtId="170" fontId="0" fillId="2" borderId="7" xfId="0" applyNumberFormat="1" applyFill="1" applyBorder="1" applyAlignment="1">
      <alignment horizontal="center" vertical="top"/>
    </xf>
    <xf numFmtId="0" fontId="44" fillId="2" borderId="67" xfId="0" applyFont="1" applyFill="1" applyBorder="1" applyAlignment="1">
      <alignment horizontal="left" vertical="center"/>
    </xf>
    <xf numFmtId="0" fontId="44" fillId="2" borderId="45" xfId="0" applyFont="1" applyFill="1" applyBorder="1" applyAlignment="1">
      <alignment horizontal="left" vertical="center"/>
    </xf>
    <xf numFmtId="0" fontId="0" fillId="2" borderId="45" xfId="0" applyFill="1" applyBorder="1" applyAlignment="1">
      <alignment horizontal="center" vertical="center"/>
    </xf>
    <xf numFmtId="0" fontId="0" fillId="2" borderId="69" xfId="0" applyFill="1" applyBorder="1" applyAlignment="1">
      <alignment horizontal="center" vertical="center"/>
    </xf>
    <xf numFmtId="2" fontId="62" fillId="2" borderId="0" xfId="0" applyNumberFormat="1" applyFont="1" applyFill="1" applyAlignment="1">
      <alignment horizontal="center" vertical="center"/>
    </xf>
    <xf numFmtId="49" fontId="2" fillId="2" borderId="0" xfId="0" applyNumberFormat="1" applyFont="1" applyFill="1" applyAlignment="1">
      <alignment horizontal="left" vertical="center"/>
    </xf>
    <xf numFmtId="0" fontId="3" fillId="2" borderId="6" xfId="0" quotePrefix="1" applyFont="1" applyFill="1" applyBorder="1"/>
    <xf numFmtId="0" fontId="2" fillId="2" borderId="67" xfId="0" applyFont="1" applyFill="1" applyBorder="1" applyAlignment="1">
      <alignment horizontal="centerContinuous" vertical="center" wrapText="1"/>
    </xf>
    <xf numFmtId="0" fontId="2" fillId="2" borderId="69" xfId="0" applyFont="1" applyFill="1" applyBorder="1" applyAlignment="1">
      <alignment horizontal="centerContinuous" vertical="center" wrapText="1"/>
    </xf>
    <xf numFmtId="3" fontId="2" fillId="5" borderId="9" xfId="0" applyNumberFormat="1" applyFont="1" applyFill="1" applyBorder="1" applyAlignment="1">
      <alignment horizontal="right" indent="1"/>
    </xf>
    <xf numFmtId="3" fontId="0" fillId="5" borderId="70" xfId="0" applyNumberFormat="1" applyFill="1" applyBorder="1" applyAlignment="1">
      <alignment horizontal="right" indent="1"/>
    </xf>
    <xf numFmtId="3" fontId="0" fillId="5" borderId="14" xfId="0" applyNumberFormat="1" applyFill="1" applyBorder="1" applyAlignment="1">
      <alignment horizontal="right" indent="1"/>
    </xf>
    <xf numFmtId="3" fontId="0" fillId="5" borderId="9" xfId="0" applyNumberFormat="1" applyFill="1" applyBorder="1" applyAlignment="1">
      <alignment horizontal="right" indent="1"/>
    </xf>
    <xf numFmtId="4" fontId="0" fillId="2" borderId="5" xfId="0" applyNumberFormat="1" applyFill="1" applyBorder="1" applyAlignment="1">
      <alignment horizontal="right" indent="1"/>
    </xf>
    <xf numFmtId="0" fontId="11" fillId="2" borderId="7" xfId="0" applyFont="1" applyFill="1" applyBorder="1"/>
    <xf numFmtId="3" fontId="8" fillId="2" borderId="7" xfId="0" applyNumberFormat="1" applyFont="1" applyFill="1" applyBorder="1"/>
    <xf numFmtId="0" fontId="8" fillId="2" borderId="6" xfId="0" applyFont="1" applyFill="1" applyBorder="1"/>
    <xf numFmtId="169" fontId="8" fillId="2" borderId="7" xfId="0" applyNumberFormat="1" applyFont="1" applyFill="1" applyBorder="1"/>
    <xf numFmtId="4" fontId="8" fillId="2" borderId="7" xfId="0" applyNumberFormat="1" applyFont="1" applyFill="1" applyBorder="1"/>
    <xf numFmtId="4" fontId="11" fillId="2" borderId="7" xfId="0" applyNumberFormat="1" applyFont="1" applyFill="1" applyBorder="1" applyAlignment="1">
      <alignment horizontal="center"/>
    </xf>
    <xf numFmtId="0" fontId="2" fillId="3" borderId="0" xfId="0" applyFont="1" applyFill="1" applyAlignment="1">
      <alignment horizontal="centerContinuous" vertical="center" wrapText="1"/>
    </xf>
    <xf numFmtId="0" fontId="2" fillId="3" borderId="0" xfId="0" applyFont="1" applyFill="1" applyAlignment="1">
      <alignment horizontal="right" vertical="center" indent="1"/>
    </xf>
    <xf numFmtId="170" fontId="0" fillId="0" borderId="70" xfId="0" applyNumberFormat="1" applyBorder="1" applyAlignment="1">
      <alignment horizontal="center" vertical="center"/>
    </xf>
    <xf numFmtId="170" fontId="0" fillId="0" borderId="14" xfId="0" applyNumberFormat="1" applyBorder="1" applyAlignment="1">
      <alignment horizontal="center" vertical="center"/>
    </xf>
    <xf numFmtId="169" fontId="0" fillId="0" borderId="14" xfId="0" applyNumberFormat="1" applyBorder="1" applyAlignment="1">
      <alignment horizontal="center" vertical="center"/>
    </xf>
    <xf numFmtId="170" fontId="0" fillId="0" borderId="11" xfId="0" applyNumberFormat="1" applyBorder="1" applyAlignment="1">
      <alignment horizontal="center" vertical="center"/>
    </xf>
    <xf numFmtId="170" fontId="0" fillId="0" borderId="9" xfId="0" applyNumberFormat="1" applyBorder="1" applyAlignment="1">
      <alignment horizontal="center" vertical="center"/>
    </xf>
    <xf numFmtId="169" fontId="0" fillId="0" borderId="9" xfId="0" applyNumberFormat="1" applyBorder="1" applyAlignment="1">
      <alignment horizontal="center" vertical="center"/>
    </xf>
    <xf numFmtId="3" fontId="0" fillId="0" borderId="11" xfId="0" applyNumberFormat="1" applyBorder="1" applyAlignment="1">
      <alignment horizontal="right" indent="1"/>
    </xf>
    <xf numFmtId="3" fontId="0" fillId="0" borderId="9" xfId="0" applyNumberFormat="1" applyBorder="1" applyAlignment="1">
      <alignment horizontal="right" indent="1"/>
    </xf>
    <xf numFmtId="169" fontId="0" fillId="0" borderId="9" xfId="0" applyNumberFormat="1" applyBorder="1" applyAlignment="1">
      <alignment horizontal="right" indent="1"/>
    </xf>
    <xf numFmtId="0" fontId="0" fillId="2" borderId="69" xfId="0" applyFill="1" applyBorder="1" applyAlignment="1">
      <alignment horizontal="centerContinuous" vertical="center"/>
    </xf>
    <xf numFmtId="3" fontId="2" fillId="2" borderId="0" xfId="0" applyNumberFormat="1" applyFont="1" applyFill="1" applyAlignment="1">
      <alignment horizontal="center" vertical="center"/>
    </xf>
    <xf numFmtId="3" fontId="2" fillId="5" borderId="70" xfId="0" applyNumberFormat="1" applyFont="1" applyFill="1" applyBorder="1" applyAlignment="1">
      <alignment horizontal="center" vertical="center"/>
    </xf>
    <xf numFmtId="3" fontId="0" fillId="5" borderId="11" xfId="0" applyNumberFormat="1" applyFill="1" applyBorder="1" applyAlignment="1">
      <alignment horizontal="right" indent="1"/>
    </xf>
    <xf numFmtId="3" fontId="2" fillId="0" borderId="70" xfId="0" applyNumberFormat="1" applyFont="1" applyBorder="1" applyAlignment="1">
      <alignment horizontal="right" vertical="center" indent="1"/>
    </xf>
    <xf numFmtId="3" fontId="0" fillId="0" borderId="14" xfId="0" applyNumberFormat="1" applyBorder="1" applyAlignment="1">
      <alignment horizontal="right" vertical="center" indent="1"/>
    </xf>
    <xf numFmtId="3" fontId="0" fillId="0" borderId="14" xfId="0" applyNumberFormat="1" applyBorder="1" applyAlignment="1">
      <alignment horizontal="right" indent="1"/>
    </xf>
    <xf numFmtId="3" fontId="0" fillId="0" borderId="9" xfId="0" applyNumberFormat="1" applyBorder="1" applyAlignment="1">
      <alignment horizontal="right" vertical="center" indent="1"/>
    </xf>
    <xf numFmtId="169" fontId="0" fillId="0" borderId="70" xfId="0" applyNumberFormat="1" applyBorder="1" applyAlignment="1">
      <alignment horizontal="right" indent="1"/>
    </xf>
    <xf numFmtId="169" fontId="0" fillId="0" borderId="14" xfId="0" applyNumberFormat="1" applyBorder="1" applyAlignment="1">
      <alignment horizontal="right" indent="1"/>
    </xf>
    <xf numFmtId="169" fontId="0" fillId="0" borderId="11" xfId="0" applyNumberFormat="1" applyBorder="1" applyAlignment="1">
      <alignment horizontal="right" indent="1"/>
    </xf>
    <xf numFmtId="169" fontId="5" fillId="2" borderId="69" xfId="903" applyNumberFormat="1" applyFont="1" applyFill="1" applyBorder="1" applyAlignment="1">
      <alignment horizontal="center"/>
    </xf>
    <xf numFmtId="186" fontId="4" fillId="2" borderId="5" xfId="903" applyFill="1" applyBorder="1" applyAlignment="1">
      <alignment horizontal="right" vertical="center"/>
    </xf>
    <xf numFmtId="186" fontId="4" fillId="2" borderId="4" xfId="903" applyFill="1" applyBorder="1" applyAlignment="1">
      <alignment horizontal="right" vertical="center"/>
    </xf>
    <xf numFmtId="170" fontId="4" fillId="2" borderId="0" xfId="903" applyNumberFormat="1" applyFill="1" applyAlignment="1">
      <alignment horizontal="right" vertical="center"/>
    </xf>
    <xf numFmtId="3" fontId="3" fillId="2" borderId="7" xfId="903" applyNumberFormat="1" applyFont="1" applyFill="1" applyBorder="1" applyAlignment="1">
      <alignment horizontal="left"/>
    </xf>
    <xf numFmtId="3" fontId="3" fillId="2" borderId="8" xfId="903" applyNumberFormat="1" applyFont="1" applyFill="1" applyBorder="1" applyAlignment="1">
      <alignment horizontal="left"/>
    </xf>
    <xf numFmtId="186" fontId="3" fillId="2" borderId="5" xfId="903" applyFont="1" applyFill="1" applyBorder="1" applyAlignment="1">
      <alignment horizontal="right"/>
    </xf>
    <xf numFmtId="3" fontId="3" fillId="2" borderId="5" xfId="903" applyNumberFormat="1" applyFont="1" applyFill="1" applyBorder="1" applyAlignment="1">
      <alignment horizontal="center"/>
    </xf>
    <xf numFmtId="3" fontId="3" fillId="2" borderId="5" xfId="903" applyNumberFormat="1" applyFont="1" applyFill="1" applyBorder="1" applyAlignment="1">
      <alignment horizontal="right"/>
    </xf>
    <xf numFmtId="186" fontId="2" fillId="2" borderId="5" xfId="903" applyFont="1" applyFill="1" applyBorder="1" applyAlignment="1">
      <alignment horizontal="right"/>
    </xf>
    <xf numFmtId="4" fontId="3" fillId="2" borderId="5" xfId="903" applyNumberFormat="1" applyFont="1" applyFill="1" applyBorder="1" applyAlignment="1">
      <alignment horizontal="right"/>
    </xf>
    <xf numFmtId="186" fontId="5" fillId="2" borderId="5" xfId="903" applyFont="1" applyFill="1" applyBorder="1" applyAlignment="1">
      <alignment horizontal="right"/>
    </xf>
    <xf numFmtId="186" fontId="4" fillId="2" borderId="5" xfId="903" applyFill="1" applyBorder="1" applyAlignment="1">
      <alignment horizontal="right"/>
    </xf>
    <xf numFmtId="170" fontId="3" fillId="2" borderId="7" xfId="903" applyNumberFormat="1" applyFont="1" applyFill="1" applyBorder="1" applyAlignment="1">
      <alignment horizontal="right"/>
    </xf>
    <xf numFmtId="186" fontId="4" fillId="2" borderId="8" xfId="903" applyFill="1" applyBorder="1" applyAlignment="1">
      <alignment horizontal="right"/>
    </xf>
    <xf numFmtId="170" fontId="5" fillId="2" borderId="0" xfId="903" applyNumberFormat="1" applyFont="1" applyFill="1" applyAlignment="1">
      <alignment horizontal="right"/>
    </xf>
    <xf numFmtId="170" fontId="4" fillId="2" borderId="0" xfId="903" applyNumberFormat="1" applyFill="1" applyAlignment="1">
      <alignment horizontal="right"/>
    </xf>
    <xf numFmtId="170" fontId="4" fillId="0" borderId="9" xfId="903" applyNumberFormat="1" applyBorder="1" applyAlignment="1">
      <alignment horizontal="right"/>
    </xf>
    <xf numFmtId="170" fontId="3" fillId="5" borderId="9" xfId="903" applyNumberFormat="1" applyFont="1" applyFill="1" applyBorder="1" applyAlignment="1">
      <alignment horizontal="right"/>
    </xf>
    <xf numFmtId="186" fontId="0" fillId="2" borderId="0" xfId="1" applyFont="1" applyFill="1" applyAlignment="1">
      <alignment horizontal="left" indent="4"/>
    </xf>
    <xf numFmtId="186" fontId="0" fillId="2" borderId="0" xfId="1" applyFont="1" applyFill="1" applyAlignment="1">
      <alignment horizontal="left" indent="6"/>
    </xf>
    <xf numFmtId="0" fontId="2" fillId="2" borderId="68" xfId="0" applyFont="1" applyFill="1" applyBorder="1" applyAlignment="1">
      <alignment horizontal="centerContinuous" vertical="center" wrapText="1"/>
    </xf>
    <xf numFmtId="184" fontId="0" fillId="2" borderId="5" xfId="1531" applyNumberFormat="1" applyFont="1" applyFill="1" applyBorder="1" applyAlignment="1" applyProtection="1">
      <alignment horizontal="right" indent="1"/>
    </xf>
    <xf numFmtId="1" fontId="0" fillId="3" borderId="0" xfId="0" applyNumberFormat="1" applyFill="1" applyAlignment="1">
      <alignment vertical="center"/>
    </xf>
    <xf numFmtId="3" fontId="2" fillId="2" borderId="5" xfId="0" applyNumberFormat="1" applyFont="1" applyFill="1" applyBorder="1" applyAlignment="1">
      <alignment horizontal="right" vertical="center" indent="1"/>
    </xf>
    <xf numFmtId="0" fontId="3" fillId="2" borderId="0" xfId="0" applyFont="1" applyFill="1" applyAlignment="1">
      <alignment horizontal="left" indent="8"/>
    </xf>
    <xf numFmtId="4" fontId="0" fillId="3" borderId="0" xfId="0" applyNumberFormat="1" applyFill="1"/>
    <xf numFmtId="169" fontId="0" fillId="5" borderId="70" xfId="0" applyNumberFormat="1" applyFill="1" applyBorder="1" applyAlignment="1">
      <alignment horizontal="right" indent="1"/>
    </xf>
    <xf numFmtId="169" fontId="0" fillId="5" borderId="14" xfId="0" applyNumberFormat="1" applyFill="1" applyBorder="1" applyAlignment="1">
      <alignment horizontal="right" indent="1"/>
    </xf>
    <xf numFmtId="169" fontId="0" fillId="5" borderId="11" xfId="0" applyNumberFormat="1" applyFill="1" applyBorder="1" applyAlignment="1">
      <alignment horizontal="right" indent="1"/>
    </xf>
    <xf numFmtId="169" fontId="0" fillId="5" borderId="9" xfId="0" applyNumberFormat="1" applyFill="1" applyBorder="1" applyAlignment="1">
      <alignment horizontal="right" indent="1"/>
    </xf>
    <xf numFmtId="0" fontId="2" fillId="2" borderId="69" xfId="0" applyFont="1" applyFill="1" applyBorder="1" applyAlignment="1">
      <alignment horizontal="left" vertical="center"/>
    </xf>
    <xf numFmtId="2" fontId="0" fillId="0" borderId="9" xfId="0" applyNumberFormat="1" applyBorder="1" applyAlignment="1">
      <alignment horizontal="center" vertical="center"/>
    </xf>
    <xf numFmtId="2" fontId="2" fillId="2" borderId="0" xfId="0" applyNumberFormat="1" applyFont="1" applyFill="1" applyAlignment="1">
      <alignment horizontal="right" vertical="center"/>
    </xf>
    <xf numFmtId="170" fontId="0" fillId="2" borderId="7" xfId="0" applyNumberFormat="1" applyFill="1" applyBorder="1" applyAlignment="1">
      <alignment horizontal="center" vertical="center"/>
    </xf>
    <xf numFmtId="0" fontId="2" fillId="2" borderId="5" xfId="0" applyFont="1" applyFill="1" applyBorder="1" applyAlignment="1">
      <alignment horizontal="left" vertical="center"/>
    </xf>
    <xf numFmtId="170" fontId="2" fillId="2" borderId="0" xfId="0" applyNumberFormat="1" applyFont="1" applyFill="1" applyAlignment="1">
      <alignment horizontal="center"/>
    </xf>
    <xf numFmtId="3" fontId="3" fillId="0" borderId="9" xfId="0" applyNumberFormat="1" applyFont="1" applyBorder="1" applyAlignment="1">
      <alignment horizontal="right"/>
    </xf>
    <xf numFmtId="1" fontId="3" fillId="2" borderId="0" xfId="0" applyNumberFormat="1" applyFont="1" applyFill="1" applyAlignment="1">
      <alignment horizontal="right" vertical="center"/>
    </xf>
    <xf numFmtId="0" fontId="129" fillId="0" borderId="0" xfId="0" applyFont="1"/>
    <xf numFmtId="3" fontId="61" fillId="81" borderId="0" xfId="1201" applyNumberFormat="1" applyFont="1" applyFill="1"/>
    <xf numFmtId="3" fontId="61" fillId="2" borderId="0" xfId="1205" applyNumberFormat="1" applyFont="1" applyFill="1" applyAlignment="1">
      <alignment horizontal="right"/>
    </xf>
    <xf numFmtId="3" fontId="61" fillId="2" borderId="0" xfId="1205" applyNumberFormat="1" applyFont="1" applyFill="1"/>
    <xf numFmtId="2" fontId="61" fillId="81" borderId="0" xfId="3" applyNumberFormat="1" applyFont="1" applyFill="1" applyAlignment="1">
      <alignment horizontal="centerContinuous"/>
    </xf>
    <xf numFmtId="2" fontId="61" fillId="81" borderId="0" xfId="1201" applyNumberFormat="1" applyFont="1" applyFill="1" applyAlignment="1">
      <alignment horizontal="centerContinuous"/>
    </xf>
    <xf numFmtId="183" fontId="61" fillId="81" borderId="0" xfId="1201" applyFont="1" applyFill="1"/>
    <xf numFmtId="183" fontId="50" fillId="51" borderId="0" xfId="1206" applyFont="1" applyFill="1"/>
    <xf numFmtId="182" fontId="3" fillId="2" borderId="0" xfId="2" applyNumberFormat="1" applyFont="1" applyFill="1" applyBorder="1" applyAlignment="1">
      <alignment horizontal="right"/>
    </xf>
    <xf numFmtId="3" fontId="62" fillId="2" borderId="0" xfId="0" applyNumberFormat="1" applyFont="1" applyFill="1" applyAlignment="1">
      <alignment horizontal="right"/>
    </xf>
    <xf numFmtId="4" fontId="3" fillId="2" borderId="0" xfId="0" applyNumberFormat="1" applyFont="1" applyFill="1" applyAlignment="1">
      <alignment horizontal="right"/>
    </xf>
    <xf numFmtId="10" fontId="0" fillId="2" borderId="8" xfId="0" applyNumberFormat="1" applyFill="1" applyBorder="1" applyAlignment="1">
      <alignment horizontal="right"/>
    </xf>
    <xf numFmtId="186" fontId="3" fillId="2" borderId="0" xfId="0" applyNumberFormat="1" applyFont="1" applyFill="1" applyAlignment="1">
      <alignment horizontal="right" wrapText="1"/>
    </xf>
    <xf numFmtId="170" fontId="0" fillId="2" borderId="7" xfId="0" quotePrefix="1" applyNumberFormat="1" applyFill="1" applyBorder="1" applyAlignment="1">
      <alignment horizontal="center" vertical="top"/>
    </xf>
    <xf numFmtId="186" fontId="24" fillId="0" borderId="0" xfId="1213" applyAlignment="1" applyProtection="1"/>
    <xf numFmtId="0" fontId="2" fillId="49" borderId="0" xfId="0" applyFont="1" applyFill="1"/>
    <xf numFmtId="0" fontId="129" fillId="0" borderId="0" xfId="0" quotePrefix="1" applyFont="1"/>
    <xf numFmtId="2" fontId="5" fillId="2" borderId="0" xfId="0" applyNumberFormat="1" applyFont="1" applyFill="1" applyAlignment="1">
      <alignment horizontal="center"/>
    </xf>
    <xf numFmtId="1" fontId="0" fillId="2" borderId="6" xfId="0" applyNumberFormat="1" applyFill="1" applyBorder="1" applyAlignment="1">
      <alignment horizontal="center" vertical="center"/>
    </xf>
    <xf numFmtId="2" fontId="11" fillId="48" borderId="9" xfId="0" applyNumberFormat="1" applyFont="1" applyFill="1" applyBorder="1" applyAlignment="1">
      <alignment horizontal="center"/>
    </xf>
    <xf numFmtId="0" fontId="0" fillId="48" borderId="0" xfId="0" applyFill="1"/>
    <xf numFmtId="2" fontId="11" fillId="5" borderId="9" xfId="0" applyNumberFormat="1" applyFont="1" applyFill="1" applyBorder="1" applyAlignment="1">
      <alignment horizontal="center"/>
    </xf>
    <xf numFmtId="224" fontId="3" fillId="2" borderId="0" xfId="0" applyNumberFormat="1" applyFont="1" applyFill="1"/>
    <xf numFmtId="168" fontId="2" fillId="3" borderId="0" xfId="2" applyFont="1" applyFill="1" applyBorder="1" applyAlignment="1">
      <alignment horizontal="center" vertical="center"/>
    </xf>
    <xf numFmtId="168" fontId="0" fillId="3" borderId="0" xfId="2" applyFont="1" applyFill="1" applyAlignment="1">
      <alignment horizontal="center" vertical="center"/>
    </xf>
    <xf numFmtId="0" fontId="0" fillId="48" borderId="0" xfId="0" applyFill="1" applyAlignment="1">
      <alignment horizontal="left" indent="2"/>
    </xf>
    <xf numFmtId="0" fontId="0" fillId="48" borderId="4" xfId="0" applyFill="1" applyBorder="1" applyAlignment="1">
      <alignment horizontal="left" indent="1"/>
    </xf>
    <xf numFmtId="169" fontId="0" fillId="48" borderId="0" xfId="0" applyNumberFormat="1" applyFill="1" applyAlignment="1">
      <alignment horizontal="right" indent="1"/>
    </xf>
    <xf numFmtId="168" fontId="0" fillId="3" borderId="0" xfId="2" applyFont="1" applyFill="1"/>
    <xf numFmtId="168" fontId="0" fillId="2" borderId="0" xfId="2" applyFont="1" applyFill="1" applyBorder="1" applyAlignment="1">
      <alignment horizontal="right" indent="1"/>
    </xf>
    <xf numFmtId="2" fontId="49" fillId="3" borderId="0" xfId="0" applyNumberFormat="1" applyFont="1" applyFill="1" applyAlignment="1">
      <alignment horizontal="centerContinuous"/>
    </xf>
    <xf numFmtId="2" fontId="49" fillId="3" borderId="0" xfId="0" applyNumberFormat="1" applyFont="1" applyFill="1" applyAlignment="1">
      <alignment horizontal="center"/>
    </xf>
    <xf numFmtId="186" fontId="2" fillId="2" borderId="0" xfId="0" applyNumberFormat="1" applyFont="1" applyFill="1" applyAlignment="1">
      <alignment horizontal="center" wrapText="1"/>
    </xf>
    <xf numFmtId="3" fontId="3" fillId="2" borderId="0" xfId="1200" applyNumberFormat="1" applyFont="1" applyFill="1"/>
    <xf numFmtId="186" fontId="3" fillId="2" borderId="0" xfId="1200" applyFont="1" applyFill="1"/>
    <xf numFmtId="169" fontId="3" fillId="2" borderId="0" xfId="1200" applyNumberFormat="1" applyFont="1" applyFill="1"/>
    <xf numFmtId="169" fontId="3" fillId="2" borderId="0" xfId="1200" applyNumberFormat="1" applyFont="1" applyFill="1" applyAlignment="1">
      <alignment horizontal="right"/>
    </xf>
    <xf numFmtId="0" fontId="0" fillId="3" borderId="42" xfId="0" applyFill="1" applyBorder="1"/>
    <xf numFmtId="0" fontId="0" fillId="2" borderId="47" xfId="0" applyFill="1" applyBorder="1"/>
    <xf numFmtId="1" fontId="0" fillId="2" borderId="0" xfId="0" applyNumberFormat="1" applyFill="1" applyAlignment="1">
      <alignment horizontal="center"/>
    </xf>
    <xf numFmtId="1" fontId="0" fillId="2" borderId="42" xfId="0" applyNumberFormat="1" applyFill="1" applyBorder="1" applyAlignment="1">
      <alignment horizontal="center"/>
    </xf>
    <xf numFmtId="170" fontId="0" fillId="2" borderId="42" xfId="0" applyNumberFormat="1" applyFill="1" applyBorder="1" applyAlignment="1">
      <alignment horizontal="center"/>
    </xf>
    <xf numFmtId="3" fontId="3" fillId="2" borderId="5" xfId="0" applyNumberFormat="1" applyFont="1" applyFill="1" applyBorder="1" applyAlignment="1">
      <alignment horizontal="right" indent="1"/>
    </xf>
    <xf numFmtId="169" fontId="3" fillId="0" borderId="9" xfId="0" applyNumberFormat="1" applyFont="1" applyBorder="1" applyAlignment="1">
      <alignment horizontal="right"/>
    </xf>
    <xf numFmtId="1" fontId="5" fillId="5" borderId="9" xfId="0" applyNumberFormat="1" applyFont="1" applyFill="1" applyBorder="1" applyAlignment="1">
      <alignment horizontal="center"/>
    </xf>
    <xf numFmtId="3" fontId="3" fillId="2" borderId="0" xfId="0" quotePrefix="1" applyNumberFormat="1" applyFont="1" applyFill="1" applyAlignment="1">
      <alignment horizontal="right"/>
    </xf>
    <xf numFmtId="170" fontId="3" fillId="2" borderId="0" xfId="0" quotePrefix="1" applyNumberFormat="1" applyFont="1" applyFill="1" applyAlignment="1">
      <alignment horizontal="right"/>
    </xf>
    <xf numFmtId="2" fontId="0" fillId="0" borderId="65" xfId="0" applyNumberFormat="1" applyBorder="1"/>
    <xf numFmtId="2" fontId="0" fillId="3" borderId="0" xfId="2" applyNumberFormat="1" applyFont="1" applyFill="1" applyAlignment="1">
      <alignment horizontal="right" indent="1"/>
    </xf>
    <xf numFmtId="9" fontId="2" fillId="2" borderId="69" xfId="1531" applyNumberFormat="1" applyFont="1" applyFill="1" applyBorder="1" applyAlignment="1" applyProtection="1">
      <alignment horizontal="centerContinuous" vertical="center" wrapText="1"/>
    </xf>
    <xf numFmtId="0" fontId="129" fillId="5" borderId="0" xfId="0" quotePrefix="1" applyFont="1" applyFill="1"/>
    <xf numFmtId="0" fontId="129" fillId="5" borderId="0" xfId="0" applyFont="1" applyFill="1"/>
    <xf numFmtId="3" fontId="62" fillId="2" borderId="5" xfId="0" applyNumberFormat="1" applyFont="1" applyFill="1" applyBorder="1" applyAlignment="1">
      <alignment horizontal="right" indent="1"/>
    </xf>
    <xf numFmtId="2" fontId="2" fillId="2" borderId="5" xfId="0" applyNumberFormat="1" applyFont="1" applyFill="1" applyBorder="1" applyAlignment="1">
      <alignment horizontal="centerContinuous" vertical="center"/>
    </xf>
    <xf numFmtId="1" fontId="5" fillId="2" borderId="5" xfId="1" applyNumberFormat="1" applyFont="1" applyFill="1" applyBorder="1" applyAlignment="1">
      <alignment horizontal="right" vertical="center"/>
    </xf>
    <xf numFmtId="3" fontId="5" fillId="2" borderId="5" xfId="0" applyNumberFormat="1" applyFont="1" applyFill="1" applyBorder="1" applyAlignment="1">
      <alignment horizontal="right" indent="1"/>
    </xf>
    <xf numFmtId="0" fontId="0" fillId="3" borderId="0" xfId="0" quotePrefix="1" applyFill="1" applyAlignment="1">
      <alignment horizontal="center" vertical="center"/>
    </xf>
    <xf numFmtId="169" fontId="61" fillId="81" borderId="0" xfId="1201" applyNumberFormat="1" applyFont="1" applyFill="1"/>
    <xf numFmtId="1" fontId="0" fillId="2" borderId="0" xfId="2" applyNumberFormat="1" applyFont="1" applyFill="1" applyBorder="1" applyAlignment="1">
      <alignment horizontal="center"/>
    </xf>
    <xf numFmtId="180" fontId="0" fillId="2" borderId="0" xfId="0" applyNumberFormat="1" applyFill="1" applyAlignment="1">
      <alignment horizontal="center" vertical="center"/>
    </xf>
    <xf numFmtId="170" fontId="0" fillId="5" borderId="0" xfId="0" applyNumberFormat="1" applyFill="1" applyAlignment="1">
      <alignment horizontal="center"/>
    </xf>
    <xf numFmtId="3" fontId="2" fillId="2" borderId="0" xfId="0" applyNumberFormat="1" applyFont="1" applyFill="1" applyAlignment="1">
      <alignment horizontal="right" vertical="center"/>
    </xf>
    <xf numFmtId="3" fontId="0" fillId="2" borderId="0" xfId="0" applyNumberFormat="1" applyFill="1" applyAlignment="1">
      <alignment horizontal="right" vertical="center"/>
    </xf>
    <xf numFmtId="3" fontId="2" fillId="2" borderId="0" xfId="0" applyNumberFormat="1" applyFont="1" applyFill="1" applyAlignment="1">
      <alignment horizontal="right"/>
    </xf>
    <xf numFmtId="0" fontId="2" fillId="2" borderId="0" xfId="0" applyFont="1" applyFill="1" applyAlignment="1">
      <alignment horizontal="right"/>
    </xf>
    <xf numFmtId="1" fontId="2" fillId="2" borderId="0" xfId="0" applyNumberFormat="1" applyFont="1" applyFill="1" applyAlignment="1">
      <alignment horizontal="right" vertical="center"/>
    </xf>
    <xf numFmtId="0" fontId="2" fillId="2" borderId="6" xfId="0" applyFont="1" applyFill="1" applyBorder="1" applyAlignment="1">
      <alignment horizontal="left" vertical="top"/>
    </xf>
    <xf numFmtId="2" fontId="3" fillId="5" borderId="9" xfId="0" applyNumberFormat="1" applyFont="1" applyFill="1" applyBorder="1" applyAlignment="1">
      <alignment horizontal="right" vertical="center"/>
    </xf>
    <xf numFmtId="184" fontId="0" fillId="2" borderId="0" xfId="1531" applyNumberFormat="1" applyFont="1" applyFill="1" applyAlignment="1" applyProtection="1">
      <alignment horizontal="right"/>
    </xf>
    <xf numFmtId="4" fontId="0" fillId="2" borderId="68" xfId="0" applyNumberFormat="1" applyFill="1" applyBorder="1" applyAlignment="1">
      <alignment horizontal="centerContinuous" vertical="center"/>
    </xf>
    <xf numFmtId="4" fontId="2" fillId="2" borderId="45" xfId="0" applyNumberFormat="1" applyFont="1" applyFill="1" applyBorder="1" applyAlignment="1">
      <alignment horizontal="centerContinuous" vertical="center" wrapText="1"/>
    </xf>
    <xf numFmtId="186" fontId="3" fillId="3" borderId="0" xfId="1139" applyFont="1" applyFill="1"/>
    <xf numFmtId="4" fontId="4" fillId="2" borderId="0" xfId="0" applyNumberFormat="1" applyFont="1" applyFill="1" applyAlignment="1">
      <alignment horizontal="centerContinuous" vertical="center"/>
    </xf>
    <xf numFmtId="186" fontId="3" fillId="2" borderId="4" xfId="1139" applyFont="1" applyFill="1" applyBorder="1"/>
    <xf numFmtId="186" fontId="5" fillId="2" borderId="0" xfId="1139" applyFont="1" applyFill="1"/>
    <xf numFmtId="186" fontId="3" fillId="2" borderId="5" xfId="1139" applyFont="1" applyFill="1" applyBorder="1"/>
    <xf numFmtId="186" fontId="3" fillId="2" borderId="0" xfId="1139" applyFont="1" applyFill="1"/>
    <xf numFmtId="170" fontId="3" fillId="2" borderId="0" xfId="1139" applyNumberFormat="1" applyFont="1" applyFill="1"/>
    <xf numFmtId="169" fontId="3" fillId="2" borderId="0" xfId="1139" applyNumberFormat="1" applyFont="1" applyFill="1"/>
    <xf numFmtId="170" fontId="3" fillId="2" borderId="0" xfId="1139" applyNumberFormat="1" applyFont="1" applyFill="1" applyAlignment="1">
      <alignment horizontal="right"/>
    </xf>
    <xf numFmtId="1" fontId="3" fillId="2" borderId="0" xfId="1139" applyNumberFormat="1" applyFont="1" applyFill="1"/>
    <xf numFmtId="3" fontId="3" fillId="2" borderId="0" xfId="1139" applyNumberFormat="1" applyFont="1" applyFill="1"/>
    <xf numFmtId="1" fontId="3" fillId="2" borderId="0" xfId="1139" applyNumberFormat="1" applyFont="1" applyFill="1" applyAlignment="1">
      <alignment horizontal="right"/>
    </xf>
    <xf numFmtId="2" fontId="3" fillId="2" borderId="0" xfId="1139" applyNumberFormat="1" applyFont="1" applyFill="1" applyAlignment="1">
      <alignment horizontal="right"/>
    </xf>
    <xf numFmtId="182" fontId="3" fillId="2" borderId="0" xfId="1204" applyNumberFormat="1" applyFont="1" applyFill="1" applyBorder="1"/>
    <xf numFmtId="182" fontId="3" fillId="2" borderId="0" xfId="1204" applyNumberFormat="1" applyFont="1" applyFill="1" applyBorder="1" applyAlignment="1"/>
    <xf numFmtId="181" fontId="3" fillId="2" borderId="0" xfId="1204" applyNumberFormat="1" applyFont="1" applyFill="1" applyBorder="1"/>
    <xf numFmtId="4" fontId="0" fillId="2" borderId="69" xfId="0" applyNumberFormat="1" applyFill="1" applyBorder="1" applyAlignment="1">
      <alignment horizontal="centerContinuous" vertical="center"/>
    </xf>
    <xf numFmtId="4" fontId="4" fillId="2" borderId="5" xfId="0" applyNumberFormat="1" applyFont="1" applyFill="1" applyBorder="1" applyAlignment="1">
      <alignment horizontal="centerContinuous" vertical="center"/>
    </xf>
    <xf numFmtId="186" fontId="3" fillId="2" borderId="6" xfId="1139" applyFont="1" applyFill="1" applyBorder="1"/>
    <xf numFmtId="186" fontId="3" fillId="2" borderId="61" xfId="1139" applyFont="1" applyFill="1" applyBorder="1"/>
    <xf numFmtId="170" fontId="3" fillId="2" borderId="61" xfId="1139" applyNumberFormat="1" applyFont="1" applyFill="1" applyBorder="1"/>
    <xf numFmtId="186" fontId="3" fillId="2" borderId="8" xfId="1139" applyFont="1" applyFill="1" applyBorder="1"/>
    <xf numFmtId="186" fontId="3" fillId="2" borderId="0" xfId="1139" applyFont="1" applyFill="1" applyAlignment="1">
      <alignment horizontal="left" indent="2"/>
    </xf>
    <xf numFmtId="0" fontId="5" fillId="2" borderId="4" xfId="0" applyFont="1" applyFill="1" applyBorder="1" applyAlignment="1">
      <alignment horizontal="center"/>
    </xf>
    <xf numFmtId="0" fontId="2" fillId="2" borderId="22" xfId="0" applyFont="1" applyFill="1" applyBorder="1" applyAlignment="1">
      <alignment horizontal="center" vertical="center"/>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1" fontId="5" fillId="2" borderId="5" xfId="0" applyNumberFormat="1" applyFont="1" applyFill="1" applyBorder="1" applyAlignment="1">
      <alignment horizontal="center"/>
    </xf>
    <xf numFmtId="0" fontId="0" fillId="2" borderId="0" xfId="0" applyFill="1" applyAlignment="1">
      <alignment horizontal="right"/>
    </xf>
    <xf numFmtId="0" fontId="3" fillId="2" borderId="5" xfId="0" applyFont="1" applyFill="1" applyBorder="1" applyAlignment="1">
      <alignment horizontal="right"/>
    </xf>
    <xf numFmtId="170" fontId="3" fillId="2" borderId="5" xfId="0" applyNumberFormat="1" applyFont="1" applyFill="1" applyBorder="1" applyAlignment="1">
      <alignment horizontal="right"/>
    </xf>
    <xf numFmtId="170" fontId="3" fillId="3" borderId="0" xfId="0" applyNumberFormat="1" applyFont="1" applyFill="1" applyAlignment="1">
      <alignment horizontal="right"/>
    </xf>
    <xf numFmtId="2" fontId="3" fillId="2" borderId="0" xfId="0" applyNumberFormat="1" applyFont="1" applyFill="1" applyAlignment="1">
      <alignment horizontal="right"/>
    </xf>
    <xf numFmtId="170" fontId="3" fillId="2" borderId="5" xfId="0" applyNumberFormat="1" applyFont="1" applyFill="1" applyBorder="1" applyAlignment="1">
      <alignment horizontal="center"/>
    </xf>
    <xf numFmtId="0" fontId="3" fillId="2" borderId="67" xfId="0" applyFont="1" applyFill="1" applyBorder="1"/>
    <xf numFmtId="0" fontId="3" fillId="2" borderId="69" xfId="0" applyFont="1" applyFill="1" applyBorder="1"/>
    <xf numFmtId="0" fontId="3" fillId="2" borderId="42" xfId="0" applyFont="1" applyFill="1" applyBorder="1" applyAlignment="1">
      <alignment horizontal="right"/>
    </xf>
    <xf numFmtId="0" fontId="3" fillId="2" borderId="45" xfId="0" applyFont="1" applyFill="1" applyBorder="1" applyAlignment="1">
      <alignment horizontal="right"/>
    </xf>
    <xf numFmtId="168" fontId="3" fillId="2" borderId="0" xfId="2" applyFont="1" applyFill="1" applyBorder="1"/>
    <xf numFmtId="170" fontId="3" fillId="3" borderId="0" xfId="0" applyNumberFormat="1" applyFont="1" applyFill="1"/>
    <xf numFmtId="182" fontId="3" fillId="2" borderId="0" xfId="2" applyNumberFormat="1" applyFont="1" applyFill="1" applyBorder="1"/>
    <xf numFmtId="2" fontId="3" fillId="2" borderId="42" xfId="0" applyNumberFormat="1" applyFont="1" applyFill="1" applyBorder="1"/>
    <xf numFmtId="184" fontId="3" fillId="2" borderId="42" xfId="1531" applyNumberFormat="1" applyFont="1" applyFill="1" applyBorder="1" applyProtection="1"/>
    <xf numFmtId="3" fontId="3" fillId="3" borderId="0" xfId="0" applyNumberFormat="1" applyFont="1" applyFill="1"/>
    <xf numFmtId="9" fontId="3" fillId="3" borderId="0" xfId="1531" applyNumberFormat="1" applyFont="1" applyFill="1" applyProtection="1"/>
    <xf numFmtId="184" fontId="0" fillId="44" borderId="0" xfId="1531" applyNumberFormat="1" applyFont="1" applyFill="1" applyAlignment="1" applyProtection="1">
      <alignment horizontal="right" indent="1"/>
    </xf>
    <xf numFmtId="2" fontId="0" fillId="44" borderId="0" xfId="0" applyNumberFormat="1" applyFill="1" applyAlignment="1">
      <alignment horizontal="right" indent="1"/>
    </xf>
    <xf numFmtId="9" fontId="0" fillId="44" borderId="0" xfId="0" applyNumberFormat="1" applyFill="1" applyAlignment="1">
      <alignment horizontal="right" indent="1"/>
    </xf>
    <xf numFmtId="0" fontId="2" fillId="2" borderId="0" xfId="0" applyFont="1" applyFill="1" applyAlignment="1">
      <alignment horizontal="centerContinuous" vertical="center" wrapText="1"/>
    </xf>
    <xf numFmtId="1" fontId="2" fillId="2" borderId="5" xfId="0" applyNumberFormat="1" applyFont="1" applyFill="1" applyBorder="1" applyAlignment="1">
      <alignment horizontal="right" vertical="center" indent="1"/>
    </xf>
    <xf numFmtId="3" fontId="0" fillId="2" borderId="5" xfId="0" applyNumberFormat="1" applyFill="1" applyBorder="1" applyAlignment="1">
      <alignment horizontal="centerContinuous" vertical="center"/>
    </xf>
    <xf numFmtId="3" fontId="0" fillId="2" borderId="5" xfId="0" applyNumberFormat="1" applyFill="1" applyBorder="1" applyAlignment="1">
      <alignment horizontal="center" vertical="center"/>
    </xf>
    <xf numFmtId="170" fontId="0" fillId="2" borderId="5" xfId="0" applyNumberFormat="1" applyFill="1" applyBorder="1" applyAlignment="1">
      <alignment horizontal="right" vertical="center"/>
    </xf>
    <xf numFmtId="1" fontId="0" fillId="2" borderId="5" xfId="0" applyNumberFormat="1" applyFill="1" applyBorder="1" applyAlignment="1">
      <alignment horizontal="right" vertical="center"/>
    </xf>
    <xf numFmtId="0" fontId="0" fillId="2" borderId="42" xfId="0" applyFill="1" applyBorder="1" applyAlignment="1">
      <alignment horizontal="left" indent="1"/>
    </xf>
    <xf numFmtId="0" fontId="66" fillId="2" borderId="69" xfId="0" applyFont="1" applyFill="1" applyBorder="1" applyAlignment="1">
      <alignment horizontal="centerContinuous" vertical="top" wrapText="1"/>
    </xf>
    <xf numFmtId="0" fontId="66" fillId="2" borderId="45" xfId="0" applyFont="1" applyFill="1" applyBorder="1" applyAlignment="1">
      <alignment horizontal="centerContinuous" vertical="top" wrapText="1"/>
    </xf>
    <xf numFmtId="0" fontId="0" fillId="2" borderId="67" xfId="0" applyFill="1" applyBorder="1" applyAlignment="1">
      <alignment horizontal="right" indent="1"/>
    </xf>
    <xf numFmtId="0" fontId="0" fillId="2" borderId="4" xfId="0" applyFill="1" applyBorder="1" applyAlignment="1">
      <alignment horizontal="right" indent="1"/>
    </xf>
    <xf numFmtId="0" fontId="0" fillId="3" borderId="0" xfId="0" applyFill="1" applyAlignment="1">
      <alignment horizontal="centerContinuous" vertical="center"/>
    </xf>
    <xf numFmtId="0" fontId="0" fillId="2" borderId="0" xfId="0" applyFill="1" applyAlignment="1">
      <alignment horizontal="left" vertical="center"/>
    </xf>
    <xf numFmtId="0" fontId="0" fillId="2" borderId="0" xfId="1531" applyNumberFormat="1" applyFont="1" applyFill="1" applyAlignment="1" applyProtection="1">
      <alignment horizontal="center" vertical="center"/>
    </xf>
    <xf numFmtId="0" fontId="0" fillId="2" borderId="5" xfId="0" quotePrefix="1" applyFill="1" applyBorder="1" applyAlignment="1">
      <alignment horizontal="right" indent="1"/>
    </xf>
    <xf numFmtId="0" fontId="0" fillId="3" borderId="0" xfId="0" quotePrefix="1" applyFill="1" applyAlignment="1">
      <alignment horizontal="right" indent="1"/>
    </xf>
    <xf numFmtId="0" fontId="0" fillId="2" borderId="6" xfId="0" applyFill="1" applyBorder="1" applyAlignment="1">
      <alignment horizontal="right" indent="1"/>
    </xf>
    <xf numFmtId="0" fontId="0" fillId="2" borderId="42" xfId="1531" applyNumberFormat="1" applyFont="1" applyFill="1" applyBorder="1" applyAlignment="1" applyProtection="1">
      <alignment horizontal="center" vertical="center"/>
    </xf>
    <xf numFmtId="0" fontId="0" fillId="3" borderId="0" xfId="0" applyFill="1" applyAlignment="1">
      <alignment horizontal="left" indent="4"/>
    </xf>
    <xf numFmtId="184" fontId="0" fillId="2" borderId="0" xfId="0" applyNumberFormat="1" applyFill="1"/>
    <xf numFmtId="184" fontId="0" fillId="2" borderId="0" xfId="0" applyNumberFormat="1" applyFill="1" applyAlignment="1">
      <alignment horizontal="center" vertical="center"/>
    </xf>
    <xf numFmtId="0" fontId="2" fillId="2" borderId="69" xfId="0" applyFont="1" applyFill="1" applyBorder="1" applyAlignment="1">
      <alignment horizontal="right" vertical="center" indent="1"/>
    </xf>
    <xf numFmtId="1" fontId="62" fillId="3" borderId="0" xfId="0" applyNumberFormat="1" applyFont="1" applyFill="1"/>
    <xf numFmtId="0" fontId="0" fillId="3" borderId="0" xfId="1531" applyNumberFormat="1" applyFont="1" applyFill="1" applyProtection="1"/>
    <xf numFmtId="0" fontId="0" fillId="3" borderId="0" xfId="0" applyFill="1" applyAlignment="1">
      <alignment horizontal="left" indent="2"/>
    </xf>
    <xf numFmtId="0" fontId="62" fillId="3" borderId="0" xfId="0" applyFont="1" applyFill="1" applyAlignment="1">
      <alignment horizontal="left" indent="3"/>
    </xf>
    <xf numFmtId="0" fontId="0" fillId="3" borderId="0" xfId="0" applyFill="1" applyAlignment="1">
      <alignment horizontal="left" indent="3"/>
    </xf>
    <xf numFmtId="0" fontId="0" fillId="2" borderId="4" xfId="0" applyFill="1" applyBorder="1" applyAlignment="1">
      <alignment horizontal="centerContinuous" vertical="center" wrapText="1"/>
    </xf>
    <xf numFmtId="0" fontId="2" fillId="2" borderId="5" xfId="0" applyFont="1" applyFill="1" applyBorder="1" applyAlignment="1">
      <alignment horizontal="centerContinuous" vertical="center" wrapText="1"/>
    </xf>
    <xf numFmtId="169" fontId="0" fillId="2" borderId="69" xfId="0" applyNumberFormat="1" applyFill="1" applyBorder="1" applyAlignment="1">
      <alignment horizontal="right" indent="1"/>
    </xf>
    <xf numFmtId="0" fontId="0" fillId="3" borderId="0" xfId="0" applyFill="1" applyAlignment="1">
      <alignment horizontal="left" vertical="center" indent="1"/>
    </xf>
    <xf numFmtId="3" fontId="0" fillId="2" borderId="0" xfId="0" applyNumberFormat="1" applyFill="1" applyAlignment="1">
      <alignment horizontal="right"/>
    </xf>
    <xf numFmtId="0" fontId="0" fillId="3" borderId="0" xfId="0" applyFill="1" applyAlignment="1">
      <alignment horizontal="left" indent="6"/>
    </xf>
    <xf numFmtId="0" fontId="0" fillId="3" borderId="0" xfId="0" applyFill="1" applyAlignment="1">
      <alignment horizontal="left" indent="5"/>
    </xf>
    <xf numFmtId="0" fontId="0" fillId="3" borderId="0" xfId="0" applyFill="1" applyAlignment="1">
      <alignment horizontal="left" indent="7"/>
    </xf>
    <xf numFmtId="169" fontId="0" fillId="2" borderId="0" xfId="0" applyNumberFormat="1" applyFill="1" applyAlignment="1">
      <alignment horizontal="right"/>
    </xf>
    <xf numFmtId="0" fontId="0" fillId="2" borderId="4" xfId="0" applyFill="1" applyBorder="1" applyAlignment="1">
      <alignment horizontal="left" indent="2"/>
    </xf>
    <xf numFmtId="170" fontId="0" fillId="2" borderId="0" xfId="0" applyNumberFormat="1" applyFill="1" applyAlignment="1">
      <alignment horizontal="right"/>
    </xf>
    <xf numFmtId="3" fontId="0" fillId="2" borderId="42" xfId="0" applyNumberFormat="1" applyFill="1" applyBorder="1" applyAlignment="1">
      <alignment horizontal="right" indent="1"/>
    </xf>
    <xf numFmtId="3" fontId="2" fillId="2" borderId="42" xfId="0" applyNumberFormat="1" applyFont="1" applyFill="1" applyBorder="1" applyAlignment="1">
      <alignment horizontal="right" indent="1"/>
    </xf>
    <xf numFmtId="4" fontId="2" fillId="2" borderId="0" xfId="0" applyNumberFormat="1" applyFont="1" applyFill="1" applyAlignment="1">
      <alignment horizontal="centerContinuous" vertical="center" wrapText="1"/>
    </xf>
    <xf numFmtId="3" fontId="11" fillId="5" borderId="9" xfId="0" applyNumberFormat="1" applyFont="1" applyFill="1" applyBorder="1" applyAlignment="1">
      <alignment horizontal="center"/>
    </xf>
    <xf numFmtId="0" fontId="2" fillId="3" borderId="50" xfId="0" applyFont="1" applyFill="1" applyBorder="1" applyAlignment="1">
      <alignment horizontal="left" vertical="center"/>
    </xf>
    <xf numFmtId="0" fontId="0" fillId="3" borderId="18" xfId="0" applyFill="1" applyBorder="1" applyAlignment="1">
      <alignment horizontal="center" vertical="center"/>
    </xf>
    <xf numFmtId="0" fontId="43" fillId="3" borderId="67" xfId="0" applyFont="1" applyFill="1" applyBorder="1" applyAlignment="1">
      <alignment horizontal="center" vertical="center"/>
    </xf>
    <xf numFmtId="0" fontId="44" fillId="3" borderId="68" xfId="0" applyFont="1" applyFill="1" applyBorder="1" applyAlignment="1">
      <alignment horizontal="center" vertical="center"/>
    </xf>
    <xf numFmtId="0" fontId="43" fillId="3" borderId="69" xfId="0" applyFont="1" applyFill="1" applyBorder="1" applyAlignment="1">
      <alignment horizontal="center" vertical="center"/>
    </xf>
    <xf numFmtId="0" fontId="2" fillId="5" borderId="0" xfId="0" applyFont="1" applyFill="1" applyAlignment="1">
      <alignment horizontal="center" vertical="center"/>
    </xf>
    <xf numFmtId="0" fontId="2" fillId="5" borderId="5"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6" xfId="0" applyFont="1" applyFill="1" applyBorder="1" applyAlignment="1">
      <alignment horizontal="left"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2" fillId="5" borderId="67" xfId="0" applyFont="1" applyFill="1" applyBorder="1" applyAlignment="1">
      <alignment horizontal="left" vertical="center"/>
    </xf>
    <xf numFmtId="0" fontId="2" fillId="5" borderId="45" xfId="0" applyFont="1" applyFill="1" applyBorder="1" applyAlignment="1">
      <alignment horizontal="center" vertical="center"/>
    </xf>
    <xf numFmtId="0" fontId="2" fillId="5" borderId="69" xfId="0" applyFont="1" applyFill="1" applyBorder="1" applyAlignment="1">
      <alignment horizontal="center" vertical="center"/>
    </xf>
    <xf numFmtId="0" fontId="5" fillId="2" borderId="0" xfId="0" applyFont="1" applyFill="1" applyAlignment="1">
      <alignment horizontal="centerContinuous"/>
    </xf>
    <xf numFmtId="0" fontId="5" fillId="2" borderId="67" xfId="0" applyFont="1" applyFill="1" applyBorder="1" applyAlignment="1">
      <alignment horizontal="centerContinuous"/>
    </xf>
    <xf numFmtId="0" fontId="5" fillId="2" borderId="69" xfId="0" applyFont="1" applyFill="1" applyBorder="1" applyAlignment="1">
      <alignment horizontal="centerContinuous"/>
    </xf>
    <xf numFmtId="0" fontId="67" fillId="2" borderId="5" xfId="0" applyFont="1" applyFill="1" applyBorder="1" applyAlignment="1">
      <alignment horizontal="center" vertical="center"/>
    </xf>
    <xf numFmtId="2" fontId="0" fillId="2" borderId="4" xfId="0" applyNumberFormat="1" applyFill="1" applyBorder="1" applyAlignment="1">
      <alignment horizontal="center" vertical="center"/>
    </xf>
    <xf numFmtId="2" fontId="0" fillId="2" borderId="6" xfId="0" applyNumberFormat="1" applyFill="1" applyBorder="1" applyAlignment="1">
      <alignment horizontal="center" vertical="center"/>
    </xf>
    <xf numFmtId="3" fontId="11" fillId="2" borderId="7" xfId="0" applyNumberFormat="1" applyFont="1" applyFill="1" applyBorder="1"/>
    <xf numFmtId="170" fontId="11" fillId="2" borderId="7" xfId="0" applyNumberFormat="1" applyFont="1" applyFill="1" applyBorder="1" applyAlignment="1">
      <alignment horizontal="center"/>
    </xf>
    <xf numFmtId="0" fontId="0" fillId="2" borderId="67" xfId="0" applyFill="1" applyBorder="1" applyAlignment="1">
      <alignment horizontal="center" vertical="center"/>
    </xf>
    <xf numFmtId="0" fontId="2" fillId="2" borderId="45" xfId="0" applyFont="1" applyFill="1" applyBorder="1" applyAlignment="1">
      <alignment horizontal="center" vertical="center"/>
    </xf>
    <xf numFmtId="0" fontId="2" fillId="2" borderId="69" xfId="0" applyFont="1" applyFill="1" applyBorder="1" applyAlignment="1">
      <alignment horizontal="center" vertical="center"/>
    </xf>
    <xf numFmtId="0" fontId="0" fillId="2" borderId="4" xfId="0" applyFill="1" applyBorder="1" applyAlignment="1">
      <alignment horizontal="left" vertical="center"/>
    </xf>
    <xf numFmtId="0" fontId="0" fillId="2" borderId="6" xfId="0" applyFill="1" applyBorder="1" applyAlignment="1">
      <alignment horizontal="left" vertical="center"/>
    </xf>
    <xf numFmtId="170" fontId="0" fillId="2" borderId="8" xfId="0" applyNumberFormat="1" applyFill="1" applyBorder="1" applyAlignment="1">
      <alignment horizontal="center" vertical="center"/>
    </xf>
    <xf numFmtId="0" fontId="0" fillId="2" borderId="3" xfId="0" applyFill="1" applyBorder="1"/>
    <xf numFmtId="0" fontId="48" fillId="2" borderId="2" xfId="0" applyFont="1" applyFill="1" applyBorder="1"/>
    <xf numFmtId="0" fontId="2" fillId="2" borderId="38" xfId="0" applyFont="1" applyFill="1" applyBorder="1" applyAlignment="1">
      <alignment horizontal="center" vertical="center"/>
    </xf>
    <xf numFmtId="0" fontId="2" fillId="2" borderId="22"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44" fillId="2" borderId="67" xfId="0" applyFont="1" applyFill="1" applyBorder="1" applyAlignment="1">
      <alignment horizontal="centerContinuous" vertical="center"/>
    </xf>
    <xf numFmtId="0" fontId="44" fillId="2" borderId="45" xfId="0" applyFont="1" applyFill="1" applyBorder="1" applyAlignment="1">
      <alignment horizontal="centerContinuous" vertical="center"/>
    </xf>
    <xf numFmtId="0" fontId="0" fillId="2" borderId="45" xfId="0" applyFill="1" applyBorder="1" applyAlignment="1">
      <alignment horizontal="centerContinuous" vertical="center"/>
    </xf>
    <xf numFmtId="0" fontId="44" fillId="2" borderId="69" xfId="0" applyFont="1" applyFill="1" applyBorder="1" applyAlignment="1">
      <alignment horizontal="centerContinuous" vertical="center"/>
    </xf>
    <xf numFmtId="0" fontId="0" fillId="45" borderId="67" xfId="0" applyFill="1" applyBorder="1" applyAlignment="1">
      <alignment horizontal="center" vertical="center"/>
    </xf>
    <xf numFmtId="0" fontId="0" fillId="45" borderId="45" xfId="0" applyFill="1" applyBorder="1" applyAlignment="1">
      <alignment horizontal="center" vertical="center"/>
    </xf>
    <xf numFmtId="0" fontId="0" fillId="45" borderId="69" xfId="0" applyFill="1" applyBorder="1" applyAlignment="1">
      <alignment horizontal="center" vertical="center"/>
    </xf>
    <xf numFmtId="0" fontId="0" fillId="45" borderId="1" xfId="0" applyFill="1" applyBorder="1" applyAlignment="1">
      <alignment horizontal="center" vertical="center"/>
    </xf>
    <xf numFmtId="0" fontId="0" fillId="45" borderId="2" xfId="0" applyFill="1" applyBorder="1" applyAlignment="1">
      <alignment horizontal="center" vertical="center"/>
    </xf>
    <xf numFmtId="0" fontId="0" fillId="45" borderId="3" xfId="0" applyFill="1" applyBorder="1" applyAlignment="1">
      <alignment horizontal="center" vertical="center"/>
    </xf>
    <xf numFmtId="0" fontId="0" fillId="45" borderId="5" xfId="0" applyFill="1" applyBorder="1" applyAlignment="1">
      <alignment horizontal="center" vertical="center"/>
    </xf>
    <xf numFmtId="0" fontId="0" fillId="45" borderId="4" xfId="0" applyFill="1" applyBorder="1" applyAlignment="1">
      <alignment horizontal="center" vertical="center"/>
    </xf>
    <xf numFmtId="0" fontId="0" fillId="45" borderId="0" xfId="0" applyFill="1" applyAlignment="1">
      <alignment horizontal="center" vertical="center"/>
    </xf>
    <xf numFmtId="1" fontId="0" fillId="45" borderId="0" xfId="0" applyNumberFormat="1" applyFill="1" applyAlignment="1">
      <alignment horizontal="center" vertical="center"/>
    </xf>
    <xf numFmtId="170" fontId="0" fillId="5" borderId="9" xfId="0" applyNumberFormat="1" applyFill="1" applyBorder="1" applyAlignment="1">
      <alignment horizontal="center" vertical="center"/>
    </xf>
    <xf numFmtId="0" fontId="0" fillId="45" borderId="6" xfId="0" applyFill="1" applyBorder="1" applyAlignment="1">
      <alignment horizontal="center" vertical="center"/>
    </xf>
    <xf numFmtId="0" fontId="0" fillId="45" borderId="7" xfId="0" applyFill="1" applyBorder="1" applyAlignment="1">
      <alignment horizontal="center" vertical="center"/>
    </xf>
    <xf numFmtId="0" fontId="0" fillId="45" borderId="8" xfId="0" applyFill="1" applyBorder="1" applyAlignment="1">
      <alignment horizontal="center" vertical="center"/>
    </xf>
    <xf numFmtId="169" fontId="0" fillId="5" borderId="9" xfId="0" applyNumberFormat="1" applyFill="1" applyBorder="1" applyAlignment="1">
      <alignment horizontal="center" vertical="center"/>
    </xf>
    <xf numFmtId="0" fontId="131" fillId="2" borderId="45" xfId="0" applyFont="1" applyFill="1" applyBorder="1"/>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0" fontId="130" fillId="2" borderId="0" xfId="0" applyFont="1" applyFill="1"/>
    <xf numFmtId="0" fontId="131" fillId="2" borderId="0" xfId="0" applyFont="1" applyFill="1"/>
    <xf numFmtId="168" fontId="3" fillId="2" borderId="0" xfId="0" applyNumberFormat="1" applyFont="1" applyFill="1" applyAlignment="1">
      <alignment horizontal="right"/>
    </xf>
    <xf numFmtId="170" fontId="3" fillId="0" borderId="9" xfId="0" applyNumberFormat="1" applyFont="1" applyBorder="1"/>
    <xf numFmtId="170" fontId="3" fillId="5" borderId="9" xfId="0" applyNumberFormat="1" applyFont="1" applyFill="1" applyBorder="1"/>
    <xf numFmtId="0" fontId="130" fillId="2" borderId="45" xfId="0" applyFont="1" applyFill="1" applyBorder="1"/>
    <xf numFmtId="0" fontId="0" fillId="2" borderId="69" xfId="0" applyFill="1" applyBorder="1"/>
    <xf numFmtId="0" fontId="3" fillId="2" borderId="41" xfId="0" applyFont="1" applyFill="1" applyBorder="1"/>
    <xf numFmtId="0" fontId="0" fillId="2" borderId="67" xfId="0" applyFill="1" applyBorder="1"/>
    <xf numFmtId="0" fontId="5" fillId="2" borderId="22" xfId="0" applyFont="1" applyFill="1" applyBorder="1" applyAlignment="1">
      <alignment horizontal="centerContinuous"/>
    </xf>
    <xf numFmtId="0" fontId="5" fillId="2" borderId="39" xfId="0" applyFont="1" applyFill="1" applyBorder="1" applyAlignment="1">
      <alignment horizontal="centerContinuous"/>
    </xf>
    <xf numFmtId="0" fontId="130" fillId="3" borderId="0" xfId="0" applyFont="1" applyFill="1"/>
    <xf numFmtId="3" fontId="0" fillId="3" borderId="0" xfId="0" applyNumberFormat="1" applyFill="1" applyAlignment="1">
      <alignment horizontal="right" indent="1"/>
    </xf>
    <xf numFmtId="3" fontId="0" fillId="2" borderId="0" xfId="0" applyNumberFormat="1" applyFill="1"/>
    <xf numFmtId="3" fontId="0" fillId="2" borderId="8" xfId="0" applyNumberFormat="1" applyFill="1" applyBorder="1" applyAlignment="1">
      <alignment horizontal="right" indent="1"/>
    </xf>
    <xf numFmtId="3" fontId="0" fillId="5" borderId="9" xfId="0" applyNumberFormat="1" applyFill="1" applyBorder="1" applyAlignment="1">
      <alignment horizontal="right" vertical="center" indent="1"/>
    </xf>
    <xf numFmtId="3" fontId="0" fillId="5" borderId="14" xfId="0" applyNumberFormat="1" applyFill="1" applyBorder="1" applyAlignment="1">
      <alignment horizontal="right" vertical="center" indent="1"/>
    </xf>
    <xf numFmtId="0" fontId="2" fillId="2" borderId="0" xfId="0" applyFont="1" applyFill="1" applyAlignment="1">
      <alignment horizontal="right" vertical="center" wrapText="1" indent="1"/>
    </xf>
    <xf numFmtId="0" fontId="2" fillId="3" borderId="0" xfId="0" applyFont="1" applyFill="1" applyAlignment="1">
      <alignment horizontal="left" wrapText="1"/>
    </xf>
    <xf numFmtId="2" fontId="5" fillId="5" borderId="9" xfId="0" applyNumberFormat="1" applyFont="1" applyFill="1" applyBorder="1" applyAlignment="1">
      <alignment horizontal="center" vertical="center"/>
    </xf>
    <xf numFmtId="170" fontId="5" fillId="5" borderId="9" xfId="0" applyNumberFormat="1" applyFont="1" applyFill="1" applyBorder="1" applyAlignment="1">
      <alignment horizontal="center" vertical="center"/>
    </xf>
    <xf numFmtId="0" fontId="2" fillId="2" borderId="4" xfId="0" applyFont="1" applyFill="1" applyBorder="1" applyAlignment="1">
      <alignment horizontal="right" vertical="center" indent="1"/>
    </xf>
    <xf numFmtId="0" fontId="0" fillId="2" borderId="0" xfId="0" quotePrefix="1" applyFill="1" applyAlignment="1">
      <alignment horizontal="left" vertical="center"/>
    </xf>
    <xf numFmtId="184" fontId="0" fillId="2" borderId="4" xfId="1531" applyNumberFormat="1" applyFont="1" applyFill="1" applyBorder="1" applyAlignment="1" applyProtection="1">
      <alignment horizontal="center" vertical="center"/>
    </xf>
    <xf numFmtId="184" fontId="0" fillId="2" borderId="5" xfId="1531" applyNumberFormat="1" applyFont="1" applyFill="1" applyBorder="1" applyAlignment="1" applyProtection="1">
      <alignment horizontal="center" vertical="center"/>
    </xf>
    <xf numFmtId="3" fontId="0" fillId="2" borderId="4" xfId="0" applyNumberFormat="1" applyFill="1" applyBorder="1" applyAlignment="1">
      <alignment horizontal="right" indent="1"/>
    </xf>
    <xf numFmtId="184" fontId="0" fillId="2" borderId="6" xfId="1531" applyNumberFormat="1" applyFont="1" applyFill="1" applyBorder="1" applyAlignment="1" applyProtection="1">
      <alignment horizontal="center" vertical="center"/>
    </xf>
    <xf numFmtId="184" fontId="0" fillId="2" borderId="42" xfId="1531" applyNumberFormat="1" applyFont="1" applyFill="1" applyBorder="1" applyAlignment="1" applyProtection="1">
      <alignment horizontal="center" vertical="center"/>
    </xf>
    <xf numFmtId="184" fontId="0" fillId="2" borderId="43" xfId="1531" applyNumberFormat="1" applyFont="1" applyFill="1" applyBorder="1" applyAlignment="1" applyProtection="1">
      <alignment horizontal="center" vertical="center"/>
    </xf>
    <xf numFmtId="0" fontId="0" fillId="3" borderId="0" xfId="882" applyNumberFormat="1" applyFont="1" applyFill="1"/>
    <xf numFmtId="0" fontId="0" fillId="2" borderId="68" xfId="0" applyFill="1" applyBorder="1" applyAlignment="1">
      <alignment horizontal="right" indent="1"/>
    </xf>
    <xf numFmtId="0" fontId="0" fillId="2" borderId="69" xfId="0" applyFill="1" applyBorder="1" applyAlignment="1">
      <alignment horizontal="right" indent="1"/>
    </xf>
    <xf numFmtId="186" fontId="2" fillId="2" borderId="0" xfId="903" applyFont="1" applyFill="1" applyAlignment="1">
      <alignment horizontal="right"/>
    </xf>
    <xf numFmtId="3" fontId="3" fillId="2" borderId="0" xfId="903" applyNumberFormat="1" applyFont="1" applyFill="1" applyAlignment="1">
      <alignment horizontal="left"/>
    </xf>
    <xf numFmtId="186" fontId="5" fillId="2" borderId="0" xfId="903" applyFont="1" applyFill="1" applyAlignment="1">
      <alignment horizontal="left"/>
    </xf>
    <xf numFmtId="186" fontId="3" fillId="2" borderId="0" xfId="903" applyFont="1" applyFill="1" applyAlignment="1">
      <alignment horizontal="left"/>
    </xf>
    <xf numFmtId="186" fontId="2" fillId="2" borderId="0" xfId="903" applyFont="1" applyFill="1" applyAlignment="1">
      <alignment horizontal="left" vertical="center"/>
    </xf>
    <xf numFmtId="169" fontId="5" fillId="2" borderId="0" xfId="903" applyNumberFormat="1" applyFont="1" applyFill="1" applyAlignment="1">
      <alignment horizontal="right"/>
    </xf>
    <xf numFmtId="169" fontId="5" fillId="2" borderId="0" xfId="903" applyNumberFormat="1" applyFont="1" applyFill="1" applyAlignment="1">
      <alignment horizontal="left"/>
    </xf>
    <xf numFmtId="186" fontId="4" fillId="2" borderId="67" xfId="903" applyFill="1" applyBorder="1" applyAlignment="1">
      <alignment horizontal="right" vertical="center"/>
    </xf>
    <xf numFmtId="170" fontId="4" fillId="2" borderId="5" xfId="903" applyNumberFormat="1" applyFill="1" applyBorder="1" applyAlignment="1">
      <alignment horizontal="right"/>
    </xf>
    <xf numFmtId="170" fontId="3" fillId="2" borderId="5" xfId="903" applyNumberFormat="1" applyFont="1" applyFill="1" applyBorder="1" applyAlignment="1">
      <alignment horizontal="right"/>
    </xf>
    <xf numFmtId="170" fontId="5" fillId="2" borderId="5" xfId="903" applyNumberFormat="1" applyFont="1" applyFill="1" applyBorder="1" applyAlignment="1">
      <alignment horizontal="right"/>
    </xf>
    <xf numFmtId="186" fontId="4" fillId="2" borderId="6" xfId="903" applyFill="1" applyBorder="1" applyAlignment="1">
      <alignment horizontal="right" vertical="center"/>
    </xf>
    <xf numFmtId="186" fontId="4" fillId="2" borderId="7" xfId="903" applyFill="1" applyBorder="1" applyAlignment="1">
      <alignment horizontal="right"/>
    </xf>
    <xf numFmtId="186" fontId="5" fillId="2" borderId="68" xfId="903" applyFont="1" applyFill="1" applyBorder="1" applyAlignment="1">
      <alignment horizontal="centerContinuous" vertical="center"/>
    </xf>
    <xf numFmtId="186" fontId="3" fillId="2" borderId="68" xfId="903" applyFont="1" applyFill="1" applyBorder="1" applyAlignment="1">
      <alignment horizontal="centerContinuous" vertical="center"/>
    </xf>
    <xf numFmtId="186" fontId="3" fillId="2" borderId="69" xfId="903" applyFont="1" applyFill="1" applyBorder="1" applyAlignment="1">
      <alignment horizontal="right" vertical="center"/>
    </xf>
    <xf numFmtId="186" fontId="4" fillId="0" borderId="0" xfId="903" applyAlignment="1">
      <alignment horizontal="right" vertical="center"/>
    </xf>
    <xf numFmtId="186" fontId="3" fillId="2" borderId="0" xfId="903" applyFont="1" applyFill="1" applyAlignment="1">
      <alignment horizontal="left" vertical="center"/>
    </xf>
    <xf numFmtId="1" fontId="3" fillId="2" borderId="5" xfId="903" applyNumberFormat="1" applyFont="1" applyFill="1" applyBorder="1" applyAlignment="1">
      <alignment horizontal="right" vertical="center"/>
    </xf>
    <xf numFmtId="186" fontId="3" fillId="2" borderId="0" xfId="903" applyFont="1" applyFill="1" applyAlignment="1">
      <alignment horizontal="centerContinuous" vertical="center"/>
    </xf>
    <xf numFmtId="186" fontId="3" fillId="2" borderId="5" xfId="903" applyFont="1" applyFill="1" applyBorder="1" applyAlignment="1">
      <alignment horizontal="right" vertical="center"/>
    </xf>
    <xf numFmtId="0" fontId="5" fillId="2" borderId="0" xfId="903" applyNumberFormat="1" applyFont="1" applyFill="1" applyAlignment="1">
      <alignment horizontal="right" vertical="center"/>
    </xf>
    <xf numFmtId="1" fontId="5" fillId="2" borderId="0" xfId="903" applyNumberFormat="1" applyFont="1" applyFill="1" applyAlignment="1">
      <alignment horizontal="right" vertical="center"/>
    </xf>
    <xf numFmtId="1" fontId="5" fillId="2" borderId="5" xfId="903" applyNumberFormat="1" applyFont="1" applyFill="1" applyBorder="1" applyAlignment="1">
      <alignment horizontal="right"/>
    </xf>
    <xf numFmtId="3" fontId="4" fillId="2" borderId="0" xfId="903" applyNumberFormat="1" applyFill="1" applyAlignment="1">
      <alignment horizontal="right" vertical="center"/>
    </xf>
    <xf numFmtId="183" fontId="61" fillId="51" borderId="35" xfId="1206" applyFont="1" applyFill="1" applyBorder="1"/>
    <xf numFmtId="0" fontId="50" fillId="51" borderId="64" xfId="1206" applyNumberFormat="1" applyFont="1" applyFill="1" applyBorder="1" applyAlignment="1">
      <alignment horizontal="right"/>
    </xf>
    <xf numFmtId="183" fontId="61" fillId="51" borderId="4" xfId="1206" applyFont="1" applyFill="1" applyBorder="1"/>
    <xf numFmtId="183" fontId="61" fillId="81" borderId="4" xfId="1201" applyFont="1" applyFill="1" applyBorder="1"/>
    <xf numFmtId="2" fontId="63" fillId="81" borderId="0" xfId="1201" applyNumberFormat="1" applyFont="1" applyFill="1" applyAlignment="1">
      <alignment horizontal="centerContinuous"/>
    </xf>
    <xf numFmtId="186" fontId="61" fillId="2" borderId="0" xfId="1205" applyFont="1" applyFill="1"/>
    <xf numFmtId="183" fontId="50" fillId="81" borderId="4" xfId="1201" applyFont="1" applyFill="1" applyBorder="1" applyAlignment="1">
      <alignment horizontal="left"/>
    </xf>
    <xf numFmtId="0" fontId="128" fillId="2" borderId="4" xfId="0" applyFont="1" applyFill="1" applyBorder="1"/>
    <xf numFmtId="186" fontId="61" fillId="2" borderId="4" xfId="1205" applyFont="1" applyFill="1" applyBorder="1"/>
    <xf numFmtId="186" fontId="63" fillId="2" borderId="4" xfId="1205" applyFont="1" applyFill="1" applyBorder="1"/>
    <xf numFmtId="186" fontId="61" fillId="81" borderId="4" xfId="3" applyFont="1" applyFill="1" applyBorder="1"/>
    <xf numFmtId="186" fontId="128" fillId="2" borderId="4" xfId="882" applyFont="1" applyFill="1" applyBorder="1" applyAlignment="1">
      <alignment horizontal="left"/>
    </xf>
    <xf numFmtId="183" fontId="61" fillId="81" borderId="4" xfId="1201" applyFont="1" applyFill="1" applyBorder="1" applyAlignment="1">
      <alignment horizontal="left"/>
    </xf>
    <xf numFmtId="186" fontId="61" fillId="2" borderId="6" xfId="1205" applyFont="1" applyFill="1" applyBorder="1"/>
    <xf numFmtId="3" fontId="61" fillId="2" borderId="7" xfId="1205" applyNumberFormat="1" applyFont="1" applyFill="1" applyBorder="1"/>
    <xf numFmtId="3" fontId="50" fillId="81" borderId="0" xfId="1201" applyNumberFormat="1" applyFont="1" applyFill="1"/>
    <xf numFmtId="3" fontId="61" fillId="2" borderId="0" xfId="1205" quotePrefix="1" applyNumberFormat="1" applyFont="1" applyFill="1"/>
    <xf numFmtId="169" fontId="61" fillId="81" borderId="7" xfId="1201" applyNumberFormat="1" applyFont="1" applyFill="1" applyBorder="1"/>
    <xf numFmtId="183" fontId="5" fillId="2" borderId="69" xfId="1206" applyFont="1" applyFill="1" applyBorder="1"/>
    <xf numFmtId="183" fontId="3" fillId="2" borderId="5" xfId="1206" applyFont="1" applyFill="1" applyBorder="1"/>
    <xf numFmtId="186" fontId="3" fillId="2" borderId="5" xfId="1205" applyFont="1" applyFill="1" applyBorder="1"/>
    <xf numFmtId="169" fontId="3" fillId="2" borderId="5" xfId="1205" applyNumberFormat="1" applyFont="1" applyFill="1" applyBorder="1"/>
    <xf numFmtId="168" fontId="3" fillId="2" borderId="5" xfId="2" applyFont="1" applyFill="1" applyBorder="1"/>
    <xf numFmtId="186" fontId="3" fillId="2" borderId="8" xfId="1205" applyFont="1" applyFill="1" applyBorder="1"/>
    <xf numFmtId="0" fontId="0" fillId="3" borderId="44" xfId="0" applyFill="1" applyBorder="1"/>
    <xf numFmtId="2" fontId="0" fillId="3" borderId="0" xfId="0" applyNumberFormat="1" applyFill="1" applyAlignment="1">
      <alignment horizontal="right" indent="1"/>
    </xf>
    <xf numFmtId="2" fontId="2" fillId="2" borderId="0" xfId="0" applyNumberFormat="1" applyFont="1" applyFill="1" applyAlignment="1">
      <alignment horizontal="centerContinuous" vertical="center"/>
    </xf>
    <xf numFmtId="0" fontId="5" fillId="3" borderId="0" xfId="0" applyFont="1" applyFill="1" applyAlignment="1">
      <alignment horizontal="left" vertical="center"/>
    </xf>
    <xf numFmtId="0" fontId="5" fillId="3" borderId="44" xfId="0" applyFont="1" applyFill="1" applyBorder="1" applyAlignment="1">
      <alignment horizontal="left" vertical="center"/>
    </xf>
    <xf numFmtId="0" fontId="3" fillId="46" borderId="0" xfId="0" applyFont="1" applyFill="1"/>
    <xf numFmtId="0" fontId="5" fillId="3" borderId="44" xfId="0" applyFont="1" applyFill="1" applyBorder="1"/>
    <xf numFmtId="9" fontId="2" fillId="2" borderId="68" xfId="1531" applyNumberFormat="1" applyFont="1" applyFill="1" applyBorder="1" applyAlignment="1" applyProtection="1">
      <alignment horizontal="centerContinuous" vertical="center" wrapText="1"/>
    </xf>
    <xf numFmtId="186" fontId="5" fillId="2" borderId="5" xfId="1" applyFont="1" applyFill="1" applyBorder="1" applyAlignment="1">
      <alignment horizontal="centerContinuous" vertical="center"/>
    </xf>
    <xf numFmtId="3" fontId="62" fillId="2" borderId="0" xfId="0" applyNumberFormat="1" applyFont="1" applyFill="1" applyAlignment="1">
      <alignment horizontal="right" vertical="center" indent="1"/>
    </xf>
    <xf numFmtId="186" fontId="3" fillId="2" borderId="4" xfId="1200" applyFont="1" applyFill="1" applyBorder="1"/>
    <xf numFmtId="3" fontId="3" fillId="2" borderId="5" xfId="1215" applyNumberFormat="1" applyFont="1" applyFill="1" applyBorder="1"/>
    <xf numFmtId="169" fontId="3" fillId="2" borderId="5" xfId="1200" applyNumberFormat="1" applyFont="1" applyFill="1" applyBorder="1"/>
    <xf numFmtId="169" fontId="3" fillId="2" borderId="5" xfId="1200" applyNumberFormat="1" applyFont="1" applyFill="1" applyBorder="1" applyAlignment="1">
      <alignment horizontal="right"/>
    </xf>
    <xf numFmtId="186" fontId="3" fillId="2" borderId="6" xfId="1200" applyFont="1" applyFill="1" applyBorder="1"/>
    <xf numFmtId="169" fontId="3" fillId="2" borderId="7" xfId="1200" applyNumberFormat="1" applyFont="1" applyFill="1" applyBorder="1" applyAlignment="1">
      <alignment horizontal="right"/>
    </xf>
    <xf numFmtId="169" fontId="3" fillId="2" borderId="8" xfId="1200" applyNumberFormat="1" applyFont="1" applyFill="1" applyBorder="1" applyAlignment="1">
      <alignment horizontal="right"/>
    </xf>
    <xf numFmtId="186" fontId="3" fillId="3" borderId="0" xfId="1200" applyFont="1" applyFill="1"/>
    <xf numFmtId="169" fontId="3" fillId="2" borderId="5" xfId="1531" applyNumberFormat="1" applyFont="1" applyFill="1" applyBorder="1" applyAlignment="1" applyProtection="1">
      <alignment horizontal="right"/>
    </xf>
    <xf numFmtId="186" fontId="3" fillId="2" borderId="7" xfId="1200" applyFont="1" applyFill="1" applyBorder="1"/>
    <xf numFmtId="186" fontId="48" fillId="3" borderId="0" xfId="1200" applyFont="1" applyFill="1"/>
    <xf numFmtId="186" fontId="126" fillId="3" borderId="0" xfId="1200" applyFont="1" applyFill="1"/>
    <xf numFmtId="186" fontId="132" fillId="3" borderId="0" xfId="1200" quotePrefix="1" applyFont="1" applyFill="1"/>
    <xf numFmtId="172" fontId="3" fillId="3" borderId="0" xfId="1200" quotePrefix="1" applyNumberFormat="1" applyFont="1" applyFill="1"/>
    <xf numFmtId="186" fontId="3" fillId="2" borderId="67" xfId="1200" applyFont="1" applyFill="1" applyBorder="1" applyAlignment="1">
      <alignment vertical="center"/>
    </xf>
    <xf numFmtId="186" fontId="5" fillId="2" borderId="68" xfId="1200" applyFont="1" applyFill="1" applyBorder="1" applyAlignment="1">
      <alignment horizontal="centerContinuous" vertical="center"/>
    </xf>
    <xf numFmtId="186" fontId="3" fillId="2" borderId="68" xfId="1200" applyFont="1" applyFill="1" applyBorder="1" applyAlignment="1">
      <alignment horizontal="centerContinuous" vertical="center"/>
    </xf>
    <xf numFmtId="186" fontId="3" fillId="2" borderId="69" xfId="1200" applyFont="1" applyFill="1" applyBorder="1" applyAlignment="1">
      <alignment vertical="center"/>
    </xf>
    <xf numFmtId="186" fontId="48" fillId="3" borderId="0" xfId="1200" applyFont="1" applyFill="1" applyAlignment="1">
      <alignment vertical="center"/>
    </xf>
    <xf numFmtId="186" fontId="126" fillId="3" borderId="0" xfId="1200" applyFont="1" applyFill="1" applyAlignment="1">
      <alignment vertical="center"/>
    </xf>
    <xf numFmtId="186" fontId="3" fillId="3" borderId="0" xfId="1200" applyFont="1" applyFill="1" applyAlignment="1">
      <alignment vertical="center"/>
    </xf>
    <xf numFmtId="186" fontId="5" fillId="47" borderId="4" xfId="1200" applyFont="1" applyFill="1" applyBorder="1" applyAlignment="1">
      <alignment vertical="center"/>
    </xf>
    <xf numFmtId="186" fontId="5" fillId="47" borderId="0" xfId="1200" applyFont="1" applyFill="1" applyAlignment="1">
      <alignment vertical="center"/>
    </xf>
    <xf numFmtId="0" fontId="5" fillId="47" borderId="0" xfId="1200" applyNumberFormat="1" applyFont="1" applyFill="1" applyAlignment="1">
      <alignment vertical="center"/>
    </xf>
    <xf numFmtId="0" fontId="5" fillId="47" borderId="0" xfId="1200" applyNumberFormat="1" applyFont="1" applyFill="1" applyAlignment="1">
      <alignment horizontal="right" vertical="center"/>
    </xf>
    <xf numFmtId="0" fontId="5" fillId="47" borderId="0" xfId="1200" applyNumberFormat="1" applyFont="1" applyFill="1" applyAlignment="1">
      <alignment horizontal="right" vertical="center" wrapText="1"/>
    </xf>
    <xf numFmtId="0" fontId="5" fillId="47" borderId="5" xfId="1200" applyNumberFormat="1" applyFont="1" applyFill="1" applyBorder="1" applyAlignment="1">
      <alignment vertical="center"/>
    </xf>
    <xf numFmtId="186" fontId="5" fillId="46" borderId="0" xfId="1200" applyFont="1" applyFill="1" applyAlignment="1">
      <alignment horizontal="left" vertical="center"/>
    </xf>
    <xf numFmtId="186" fontId="5" fillId="46" borderId="0" xfId="1200" applyFont="1" applyFill="1" applyAlignment="1">
      <alignment vertical="center"/>
    </xf>
    <xf numFmtId="186" fontId="59" fillId="46" borderId="0" xfId="1200" applyFont="1" applyFill="1" applyAlignment="1">
      <alignment horizontal="center" vertical="center"/>
    </xf>
    <xf numFmtId="186" fontId="5" fillId="47" borderId="5" xfId="1200" applyFont="1" applyFill="1" applyBorder="1" applyAlignment="1">
      <alignment vertical="center"/>
    </xf>
    <xf numFmtId="186" fontId="3" fillId="46" borderId="0" xfId="1200" applyFont="1" applyFill="1" applyAlignment="1">
      <alignment horizontal="left" vertical="center"/>
    </xf>
    <xf numFmtId="186" fontId="3" fillId="2" borderId="0" xfId="1200" applyFont="1" applyFill="1" applyAlignment="1">
      <alignment horizontal="centerContinuous"/>
    </xf>
    <xf numFmtId="186" fontId="51" fillId="2" borderId="0" xfId="1200" applyFont="1" applyFill="1" applyAlignment="1">
      <alignment horizontal="centerContinuous"/>
    </xf>
    <xf numFmtId="2" fontId="3" fillId="2" borderId="0" xfId="1200" applyNumberFormat="1" applyFont="1" applyFill="1" applyAlignment="1">
      <alignment horizontal="centerContinuous"/>
    </xf>
    <xf numFmtId="2" fontId="3" fillId="2" borderId="5" xfId="1200" applyNumberFormat="1" applyFont="1" applyFill="1" applyBorder="1" applyAlignment="1">
      <alignment horizontal="centerContinuous"/>
    </xf>
    <xf numFmtId="2" fontId="3" fillId="3" borderId="0" xfId="1200" applyNumberFormat="1" applyFont="1" applyFill="1"/>
    <xf numFmtId="186" fontId="133" fillId="3" borderId="0" xfId="1200" applyFont="1" applyFill="1"/>
    <xf numFmtId="186" fontId="51" fillId="2" borderId="0" xfId="1200" applyFont="1" applyFill="1"/>
    <xf numFmtId="2" fontId="3" fillId="2" borderId="0" xfId="1200" applyNumberFormat="1" applyFont="1" applyFill="1"/>
    <xf numFmtId="2" fontId="3" fillId="2" borderId="5" xfId="1200" applyNumberFormat="1" applyFont="1" applyFill="1" applyBorder="1"/>
    <xf numFmtId="170" fontId="3" fillId="3" borderId="0" xfId="1200" applyNumberFormat="1" applyFont="1" applyFill="1"/>
    <xf numFmtId="170" fontId="133" fillId="3" borderId="0" xfId="1200" applyNumberFormat="1" applyFont="1" applyFill="1"/>
    <xf numFmtId="169" fontId="48" fillId="3" borderId="0" xfId="1200" applyNumberFormat="1" applyFont="1" applyFill="1"/>
    <xf numFmtId="168" fontId="48" fillId="3" borderId="0" xfId="2" applyFont="1" applyFill="1" applyBorder="1"/>
    <xf numFmtId="1" fontId="3" fillId="3" borderId="0" xfId="1200" applyNumberFormat="1" applyFont="1" applyFill="1"/>
    <xf numFmtId="9" fontId="3" fillId="3" borderId="0" xfId="1531" applyNumberFormat="1" applyFont="1" applyFill="1" applyProtection="1"/>
    <xf numFmtId="0" fontId="3" fillId="3" borderId="42" xfId="0" applyFont="1" applyFill="1" applyBorder="1"/>
    <xf numFmtId="0" fontId="3" fillId="2" borderId="35" xfId="0" applyFont="1" applyFill="1" applyBorder="1"/>
    <xf numFmtId="0" fontId="3" fillId="2" borderId="4" xfId="0" applyFont="1" applyFill="1" applyBorder="1" applyAlignment="1">
      <alignment horizontal="center"/>
    </xf>
    <xf numFmtId="0" fontId="5" fillId="2" borderId="41" xfId="0" applyFont="1" applyFill="1" applyBorder="1" applyAlignment="1">
      <alignment horizontal="center"/>
    </xf>
    <xf numFmtId="0" fontId="3" fillId="2" borderId="41" xfId="1203" applyNumberFormat="1" applyFont="1" applyFill="1" applyBorder="1" applyAlignment="1">
      <alignment horizontal="center"/>
    </xf>
    <xf numFmtId="0" fontId="3" fillId="2" borderId="38" xfId="0" applyFont="1" applyFill="1" applyBorder="1" applyAlignment="1">
      <alignment horizontal="center"/>
    </xf>
    <xf numFmtId="0" fontId="5" fillId="2" borderId="22" xfId="0" applyFont="1" applyFill="1" applyBorder="1" applyAlignment="1">
      <alignment horizontal="center"/>
    </xf>
    <xf numFmtId="0" fontId="5" fillId="2" borderId="39" xfId="1203" applyNumberFormat="1" applyFont="1" applyFill="1" applyBorder="1" applyAlignment="1">
      <alignment horizontal="center"/>
    </xf>
    <xf numFmtId="2" fontId="3" fillId="2" borderId="0" xfId="0" applyNumberFormat="1" applyFont="1" applyFill="1" applyAlignment="1">
      <alignment horizontal="center"/>
    </xf>
    <xf numFmtId="1" fontId="3" fillId="2" borderId="0" xfId="0" applyNumberFormat="1" applyFont="1" applyFill="1" applyAlignment="1">
      <alignment horizontal="center"/>
    </xf>
    <xf numFmtId="170" fontId="3" fillId="2" borderId="5" xfId="1203" applyNumberFormat="1" applyFont="1" applyFill="1" applyBorder="1" applyAlignment="1">
      <alignment horizontal="center"/>
    </xf>
    <xf numFmtId="170" fontId="134" fillId="2" borderId="0" xfId="0" applyNumberFormat="1" applyFont="1" applyFill="1" applyAlignment="1" applyProtection="1">
      <alignment horizontal="center"/>
      <protection locked="0"/>
    </xf>
    <xf numFmtId="170" fontId="130" fillId="3" borderId="0" xfId="0" applyNumberFormat="1" applyFont="1" applyFill="1" applyAlignment="1">
      <alignment horizontal="center"/>
    </xf>
    <xf numFmtId="2" fontId="3" fillId="2" borderId="42" xfId="0" applyNumberFormat="1" applyFont="1" applyFill="1" applyBorder="1" applyAlignment="1">
      <alignment horizontal="center"/>
    </xf>
    <xf numFmtId="170" fontId="3" fillId="2" borderId="42" xfId="0" applyNumberFormat="1" applyFont="1" applyFill="1" applyBorder="1" applyAlignment="1">
      <alignment horizontal="center"/>
    </xf>
    <xf numFmtId="170" fontId="3" fillId="2" borderId="43" xfId="0" applyNumberFormat="1" applyFont="1" applyFill="1" applyBorder="1" applyAlignment="1">
      <alignment horizontal="center"/>
    </xf>
    <xf numFmtId="0" fontId="3" fillId="2" borderId="35" xfId="1200" applyNumberFormat="1" applyFont="1" applyFill="1" applyBorder="1"/>
    <xf numFmtId="0" fontId="3" fillId="2" borderId="64" xfId="1200" applyNumberFormat="1" applyFont="1" applyFill="1" applyBorder="1"/>
    <xf numFmtId="0" fontId="130" fillId="2" borderId="64" xfId="1200" applyNumberFormat="1" applyFont="1" applyFill="1" applyBorder="1"/>
    <xf numFmtId="0" fontId="130" fillId="2" borderId="37" xfId="1200" applyNumberFormat="1" applyFont="1" applyFill="1" applyBorder="1"/>
    <xf numFmtId="0" fontId="3" fillId="2" borderId="4" xfId="1200" applyNumberFormat="1" applyFont="1" applyFill="1" applyBorder="1"/>
    <xf numFmtId="0" fontId="3" fillId="2" borderId="0" xfId="1200" applyNumberFormat="1" applyFont="1" applyFill="1"/>
    <xf numFmtId="0" fontId="130" fillId="2" borderId="0" xfId="1200" applyNumberFormat="1" applyFont="1" applyFill="1"/>
    <xf numFmtId="0" fontId="130" fillId="2" borderId="5" xfId="1200" applyNumberFormat="1" applyFont="1" applyFill="1" applyBorder="1"/>
    <xf numFmtId="0" fontId="3" fillId="2" borderId="4" xfId="883" applyNumberFormat="1" applyFont="1" applyFill="1" applyBorder="1"/>
    <xf numFmtId="0" fontId="3" fillId="2" borderId="7" xfId="1200" applyNumberFormat="1" applyFont="1" applyFill="1" applyBorder="1"/>
    <xf numFmtId="0" fontId="130" fillId="2" borderId="7" xfId="1200" applyNumberFormat="1" applyFont="1" applyFill="1" applyBorder="1"/>
    <xf numFmtId="0" fontId="130" fillId="2" borderId="8" xfId="1200" applyNumberFormat="1" applyFont="1" applyFill="1" applyBorder="1"/>
    <xf numFmtId="0" fontId="0" fillId="2" borderId="68" xfId="0" applyFill="1" applyBorder="1"/>
    <xf numFmtId="0" fontId="2" fillId="2" borderId="4" xfId="0" applyFont="1" applyFill="1" applyBorder="1" applyAlignment="1">
      <alignment horizontal="left" wrapText="1"/>
    </xf>
    <xf numFmtId="0" fontId="2" fillId="2" borderId="0" xfId="0" applyFont="1" applyFill="1" applyAlignment="1">
      <alignment horizontal="left" wrapText="1"/>
    </xf>
    <xf numFmtId="0" fontId="2" fillId="2" borderId="4" xfId="0" applyFont="1" applyFill="1" applyBorder="1" applyAlignment="1">
      <alignment horizontal="left"/>
    </xf>
    <xf numFmtId="180" fontId="2" fillId="2" borderId="0" xfId="0" applyNumberFormat="1" applyFont="1" applyFill="1" applyAlignment="1">
      <alignment horizontal="left"/>
    </xf>
    <xf numFmtId="0" fontId="2" fillId="2" borderId="6" xfId="0" applyFont="1" applyFill="1" applyBorder="1" applyAlignment="1">
      <alignment horizontal="left" vertical="center"/>
    </xf>
    <xf numFmtId="180" fontId="2" fillId="2" borderId="7" xfId="0" applyNumberFormat="1" applyFont="1" applyFill="1" applyBorder="1" applyAlignment="1">
      <alignment horizontal="left" vertical="center"/>
    </xf>
    <xf numFmtId="169" fontId="0" fillId="2" borderId="0" xfId="0" applyNumberFormat="1" applyFill="1" applyAlignment="1">
      <alignment horizontal="left" vertical="center"/>
    </xf>
    <xf numFmtId="169" fontId="61" fillId="2" borderId="0" xfId="1205" applyNumberFormat="1" applyFont="1" applyFill="1"/>
    <xf numFmtId="0" fontId="2" fillId="2" borderId="6" xfId="0" applyFont="1" applyFill="1" applyBorder="1" applyAlignment="1">
      <alignment horizontal="left" indent="1"/>
    </xf>
    <xf numFmtId="0" fontId="2" fillId="2" borderId="42" xfId="0" applyFont="1" applyFill="1" applyBorder="1" applyAlignment="1">
      <alignment horizontal="left" indent="1"/>
    </xf>
    <xf numFmtId="0" fontId="2" fillId="2" borderId="8" xfId="0" applyFont="1" applyFill="1" applyBorder="1"/>
    <xf numFmtId="168" fontId="0" fillId="2" borderId="7" xfId="2" applyFont="1" applyFill="1" applyBorder="1" applyAlignment="1">
      <alignment horizontal="right" indent="1"/>
    </xf>
    <xf numFmtId="170" fontId="0" fillId="2" borderId="70" xfId="0" applyNumberFormat="1" applyFill="1" applyBorder="1"/>
    <xf numFmtId="170" fontId="0" fillId="2" borderId="9" xfId="0" applyNumberFormat="1" applyFill="1" applyBorder="1"/>
    <xf numFmtId="184" fontId="0" fillId="2" borderId="0" xfId="1531" applyNumberFormat="1" applyFont="1" applyFill="1" applyProtection="1"/>
    <xf numFmtId="184" fontId="3" fillId="2" borderId="9" xfId="1531" applyNumberFormat="1" applyFont="1" applyFill="1" applyBorder="1" applyAlignment="1" applyProtection="1">
      <alignment horizontal="right"/>
    </xf>
    <xf numFmtId="184" fontId="0" fillId="2" borderId="7" xfId="1531" applyNumberFormat="1" applyFont="1" applyFill="1" applyBorder="1" applyProtection="1"/>
    <xf numFmtId="170" fontId="0" fillId="2" borderId="68" xfId="0" applyNumberFormat="1" applyFill="1" applyBorder="1"/>
    <xf numFmtId="0" fontId="3" fillId="2" borderId="7" xfId="1" applyNumberFormat="1" applyFont="1" applyFill="1" applyBorder="1"/>
    <xf numFmtId="3" fontId="0" fillId="2" borderId="7" xfId="0" applyNumberFormat="1" applyFill="1" applyBorder="1" applyAlignment="1">
      <alignment horizontal="right" indent="1"/>
    </xf>
    <xf numFmtId="3" fontId="0" fillId="2" borderId="7" xfId="0" applyNumberFormat="1" applyFill="1" applyBorder="1"/>
    <xf numFmtId="169" fontId="0" fillId="2" borderId="0" xfId="0" applyNumberFormat="1" applyFill="1"/>
    <xf numFmtId="0" fontId="0" fillId="2" borderId="67" xfId="0" applyFill="1" applyBorder="1" applyAlignment="1">
      <alignment horizontal="left" indent="1"/>
    </xf>
    <xf numFmtId="0" fontId="0" fillId="2" borderId="68" xfId="0" applyFill="1" applyBorder="1" applyAlignment="1">
      <alignment horizontal="left" indent="1"/>
    </xf>
    <xf numFmtId="3" fontId="0" fillId="2" borderId="68" xfId="0" applyNumberFormat="1" applyFill="1" applyBorder="1" applyAlignment="1">
      <alignment horizontal="right" indent="1"/>
    </xf>
    <xf numFmtId="3" fontId="0" fillId="2" borderId="69" xfId="0" applyNumberFormat="1" applyFill="1" applyBorder="1" applyAlignment="1">
      <alignment horizontal="right" indent="1"/>
    </xf>
    <xf numFmtId="1" fontId="0" fillId="2" borderId="0" xfId="0" applyNumberFormat="1" applyFill="1"/>
    <xf numFmtId="1" fontId="0" fillId="2" borderId="5" xfId="0" applyNumberFormat="1" applyFill="1" applyBorder="1" applyAlignment="1">
      <alignment horizontal="right" indent="1"/>
    </xf>
    <xf numFmtId="1" fontId="0" fillId="2" borderId="5" xfId="0" applyNumberFormat="1" applyFill="1" applyBorder="1"/>
    <xf numFmtId="0" fontId="2" fillId="2" borderId="0" xfId="0" applyFont="1" applyFill="1" applyAlignment="1">
      <alignment vertical="center"/>
    </xf>
    <xf numFmtId="186" fontId="24" fillId="3" borderId="0" xfId="1213" applyFill="1" applyAlignment="1" applyProtection="1">
      <alignment horizontal="left" vertical="center"/>
    </xf>
    <xf numFmtId="183" fontId="3" fillId="82" borderId="0" xfId="1201" applyFont="1" applyFill="1"/>
    <xf numFmtId="1" fontId="3" fillId="2" borderId="5" xfId="1205" applyNumberFormat="1" applyFont="1" applyFill="1" applyBorder="1" applyAlignment="1">
      <alignment horizontal="left"/>
    </xf>
    <xf numFmtId="170" fontId="3" fillId="3" borderId="0" xfId="1139" applyNumberFormat="1" applyFont="1" applyFill="1"/>
    <xf numFmtId="3" fontId="3" fillId="2" borderId="0" xfId="1215" applyNumberFormat="1" applyFont="1" applyFill="1" applyAlignment="1">
      <alignment horizontal="right"/>
    </xf>
    <xf numFmtId="2" fontId="3" fillId="2" borderId="0" xfId="0" applyNumberFormat="1" applyFont="1" applyFill="1"/>
    <xf numFmtId="2" fontId="11" fillId="5" borderId="9" xfId="0" applyNumberFormat="1" applyFont="1" applyFill="1" applyBorder="1" applyAlignment="1">
      <alignment horizontal="center" vertical="center"/>
    </xf>
    <xf numFmtId="2" fontId="8" fillId="2" borderId="0" xfId="0" applyNumberFormat="1" applyFont="1" applyFill="1" applyAlignment="1">
      <alignment horizontal="center" vertical="center"/>
    </xf>
    <xf numFmtId="2" fontId="0" fillId="2" borderId="0" xfId="0" applyNumberFormat="1" applyFill="1" applyAlignment="1">
      <alignment vertical="center"/>
    </xf>
    <xf numFmtId="1" fontId="0" fillId="2" borderId="5" xfId="0" applyNumberFormat="1" applyFill="1" applyBorder="1" applyAlignment="1">
      <alignment horizontal="center" vertical="center"/>
    </xf>
    <xf numFmtId="2" fontId="65" fillId="3" borderId="0" xfId="0" applyNumberFormat="1" applyFont="1" applyFill="1" applyAlignment="1">
      <alignment horizontal="left" vertical="center"/>
    </xf>
    <xf numFmtId="3" fontId="3" fillId="2" borderId="0" xfId="1531" applyNumberFormat="1" applyFont="1" applyFill="1" applyAlignment="1" applyProtection="1">
      <alignment horizontal="right" indent="1"/>
    </xf>
    <xf numFmtId="0" fontId="50" fillId="51" borderId="45" xfId="1206" applyNumberFormat="1" applyFont="1" applyFill="1" applyBorder="1" applyAlignment="1">
      <alignment horizontal="right"/>
    </xf>
    <xf numFmtId="186" fontId="3" fillId="3" borderId="0" xfId="883" applyFont="1" applyFill="1"/>
    <xf numFmtId="186" fontId="48" fillId="3" borderId="0" xfId="883" applyFont="1" applyFill="1"/>
    <xf numFmtId="186" fontId="132" fillId="3" borderId="0" xfId="883" quotePrefix="1" applyFont="1" applyFill="1"/>
    <xf numFmtId="172" fontId="3" fillId="3" borderId="0" xfId="883" quotePrefix="1" applyNumberFormat="1" applyFont="1" applyFill="1"/>
    <xf numFmtId="186" fontId="3" fillId="2" borderId="0" xfId="883" applyFont="1" applyFill="1"/>
    <xf numFmtId="186" fontId="5" fillId="2" borderId="0" xfId="883" applyFont="1" applyFill="1"/>
    <xf numFmtId="186" fontId="5" fillId="2" borderId="22" xfId="883" applyFont="1" applyFill="1" applyBorder="1"/>
    <xf numFmtId="1" fontId="5" fillId="2" borderId="0" xfId="883" applyNumberFormat="1" applyFont="1" applyFill="1"/>
    <xf numFmtId="186" fontId="3" fillId="2" borderId="41" xfId="883" applyFont="1" applyFill="1" applyBorder="1"/>
    <xf numFmtId="186" fontId="59" fillId="46" borderId="0" xfId="883" applyFont="1" applyFill="1" applyAlignment="1">
      <alignment horizontal="left"/>
    </xf>
    <xf numFmtId="169" fontId="3" fillId="2" borderId="0" xfId="883" applyNumberFormat="1" applyFont="1" applyFill="1"/>
    <xf numFmtId="186" fontId="48" fillId="3" borderId="0" xfId="1215" applyFont="1" applyFill="1"/>
    <xf numFmtId="3" fontId="3" fillId="2" borderId="0" xfId="883" applyNumberFormat="1" applyFont="1" applyFill="1"/>
    <xf numFmtId="186" fontId="3" fillId="2" borderId="22" xfId="883" applyFont="1" applyFill="1" applyBorder="1"/>
    <xf numFmtId="169" fontId="3" fillId="2" borderId="22" xfId="883" applyNumberFormat="1" applyFont="1" applyFill="1" applyBorder="1"/>
    <xf numFmtId="186" fontId="51" fillId="2" borderId="0" xfId="883" applyFont="1" applyFill="1"/>
    <xf numFmtId="170" fontId="3" fillId="2" borderId="0" xfId="883" applyNumberFormat="1" applyFont="1" applyFill="1"/>
    <xf numFmtId="170" fontId="3" fillId="2" borderId="0" xfId="883" quotePrefix="1" applyNumberFormat="1" applyFont="1" applyFill="1"/>
    <xf numFmtId="3" fontId="3" fillId="0" borderId="9" xfId="883" applyNumberFormat="1" applyFont="1" applyBorder="1"/>
    <xf numFmtId="3" fontId="3" fillId="5" borderId="9" xfId="1531" applyNumberFormat="1" applyFont="1" applyFill="1" applyBorder="1" applyAlignment="1" applyProtection="1">
      <alignment horizontal="right"/>
    </xf>
    <xf numFmtId="186" fontId="126" fillId="3" borderId="0" xfId="883" applyFont="1" applyFill="1"/>
    <xf numFmtId="186" fontId="126" fillId="2" borderId="0" xfId="883" applyFont="1" applyFill="1"/>
    <xf numFmtId="186" fontId="3" fillId="47" borderId="0" xfId="883" applyFont="1" applyFill="1"/>
    <xf numFmtId="186" fontId="48" fillId="46" borderId="0" xfId="883" applyFont="1" applyFill="1"/>
    <xf numFmtId="186" fontId="3" fillId="46" borderId="0" xfId="883" applyFont="1" applyFill="1"/>
    <xf numFmtId="186" fontId="5" fillId="47" borderId="41" xfId="883" applyFont="1" applyFill="1" applyBorder="1"/>
    <xf numFmtId="186" fontId="5" fillId="47" borderId="41" xfId="883" applyFont="1" applyFill="1" applyBorder="1" applyAlignment="1">
      <alignment horizontal="right"/>
    </xf>
    <xf numFmtId="186" fontId="59" fillId="46" borderId="0" xfId="883" applyFont="1" applyFill="1" applyAlignment="1">
      <alignment horizontal="center"/>
    </xf>
    <xf numFmtId="186" fontId="5" fillId="46" borderId="0" xfId="883" applyFont="1" applyFill="1"/>
    <xf numFmtId="186" fontId="5" fillId="47" borderId="22" xfId="883" applyFont="1" applyFill="1" applyBorder="1"/>
    <xf numFmtId="0" fontId="5" fillId="47" borderId="22" xfId="883" applyNumberFormat="1" applyFont="1" applyFill="1" applyBorder="1"/>
    <xf numFmtId="186" fontId="5" fillId="47" borderId="0" xfId="883" applyFont="1" applyFill="1"/>
    <xf numFmtId="186" fontId="51" fillId="47" borderId="0" xfId="883" applyFont="1" applyFill="1" applyAlignment="1">
      <alignment horizontal="centerContinuous"/>
    </xf>
    <xf numFmtId="186" fontId="3" fillId="2" borderId="0" xfId="883" applyFont="1" applyFill="1" applyAlignment="1">
      <alignment horizontal="centerContinuous"/>
    </xf>
    <xf numFmtId="186" fontId="57" fillId="3" borderId="0" xfId="883" applyFont="1" applyFill="1"/>
    <xf numFmtId="170" fontId="3" fillId="0" borderId="33" xfId="883" applyNumberFormat="1" applyFont="1" applyBorder="1"/>
    <xf numFmtId="169" fontId="3" fillId="3" borderId="33" xfId="883" applyNumberFormat="1" applyFont="1" applyFill="1" applyBorder="1"/>
    <xf numFmtId="4" fontId="48" fillId="3" borderId="0" xfId="883" applyNumberFormat="1" applyFont="1" applyFill="1"/>
    <xf numFmtId="186" fontId="3" fillId="2" borderId="21" xfId="883" applyFont="1" applyFill="1" applyBorder="1"/>
    <xf numFmtId="185" fontId="3" fillId="3" borderId="0" xfId="883" applyNumberFormat="1" applyFont="1" applyFill="1"/>
    <xf numFmtId="186" fontId="48" fillId="2" borderId="0" xfId="883" applyFont="1" applyFill="1"/>
    <xf numFmtId="0" fontId="3" fillId="3" borderId="0" xfId="883" applyNumberFormat="1" applyFont="1" applyFill="1"/>
    <xf numFmtId="0" fontId="5" fillId="2" borderId="22" xfId="883" applyNumberFormat="1" applyFont="1" applyFill="1" applyBorder="1"/>
    <xf numFmtId="186" fontId="59" fillId="3" borderId="0" xfId="883" applyFont="1" applyFill="1" applyAlignment="1">
      <alignment horizontal="left"/>
    </xf>
    <xf numFmtId="186" fontId="51" fillId="2" borderId="0" xfId="883" applyFont="1" applyFill="1" applyAlignment="1">
      <alignment horizontal="right"/>
    </xf>
    <xf numFmtId="170" fontId="135" fillId="2" borderId="0" xfId="883" applyNumberFormat="1" applyFont="1" applyFill="1"/>
    <xf numFmtId="186" fontId="136" fillId="2" borderId="0" xfId="883" applyFont="1" applyFill="1"/>
    <xf numFmtId="3" fontId="4" fillId="2" borderId="0" xfId="883" applyNumberFormat="1" applyFont="1" applyFill="1" applyAlignment="1">
      <alignment horizontal="right" indent="1"/>
    </xf>
    <xf numFmtId="1" fontId="4" fillId="2" borderId="0" xfId="883" applyNumberFormat="1" applyFont="1" applyFill="1" applyAlignment="1">
      <alignment horizontal="right" indent="1"/>
    </xf>
    <xf numFmtId="3" fontId="3" fillId="0" borderId="33" xfId="883" applyNumberFormat="1" applyFont="1" applyBorder="1" applyAlignment="1">
      <alignment horizontal="right" indent="1"/>
    </xf>
    <xf numFmtId="170" fontId="4" fillId="2" borderId="0" xfId="883" applyNumberFormat="1" applyFont="1" applyFill="1" applyAlignment="1">
      <alignment horizontal="right" indent="1"/>
    </xf>
    <xf numFmtId="186" fontId="48" fillId="2" borderId="22" xfId="883" applyFont="1" applyFill="1" applyBorder="1" applyAlignment="1">
      <alignment horizontal="right" indent="1"/>
    </xf>
    <xf numFmtId="186" fontId="48" fillId="3" borderId="0" xfId="883" applyFont="1" applyFill="1" applyAlignment="1">
      <alignment horizontal="right" indent="1"/>
    </xf>
    <xf numFmtId="186" fontId="3" fillId="2" borderId="0" xfId="883" applyFont="1" applyFill="1" applyAlignment="1">
      <alignment horizontal="right" indent="1"/>
    </xf>
    <xf numFmtId="186" fontId="3" fillId="2" borderId="22" xfId="883" applyFont="1" applyFill="1" applyBorder="1" applyAlignment="1">
      <alignment horizontal="right" indent="1"/>
    </xf>
    <xf numFmtId="186" fontId="51" fillId="2" borderId="0" xfId="883" applyFont="1" applyFill="1" applyAlignment="1">
      <alignment horizontal="right" indent="1"/>
    </xf>
    <xf numFmtId="186" fontId="48" fillId="2" borderId="0" xfId="883" applyFont="1" applyFill="1" applyAlignment="1">
      <alignment horizontal="right" indent="1"/>
    </xf>
    <xf numFmtId="3" fontId="4" fillId="0" borderId="33" xfId="883" applyNumberFormat="1" applyFont="1" applyBorder="1" applyAlignment="1">
      <alignment horizontal="right" indent="1"/>
    </xf>
    <xf numFmtId="1" fontId="3" fillId="2" borderId="0" xfId="883" applyNumberFormat="1" applyFont="1" applyFill="1" applyAlignment="1">
      <alignment horizontal="right" indent="1"/>
    </xf>
    <xf numFmtId="1" fontId="4" fillId="0" borderId="33" xfId="883" applyNumberFormat="1" applyFont="1" applyBorder="1" applyAlignment="1">
      <alignment horizontal="right" indent="1"/>
    </xf>
    <xf numFmtId="184" fontId="0" fillId="2" borderId="5" xfId="1531" applyNumberFormat="1" applyFont="1" applyFill="1" applyBorder="1" applyProtection="1"/>
    <xf numFmtId="9" fontId="0" fillId="2" borderId="5" xfId="1531" applyNumberFormat="1" applyFont="1" applyFill="1" applyBorder="1" applyProtection="1"/>
    <xf numFmtId="169" fontId="0" fillId="2" borderId="70" xfId="0" applyNumberFormat="1" applyFill="1" applyBorder="1" applyAlignment="1">
      <alignment horizontal="right" vertical="center" indent="1"/>
    </xf>
    <xf numFmtId="169" fontId="0" fillId="2" borderId="9" xfId="0" applyNumberFormat="1" applyFill="1" applyBorder="1" applyAlignment="1">
      <alignment horizontal="right" vertical="center" indent="1"/>
    </xf>
    <xf numFmtId="169" fontId="0" fillId="2" borderId="14" xfId="0" applyNumberFormat="1" applyFill="1" applyBorder="1" applyAlignment="1">
      <alignment horizontal="right" vertical="center" indent="1"/>
    </xf>
    <xf numFmtId="169" fontId="3" fillId="2" borderId="9" xfId="0" applyNumberFormat="1" applyFont="1" applyFill="1" applyBorder="1" applyAlignment="1">
      <alignment horizontal="right" vertical="center" indent="1"/>
    </xf>
    <xf numFmtId="169" fontId="3" fillId="2" borderId="14" xfId="0" applyNumberFormat="1" applyFont="1" applyFill="1" applyBorder="1" applyAlignment="1">
      <alignment horizontal="right" vertical="center" indent="1"/>
    </xf>
    <xf numFmtId="169" fontId="0" fillId="2" borderId="11" xfId="0" applyNumberFormat="1" applyFill="1" applyBorder="1" applyAlignment="1">
      <alignment horizontal="right" vertical="center" indent="1"/>
    </xf>
    <xf numFmtId="169" fontId="0" fillId="2" borderId="14" xfId="0" applyNumberFormat="1" applyFill="1" applyBorder="1" applyAlignment="1">
      <alignment horizontal="right" indent="1"/>
    </xf>
    <xf numFmtId="169" fontId="0" fillId="2" borderId="9" xfId="0" applyNumberFormat="1" applyFill="1" applyBorder="1" applyAlignment="1">
      <alignment horizontal="right" indent="1"/>
    </xf>
    <xf numFmtId="0" fontId="2" fillId="3" borderId="70" xfId="0" applyFont="1" applyFill="1" applyBorder="1"/>
    <xf numFmtId="0" fontId="0" fillId="3" borderId="14" xfId="0" applyFill="1" applyBorder="1"/>
    <xf numFmtId="0" fontId="0" fillId="3" borderId="11" xfId="0" applyFill="1" applyBorder="1"/>
    <xf numFmtId="1" fontId="2" fillId="2" borderId="50" xfId="0" applyNumberFormat="1" applyFont="1" applyFill="1" applyBorder="1" applyAlignment="1">
      <alignment horizontal="left" vertical="center"/>
    </xf>
    <xf numFmtId="1" fontId="2" fillId="2" borderId="18" xfId="0" applyNumberFormat="1" applyFont="1" applyFill="1" applyBorder="1" applyAlignment="1">
      <alignment horizontal="left" vertical="center"/>
    </xf>
    <xf numFmtId="1" fontId="2" fillId="2" borderId="19" xfId="0" applyNumberFormat="1" applyFont="1" applyFill="1" applyBorder="1" applyAlignment="1">
      <alignment horizontal="left" vertical="center"/>
    </xf>
    <xf numFmtId="1" fontId="5" fillId="2" borderId="0" xfId="0" applyNumberFormat="1" applyFont="1" applyFill="1"/>
    <xf numFmtId="1" fontId="2" fillId="45" borderId="0" xfId="0" applyNumberFormat="1" applyFont="1" applyFill="1"/>
    <xf numFmtId="2" fontId="2" fillId="45" borderId="0" xfId="0" applyNumberFormat="1" applyFont="1" applyFill="1"/>
    <xf numFmtId="2" fontId="3" fillId="45" borderId="0" xfId="0" applyNumberFormat="1" applyFont="1" applyFill="1"/>
    <xf numFmtId="1" fontId="1" fillId="45" borderId="0" xfId="0" applyNumberFormat="1" applyFont="1" applyFill="1"/>
    <xf numFmtId="1" fontId="3" fillId="45" borderId="0" xfId="0" applyNumberFormat="1" applyFont="1" applyFill="1"/>
    <xf numFmtId="1" fontId="5" fillId="45" borderId="55" xfId="0" applyNumberFormat="1" applyFont="1" applyFill="1" applyBorder="1"/>
    <xf numFmtId="2" fontId="5" fillId="45" borderId="41" xfId="0" applyNumberFormat="1" applyFont="1" applyFill="1" applyBorder="1"/>
    <xf numFmtId="1" fontId="5" fillId="45" borderId="41" xfId="0" applyNumberFormat="1" applyFont="1" applyFill="1" applyBorder="1"/>
    <xf numFmtId="1" fontId="3" fillId="45" borderId="54" xfId="0" applyNumberFormat="1" applyFont="1" applyFill="1" applyBorder="1"/>
    <xf numFmtId="2" fontId="3" fillId="45" borderId="72" xfId="0" applyNumberFormat="1" applyFont="1" applyFill="1" applyBorder="1"/>
    <xf numFmtId="184" fontId="3" fillId="45" borderId="72" xfId="1531" applyNumberFormat="1" applyFont="1" applyFill="1" applyBorder="1" applyProtection="1"/>
    <xf numFmtId="170" fontId="3" fillId="45" borderId="72" xfId="0" applyNumberFormat="1" applyFont="1" applyFill="1" applyBorder="1"/>
    <xf numFmtId="3" fontId="3" fillId="45" borderId="72" xfId="0" applyNumberFormat="1" applyFont="1" applyFill="1" applyBorder="1"/>
    <xf numFmtId="4" fontId="3" fillId="45" borderId="72" xfId="0" applyNumberFormat="1" applyFont="1" applyFill="1" applyBorder="1"/>
    <xf numFmtId="169" fontId="3" fillId="45" borderId="72" xfId="0" applyNumberFormat="1" applyFont="1" applyFill="1" applyBorder="1"/>
    <xf numFmtId="1" fontId="3" fillId="45" borderId="73" xfId="0" applyNumberFormat="1" applyFont="1" applyFill="1" applyBorder="1"/>
    <xf numFmtId="2" fontId="3" fillId="45" borderId="22" xfId="0" applyNumberFormat="1" applyFont="1" applyFill="1" applyBorder="1"/>
    <xf numFmtId="1" fontId="3" fillId="45" borderId="22" xfId="0" applyNumberFormat="1" applyFont="1" applyFill="1" applyBorder="1"/>
    <xf numFmtId="169" fontId="3" fillId="45" borderId="74" xfId="0" applyNumberFormat="1" applyFont="1" applyFill="1" applyBorder="1"/>
    <xf numFmtId="1" fontId="5" fillId="45" borderId="71" xfId="0" applyNumberFormat="1" applyFont="1" applyFill="1" applyBorder="1"/>
    <xf numFmtId="170" fontId="62" fillId="5" borderId="9" xfId="0" applyNumberFormat="1" applyFont="1" applyFill="1" applyBorder="1" applyAlignment="1">
      <alignment horizontal="center" vertical="center"/>
    </xf>
    <xf numFmtId="182" fontId="62" fillId="0" borderId="9" xfId="2" applyNumberFormat="1" applyFont="1" applyFill="1" applyBorder="1"/>
    <xf numFmtId="3" fontId="62" fillId="5" borderId="9" xfId="2" applyNumberFormat="1" applyFont="1" applyFill="1" applyBorder="1" applyAlignment="1">
      <alignment horizontal="right" indent="1"/>
    </xf>
    <xf numFmtId="3" fontId="62" fillId="5" borderId="9" xfId="0" applyNumberFormat="1" applyFont="1" applyFill="1" applyBorder="1" applyAlignment="1">
      <alignment horizontal="right"/>
    </xf>
    <xf numFmtId="1" fontId="3" fillId="2" borderId="21" xfId="0" applyNumberFormat="1" applyFont="1" applyFill="1" applyBorder="1"/>
    <xf numFmtId="2" fontId="3" fillId="2" borderId="21" xfId="0" applyNumberFormat="1" applyFont="1" applyFill="1" applyBorder="1"/>
    <xf numFmtId="1" fontId="3" fillId="45" borderId="0" xfId="0" applyNumberFormat="1" applyFont="1" applyFill="1" applyAlignment="1">
      <alignment wrapText="1"/>
    </xf>
    <xf numFmtId="1" fontId="3" fillId="2" borderId="22" xfId="0" applyNumberFormat="1" applyFont="1" applyFill="1" applyBorder="1"/>
    <xf numFmtId="2" fontId="3" fillId="2" borderId="22" xfId="0" applyNumberFormat="1" applyFont="1" applyFill="1" applyBorder="1"/>
    <xf numFmtId="1" fontId="3" fillId="45" borderId="71" xfId="0" applyNumberFormat="1" applyFont="1" applyFill="1" applyBorder="1"/>
    <xf numFmtId="1" fontId="3" fillId="45" borderId="72" xfId="0" applyNumberFormat="1" applyFont="1" applyFill="1" applyBorder="1"/>
    <xf numFmtId="1" fontId="3" fillId="45" borderId="74" xfId="0" applyNumberFormat="1" applyFont="1" applyFill="1" applyBorder="1"/>
    <xf numFmtId="1" fontId="2" fillId="45" borderId="55" xfId="0" applyNumberFormat="1" applyFont="1" applyFill="1" applyBorder="1"/>
    <xf numFmtId="1" fontId="3" fillId="3" borderId="0" xfId="0" applyNumberFormat="1" applyFont="1" applyFill="1"/>
    <xf numFmtId="2" fontId="3" fillId="2" borderId="0" xfId="903" applyNumberFormat="1" applyFont="1" applyFill="1" applyAlignment="1">
      <alignment horizontal="right"/>
    </xf>
    <xf numFmtId="180" fontId="3" fillId="2" borderId="0" xfId="903" applyNumberFormat="1" applyFont="1" applyFill="1" applyAlignment="1">
      <alignment horizontal="right"/>
    </xf>
    <xf numFmtId="1" fontId="5" fillId="45" borderId="0" xfId="0" applyNumberFormat="1" applyFont="1" applyFill="1"/>
    <xf numFmtId="1" fontId="3" fillId="2" borderId="0" xfId="0" applyNumberFormat="1" applyFont="1" applyFill="1" applyAlignment="1">
      <alignment horizontal="right" wrapText="1"/>
    </xf>
    <xf numFmtId="1" fontId="5" fillId="2" borderId="0" xfId="0" applyNumberFormat="1" applyFont="1" applyFill="1" applyAlignment="1">
      <alignment horizontal="left" wrapText="1"/>
    </xf>
    <xf numFmtId="1" fontId="0" fillId="45" borderId="22" xfId="0" applyNumberFormat="1" applyFill="1" applyBorder="1"/>
    <xf numFmtId="2" fontId="0" fillId="45" borderId="22" xfId="0" applyNumberFormat="1" applyFill="1" applyBorder="1"/>
    <xf numFmtId="170" fontId="0" fillId="44" borderId="42" xfId="0" applyNumberFormat="1" applyFill="1" applyBorder="1" applyAlignment="1">
      <alignment horizontal="center"/>
    </xf>
    <xf numFmtId="10" fontId="3" fillId="3" borderId="0" xfId="1531" applyNumberFormat="1" applyFont="1" applyFill="1" applyProtection="1"/>
    <xf numFmtId="170" fontId="0" fillId="44" borderId="9" xfId="0" applyNumberFormat="1" applyFill="1" applyBorder="1" applyAlignment="1">
      <alignment horizontal="center" vertical="center"/>
    </xf>
    <xf numFmtId="169" fontId="0" fillId="44" borderId="70" xfId="0" applyNumberFormat="1" applyFill="1" applyBorder="1" applyAlignment="1">
      <alignment horizontal="right" indent="1"/>
    </xf>
    <xf numFmtId="184" fontId="3" fillId="44" borderId="9" xfId="1531" applyNumberFormat="1" applyFont="1" applyFill="1" applyBorder="1" applyAlignment="1" applyProtection="1">
      <alignment horizontal="right"/>
    </xf>
    <xf numFmtId="2" fontId="65" fillId="3" borderId="0" xfId="0" applyNumberFormat="1" applyFont="1" applyFill="1" applyAlignment="1">
      <alignment horizontal="center" vertical="center"/>
    </xf>
    <xf numFmtId="2" fontId="11" fillId="44" borderId="9" xfId="0" applyNumberFormat="1" applyFont="1" applyFill="1" applyBorder="1" applyAlignment="1">
      <alignment horizontal="center"/>
    </xf>
    <xf numFmtId="186" fontId="3" fillId="45" borderId="0" xfId="1139" applyFont="1" applyFill="1" applyAlignment="1">
      <alignment horizontal="left" indent="2"/>
    </xf>
    <xf numFmtId="186" fontId="3" fillId="45" borderId="0" xfId="1139" applyFont="1" applyFill="1"/>
    <xf numFmtId="186" fontId="5" fillId="45" borderId="0" xfId="1139" applyFont="1" applyFill="1"/>
    <xf numFmtId="14" fontId="3" fillId="2" borderId="0" xfId="0" applyNumberFormat="1" applyFont="1" applyFill="1"/>
    <xf numFmtId="169" fontId="0" fillId="3" borderId="0" xfId="0" applyNumberFormat="1" applyFill="1"/>
    <xf numFmtId="1" fontId="3" fillId="45" borderId="71" xfId="0" applyNumberFormat="1" applyFont="1" applyFill="1" applyBorder="1" applyAlignment="1">
      <alignment horizontal="right"/>
    </xf>
    <xf numFmtId="186" fontId="0" fillId="2" borderId="67" xfId="0" applyNumberFormat="1" applyFill="1" applyBorder="1" applyAlignment="1">
      <alignment horizontal="center" vertical="center"/>
    </xf>
    <xf numFmtId="186" fontId="0" fillId="2" borderId="69" xfId="0" applyNumberFormat="1" applyFill="1" applyBorder="1" applyAlignment="1">
      <alignment horizontal="center" vertical="center" wrapText="1"/>
    </xf>
    <xf numFmtId="17" fontId="0" fillId="2" borderId="4" xfId="0" applyNumberFormat="1" applyFill="1" applyBorder="1" applyAlignment="1">
      <alignment horizontal="left" vertical="center"/>
    </xf>
    <xf numFmtId="2" fontId="0" fillId="2" borderId="6" xfId="0" applyNumberFormat="1" applyFill="1" applyBorder="1" applyAlignment="1">
      <alignment horizontal="left" vertical="center" wrapText="1"/>
    </xf>
    <xf numFmtId="2" fontId="2" fillId="2" borderId="8" xfId="0" applyNumberFormat="1" applyFont="1" applyFill="1" applyBorder="1" applyAlignment="1">
      <alignment horizontal="center" vertical="center"/>
    </xf>
    <xf numFmtId="184" fontId="3" fillId="2" borderId="0" xfId="1531" applyNumberFormat="1" applyFont="1" applyFill="1" applyProtection="1"/>
    <xf numFmtId="10" fontId="3" fillId="2" borderId="0" xfId="1531" applyNumberFormat="1" applyFont="1" applyFill="1" applyProtection="1"/>
    <xf numFmtId="169" fontId="3" fillId="5" borderId="0" xfId="0" applyNumberFormat="1" applyFont="1" applyFill="1" applyAlignment="1">
      <alignment horizontal="right"/>
    </xf>
    <xf numFmtId="170" fontId="0" fillId="2" borderId="0" xfId="0" quotePrefix="1" applyNumberFormat="1" applyFill="1" applyAlignment="1">
      <alignment horizontal="center" vertical="center"/>
    </xf>
    <xf numFmtId="1" fontId="62" fillId="5" borderId="9" xfId="0" applyNumberFormat="1" applyFont="1" applyFill="1" applyBorder="1"/>
    <xf numFmtId="184" fontId="3" fillId="83" borderId="33" xfId="0" applyNumberFormat="1" applyFont="1" applyFill="1" applyBorder="1" applyAlignment="1">
      <alignment horizontal="right"/>
    </xf>
    <xf numFmtId="3" fontId="62" fillId="0" borderId="9" xfId="1531" applyNumberFormat="1" applyFont="1" applyBorder="1" applyAlignment="1" applyProtection="1">
      <alignment horizontal="right" vertical="center"/>
    </xf>
    <xf numFmtId="169" fontId="61" fillId="84" borderId="7" xfId="1201" applyNumberFormat="1" applyFont="1" applyFill="1" applyBorder="1"/>
    <xf numFmtId="1" fontId="3" fillId="45" borderId="55" xfId="0" applyNumberFormat="1" applyFont="1" applyFill="1" applyBorder="1"/>
    <xf numFmtId="1" fontId="5" fillId="45" borderId="54" xfId="0" applyNumberFormat="1" applyFont="1" applyFill="1" applyBorder="1"/>
    <xf numFmtId="1" fontId="3" fillId="45" borderId="41" xfId="0" applyNumberFormat="1" applyFont="1" applyFill="1" applyBorder="1" applyAlignment="1">
      <alignment horizontal="right"/>
    </xf>
    <xf numFmtId="1" fontId="3" fillId="45" borderId="41" xfId="0" applyNumberFormat="1" applyFont="1" applyFill="1" applyBorder="1"/>
    <xf numFmtId="1" fontId="3" fillId="45" borderId="0" xfId="0" applyNumberFormat="1" applyFont="1" applyFill="1" applyAlignment="1">
      <alignment horizontal="right"/>
    </xf>
    <xf numFmtId="1" fontId="3" fillId="45" borderId="0" xfId="0" quotePrefix="1" applyNumberFormat="1" applyFont="1" applyFill="1" applyAlignment="1">
      <alignment horizontal="right"/>
    </xf>
    <xf numFmtId="1" fontId="3" fillId="45" borderId="22" xfId="0" quotePrefix="1" applyNumberFormat="1" applyFont="1" applyFill="1" applyBorder="1" applyAlignment="1">
      <alignment horizontal="right"/>
    </xf>
    <xf numFmtId="169" fontId="62" fillId="0" borderId="9" xfId="0" applyNumberFormat="1" applyFont="1" applyBorder="1" applyAlignment="1">
      <alignment horizontal="right"/>
    </xf>
    <xf numFmtId="3" fontId="62" fillId="0" borderId="9" xfId="0" applyNumberFormat="1" applyFont="1" applyBorder="1" applyAlignment="1">
      <alignment horizontal="right"/>
    </xf>
    <xf numFmtId="169" fontId="137" fillId="5" borderId="9" xfId="0" applyNumberFormat="1" applyFont="1" applyFill="1" applyBorder="1" applyAlignment="1">
      <alignment horizontal="center"/>
    </xf>
    <xf numFmtId="169" fontId="3" fillId="2" borderId="0" xfId="0" applyNumberFormat="1" applyFont="1" applyFill="1" applyAlignment="1">
      <alignment horizontal="right" indent="1"/>
    </xf>
    <xf numFmtId="3" fontId="137" fillId="5" borderId="9" xfId="0" applyNumberFormat="1" applyFont="1" applyFill="1" applyBorder="1" applyAlignment="1">
      <alignment horizontal="center"/>
    </xf>
    <xf numFmtId="3" fontId="65" fillId="5" borderId="9" xfId="0" applyNumberFormat="1" applyFont="1" applyFill="1" applyBorder="1" applyAlignment="1">
      <alignment horizontal="center"/>
    </xf>
    <xf numFmtId="182" fontId="62" fillId="5" borderId="9" xfId="2" applyNumberFormat="1" applyFont="1" applyFill="1" applyBorder="1" applyAlignment="1">
      <alignment horizontal="center" vertical="center"/>
    </xf>
    <xf numFmtId="169" fontId="62" fillId="0" borderId="9" xfId="1531" applyNumberFormat="1" applyFont="1" applyBorder="1" applyAlignment="1" applyProtection="1">
      <alignment horizontal="right" vertical="center"/>
    </xf>
    <xf numFmtId="2" fontId="2" fillId="45" borderId="41" xfId="0" applyNumberFormat="1" applyFont="1" applyFill="1" applyBorder="1"/>
    <xf numFmtId="1" fontId="2" fillId="45" borderId="41" xfId="0" applyNumberFormat="1" applyFont="1" applyFill="1" applyBorder="1"/>
    <xf numFmtId="3" fontId="3" fillId="45" borderId="71" xfId="0" applyNumberFormat="1" applyFont="1" applyFill="1" applyBorder="1"/>
    <xf numFmtId="1" fontId="0" fillId="45" borderId="54" xfId="0" applyNumberFormat="1" applyFill="1" applyBorder="1"/>
    <xf numFmtId="170" fontId="0" fillId="45" borderId="0" xfId="0" applyNumberFormat="1" applyFill="1"/>
    <xf numFmtId="1" fontId="0" fillId="45" borderId="0" xfId="0" applyNumberFormat="1" applyFill="1"/>
    <xf numFmtId="2" fontId="0" fillId="45" borderId="0" xfId="0" applyNumberFormat="1" applyFill="1"/>
    <xf numFmtId="1" fontId="0" fillId="45" borderId="73" xfId="0" applyNumberFormat="1" applyFill="1" applyBorder="1"/>
    <xf numFmtId="10" fontId="3" fillId="2" borderId="9" xfId="1531" applyNumberFormat="1" applyFont="1" applyFill="1" applyBorder="1" applyAlignment="1" applyProtection="1">
      <alignment horizontal="right"/>
    </xf>
    <xf numFmtId="170" fontId="0" fillId="2" borderId="19" xfId="0" applyNumberFormat="1" applyFill="1" applyBorder="1"/>
    <xf numFmtId="2" fontId="0" fillId="3" borderId="0" xfId="0" quotePrefix="1" applyNumberFormat="1" applyFill="1" applyAlignment="1">
      <alignment horizontal="left"/>
    </xf>
    <xf numFmtId="1" fontId="3" fillId="2" borderId="0" xfId="0" applyNumberFormat="1" applyFont="1" applyFill="1" applyAlignment="1">
      <alignment vertical="top"/>
    </xf>
    <xf numFmtId="2" fontId="3" fillId="85" borderId="0" xfId="0" applyNumberFormat="1" applyFont="1" applyFill="1"/>
    <xf numFmtId="184" fontId="3" fillId="85" borderId="0" xfId="1531" applyNumberFormat="1" applyFont="1" applyFill="1" applyProtection="1"/>
    <xf numFmtId="170" fontId="3" fillId="85" borderId="0" xfId="0" applyNumberFormat="1" applyFont="1" applyFill="1"/>
    <xf numFmtId="10" fontId="3" fillId="85" borderId="0" xfId="1531" applyNumberFormat="1" applyFont="1" applyFill="1" applyProtection="1"/>
    <xf numFmtId="1" fontId="3" fillId="85" borderId="22" xfId="0" applyNumberFormat="1" applyFont="1" applyFill="1" applyBorder="1"/>
    <xf numFmtId="170" fontId="0" fillId="3" borderId="0" xfId="0" quotePrefix="1" applyNumberFormat="1" applyFill="1"/>
    <xf numFmtId="225" fontId="3" fillId="2" borderId="0" xfId="0" applyNumberFormat="1" applyFont="1" applyFill="1" applyAlignment="1">
      <alignment horizontal="right"/>
    </xf>
    <xf numFmtId="0" fontId="3" fillId="3" borderId="0" xfId="0" quotePrefix="1" applyFont="1" applyFill="1"/>
    <xf numFmtId="0" fontId="3" fillId="45" borderId="55" xfId="0" applyFont="1" applyFill="1" applyBorder="1"/>
    <xf numFmtId="0" fontId="3" fillId="45" borderId="0" xfId="0" applyFont="1" applyFill="1"/>
    <xf numFmtId="0" fontId="3" fillId="45" borderId="72" xfId="0" applyFont="1" applyFill="1" applyBorder="1"/>
    <xf numFmtId="2" fontId="3" fillId="45" borderId="74" xfId="0" applyNumberFormat="1" applyFont="1" applyFill="1" applyBorder="1"/>
    <xf numFmtId="0" fontId="5" fillId="45" borderId="41" xfId="0" applyFont="1" applyFill="1" applyBorder="1" applyAlignment="1">
      <alignment horizontal="right"/>
    </xf>
    <xf numFmtId="0" fontId="5" fillId="45" borderId="71" xfId="0" applyFont="1" applyFill="1" applyBorder="1" applyAlignment="1">
      <alignment horizontal="right"/>
    </xf>
    <xf numFmtId="0" fontId="5" fillId="45" borderId="54" xfId="0" applyFont="1" applyFill="1" applyBorder="1"/>
    <xf numFmtId="0" fontId="5" fillId="45" borderId="73" xfId="0" applyFont="1" applyFill="1" applyBorder="1"/>
    <xf numFmtId="170" fontId="5" fillId="3" borderId="0" xfId="0" quotePrefix="1" applyNumberFormat="1" applyFont="1" applyFill="1"/>
    <xf numFmtId="2" fontId="3" fillId="83" borderId="9" xfId="0" applyNumberFormat="1" applyFont="1" applyFill="1" applyBorder="1" applyAlignment="1">
      <alignment horizontal="right"/>
    </xf>
    <xf numFmtId="3" fontId="61" fillId="86" borderId="33" xfId="1201" applyNumberFormat="1" applyFont="1" applyFill="1" applyBorder="1"/>
    <xf numFmtId="169" fontId="61" fillId="86" borderId="33" xfId="1201" applyNumberFormat="1" applyFont="1" applyFill="1" applyBorder="1"/>
    <xf numFmtId="0" fontId="2" fillId="2" borderId="67" xfId="0" applyFont="1" applyFill="1" applyBorder="1" applyAlignment="1">
      <alignment horizontal="centerContinuous" vertical="center"/>
    </xf>
    <xf numFmtId="0" fontId="2" fillId="2" borderId="45" xfId="0" applyFont="1" applyFill="1" applyBorder="1" applyAlignment="1">
      <alignment horizontal="centerContinuous" vertical="center"/>
    </xf>
    <xf numFmtId="0" fontId="0" fillId="3" borderId="75" xfId="0" applyFill="1" applyBorder="1" applyAlignment="1">
      <alignment horizontal="right" indent="1"/>
    </xf>
    <xf numFmtId="1" fontId="2" fillId="45" borderId="76" xfId="0" applyNumberFormat="1" applyFont="1" applyFill="1" applyBorder="1"/>
    <xf numFmtId="2" fontId="2" fillId="45" borderId="77" xfId="0" applyNumberFormat="1" applyFont="1" applyFill="1" applyBorder="1"/>
    <xf numFmtId="1" fontId="2" fillId="45" borderId="77" xfId="0" applyNumberFormat="1" applyFont="1" applyFill="1" applyBorder="1"/>
    <xf numFmtId="1" fontId="3" fillId="45" borderId="78" xfId="0" applyNumberFormat="1" applyFont="1" applyFill="1" applyBorder="1"/>
    <xf numFmtId="1" fontId="0" fillId="45" borderId="79" xfId="0" applyNumberFormat="1" applyFill="1" applyBorder="1"/>
    <xf numFmtId="170" fontId="3" fillId="45" borderId="80" xfId="0" applyNumberFormat="1" applyFont="1" applyFill="1" applyBorder="1"/>
    <xf numFmtId="1" fontId="0" fillId="45" borderId="81" xfId="0" applyNumberFormat="1" applyFill="1" applyBorder="1"/>
    <xf numFmtId="2" fontId="3" fillId="45" borderId="82" xfId="0" applyNumberFormat="1" applyFont="1" applyFill="1" applyBorder="1"/>
    <xf numFmtId="1" fontId="3" fillId="45" borderId="82" xfId="0" applyNumberFormat="1" applyFont="1" applyFill="1" applyBorder="1"/>
    <xf numFmtId="2" fontId="3" fillId="2" borderId="41" xfId="0" applyNumberFormat="1" applyFont="1" applyFill="1" applyBorder="1"/>
    <xf numFmtId="1" fontId="3" fillId="2" borderId="41" xfId="0" applyNumberFormat="1" applyFont="1" applyFill="1" applyBorder="1"/>
    <xf numFmtId="170" fontId="5" fillId="45" borderId="0" xfId="0" applyNumberFormat="1" applyFont="1" applyFill="1"/>
    <xf numFmtId="2" fontId="3" fillId="45" borderId="41" xfId="0" applyNumberFormat="1" applyFont="1" applyFill="1" applyBorder="1"/>
    <xf numFmtId="1" fontId="3" fillId="45" borderId="71" xfId="0" applyNumberFormat="1" applyFont="1" applyFill="1" applyBorder="1" applyAlignment="1">
      <alignment horizontal="left"/>
    </xf>
    <xf numFmtId="170" fontId="3" fillId="45" borderId="74" xfId="0" applyNumberFormat="1" applyFont="1" applyFill="1" applyBorder="1"/>
    <xf numFmtId="0" fontId="3" fillId="45" borderId="0" xfId="0" applyFont="1" applyFill="1" applyAlignment="1">
      <alignment horizontal="left" indent="2"/>
    </xf>
    <xf numFmtId="170" fontId="5" fillId="45" borderId="0" xfId="0" applyNumberFormat="1" applyFont="1" applyFill="1" applyAlignment="1">
      <alignment horizontal="right"/>
    </xf>
    <xf numFmtId="186" fontId="3" fillId="45" borderId="22" xfId="1139" applyFont="1" applyFill="1" applyBorder="1"/>
    <xf numFmtId="170" fontId="5" fillId="45" borderId="22" xfId="0" applyNumberFormat="1" applyFont="1" applyFill="1" applyBorder="1"/>
    <xf numFmtId="2" fontId="3" fillId="45" borderId="71" xfId="0" applyNumberFormat="1" applyFont="1" applyFill="1" applyBorder="1"/>
    <xf numFmtId="2" fontId="3" fillId="2" borderId="72" xfId="0" applyNumberFormat="1" applyFont="1" applyFill="1" applyBorder="1"/>
    <xf numFmtId="170" fontId="3" fillId="2" borderId="80" xfId="0" applyNumberFormat="1" applyFont="1" applyFill="1" applyBorder="1"/>
    <xf numFmtId="184" fontId="3" fillId="2" borderId="72" xfId="1531" applyNumberFormat="1" applyFont="1" applyFill="1" applyBorder="1" applyProtection="1"/>
    <xf numFmtId="170" fontId="3" fillId="2" borderId="72" xfId="0" applyNumberFormat="1" applyFont="1" applyFill="1" applyBorder="1"/>
    <xf numFmtId="4" fontId="3" fillId="2" borderId="72" xfId="0" applyNumberFormat="1" applyFont="1" applyFill="1" applyBorder="1"/>
    <xf numFmtId="169" fontId="3" fillId="2" borderId="72" xfId="0" applyNumberFormat="1" applyFont="1" applyFill="1" applyBorder="1"/>
    <xf numFmtId="169" fontId="62" fillId="5" borderId="9" xfId="0" applyNumberFormat="1" applyFont="1" applyFill="1" applyBorder="1" applyAlignment="1">
      <alignment horizontal="right"/>
    </xf>
    <xf numFmtId="3" fontId="62" fillId="5" borderId="9" xfId="903" applyNumberFormat="1" applyFont="1" applyFill="1" applyBorder="1" applyAlignment="1">
      <alignment horizontal="right"/>
    </xf>
    <xf numFmtId="3" fontId="62" fillId="5" borderId="70" xfId="0" applyNumberFormat="1" applyFont="1" applyFill="1" applyBorder="1" applyAlignment="1">
      <alignment horizontal="right" vertical="center" indent="1"/>
    </xf>
    <xf numFmtId="3" fontId="138" fillId="5" borderId="33" xfId="1205" applyNumberFormat="1" applyFont="1" applyFill="1" applyBorder="1"/>
    <xf numFmtId="3" fontId="138" fillId="86" borderId="33" xfId="1201" applyNumberFormat="1" applyFont="1" applyFill="1" applyBorder="1"/>
    <xf numFmtId="169" fontId="62" fillId="5" borderId="33" xfId="0" applyNumberFormat="1" applyFont="1" applyFill="1" applyBorder="1" applyAlignment="1">
      <alignment horizontal="right"/>
    </xf>
    <xf numFmtId="169" fontId="3" fillId="44" borderId="33" xfId="0" applyNumberFormat="1" applyFont="1" applyFill="1" applyBorder="1" applyAlignment="1">
      <alignment horizontal="right"/>
    </xf>
    <xf numFmtId="1" fontId="0" fillId="5" borderId="19" xfId="0" applyNumberFormat="1" applyFill="1" applyBorder="1" applyAlignment="1">
      <alignment horizontal="center"/>
    </xf>
    <xf numFmtId="169" fontId="62" fillId="5" borderId="33" xfId="1531" applyNumberFormat="1" applyFont="1" applyFill="1" applyBorder="1" applyAlignment="1" applyProtection="1">
      <alignment horizontal="right"/>
    </xf>
    <xf numFmtId="3" fontId="62" fillId="5" borderId="33" xfId="1531" applyNumberFormat="1" applyFont="1" applyFill="1" applyBorder="1" applyAlignment="1" applyProtection="1">
      <alignment horizontal="right"/>
    </xf>
    <xf numFmtId="3" fontId="62" fillId="5" borderId="33" xfId="0" applyNumberFormat="1" applyFont="1" applyFill="1" applyBorder="1" applyAlignment="1">
      <alignment horizontal="right" vertical="center" indent="1"/>
    </xf>
    <xf numFmtId="169" fontId="62" fillId="5" borderId="33" xfId="0" applyNumberFormat="1" applyFont="1" applyFill="1" applyBorder="1" applyAlignment="1">
      <alignment horizontal="right" vertical="center" indent="1"/>
    </xf>
    <xf numFmtId="3" fontId="62" fillId="5" borderId="33" xfId="883" applyNumberFormat="1" applyFont="1" applyFill="1" applyBorder="1"/>
    <xf numFmtId="9" fontId="0" fillId="3" borderId="0" xfId="0" applyNumberFormat="1" applyFill="1" applyAlignment="1">
      <alignment horizontal="center" vertical="center"/>
    </xf>
    <xf numFmtId="9" fontId="0" fillId="3" borderId="0" xfId="1531" applyNumberFormat="1" applyFont="1" applyFill="1" applyAlignment="1" applyProtection="1">
      <alignment horizontal="left" vertical="center"/>
    </xf>
    <xf numFmtId="170" fontId="137" fillId="5" borderId="9" xfId="0" applyNumberFormat="1" applyFont="1" applyFill="1" applyBorder="1" applyAlignment="1">
      <alignment horizontal="center" vertical="center"/>
    </xf>
    <xf numFmtId="170" fontId="53" fillId="5" borderId="9" xfId="0" applyNumberFormat="1" applyFont="1" applyFill="1" applyBorder="1" applyAlignment="1">
      <alignment horizontal="center"/>
    </xf>
    <xf numFmtId="2" fontId="0" fillId="0" borderId="19" xfId="0" applyNumberFormat="1" applyBorder="1" applyAlignment="1">
      <alignment horizontal="right"/>
    </xf>
    <xf numFmtId="3" fontId="3" fillId="45" borderId="74" xfId="0" applyNumberFormat="1" applyFont="1" applyFill="1" applyBorder="1"/>
    <xf numFmtId="3" fontId="3" fillId="45" borderId="0" xfId="0" applyNumberFormat="1" applyFont="1" applyFill="1"/>
    <xf numFmtId="170" fontId="3" fillId="45" borderId="0" xfId="0" applyNumberFormat="1" applyFont="1" applyFill="1"/>
    <xf numFmtId="3" fontId="3" fillId="45" borderId="15" xfId="0" applyNumberFormat="1" applyFont="1" applyFill="1" applyBorder="1"/>
    <xf numFmtId="170" fontId="3" fillId="45" borderId="15" xfId="0" applyNumberFormat="1" applyFont="1" applyFill="1" applyBorder="1"/>
    <xf numFmtId="0" fontId="2" fillId="49" borderId="0" xfId="0" applyFont="1" applyFill="1" applyAlignment="1">
      <alignment horizontal="center" vertical="center"/>
    </xf>
    <xf numFmtId="186" fontId="51" fillId="2" borderId="0" xfId="1139" applyFont="1" applyFill="1" applyAlignment="1">
      <alignment horizontal="center"/>
    </xf>
    <xf numFmtId="0" fontId="3" fillId="2" borderId="18" xfId="0" applyFont="1" applyFill="1" applyBorder="1" applyAlignment="1">
      <alignment horizontal="center"/>
    </xf>
    <xf numFmtId="1" fontId="5" fillId="2" borderId="42" xfId="0" applyNumberFormat="1" applyFont="1" applyFill="1" applyBorder="1" applyAlignment="1">
      <alignment horizontal="center"/>
    </xf>
    <xf numFmtId="0" fontId="2" fillId="3" borderId="0" xfId="0" applyFont="1" applyFill="1" applyAlignment="1">
      <alignment horizontal="left" vertical="center"/>
    </xf>
    <xf numFmtId="0" fontId="2" fillId="2" borderId="35"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37" xfId="0" applyFont="1" applyFill="1" applyBorder="1" applyAlignment="1">
      <alignment horizontal="center" vertical="center"/>
    </xf>
    <xf numFmtId="0" fontId="5" fillId="2" borderId="67" xfId="0" applyFont="1" applyFill="1" applyBorder="1" applyAlignment="1">
      <alignment horizontal="center"/>
    </xf>
    <xf numFmtId="0" fontId="5" fillId="2" borderId="45" xfId="0" applyFont="1" applyFill="1" applyBorder="1" applyAlignment="1">
      <alignment horizontal="center"/>
    </xf>
    <xf numFmtId="0" fontId="5" fillId="2" borderId="69" xfId="0" applyFont="1" applyFill="1" applyBorder="1" applyAlignment="1">
      <alignment horizontal="center"/>
    </xf>
    <xf numFmtId="186" fontId="2" fillId="3" borderId="0" xfId="0" applyNumberFormat="1" applyFont="1" applyFill="1" applyAlignment="1">
      <alignment horizontal="center" vertical="center"/>
    </xf>
    <xf numFmtId="0" fontId="5" fillId="2" borderId="4" xfId="0" applyFont="1" applyFill="1" applyBorder="1" applyAlignment="1">
      <alignment horizontal="center"/>
    </xf>
    <xf numFmtId="0" fontId="5" fillId="2" borderId="0" xfId="0" applyFont="1" applyFill="1" applyAlignment="1">
      <alignment horizontal="center"/>
    </xf>
    <xf numFmtId="0" fontId="5" fillId="2" borderId="5" xfId="0" applyFont="1" applyFill="1" applyBorder="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xf>
    <xf numFmtId="0" fontId="2" fillId="3" borderId="0" xfId="0" applyFont="1" applyFill="1" applyAlignment="1">
      <alignment horizontal="left" vertical="center" wrapText="1"/>
    </xf>
    <xf numFmtId="0" fontId="2" fillId="2" borderId="67" xfId="0" applyFont="1" applyFill="1" applyBorder="1" applyAlignment="1">
      <alignment horizontal="left" vertical="center"/>
    </xf>
    <xf numFmtId="0" fontId="2" fillId="2" borderId="45" xfId="0" applyFont="1" applyFill="1" applyBorder="1" applyAlignment="1">
      <alignment horizontal="left" vertical="center"/>
    </xf>
    <xf numFmtId="0" fontId="5" fillId="2" borderId="3" xfId="0" applyFont="1" applyFill="1" applyBorder="1" applyAlignment="1">
      <alignment horizontal="center"/>
    </xf>
    <xf numFmtId="0" fontId="2" fillId="5" borderId="0" xfId="0" applyFont="1" applyFill="1" applyAlignment="1">
      <alignment horizontal="center" vertical="center"/>
    </xf>
    <xf numFmtId="0" fontId="2" fillId="45" borderId="4" xfId="0" applyFont="1" applyFill="1" applyBorder="1" applyAlignment="1">
      <alignment horizontal="center" vertical="center" wrapText="1"/>
    </xf>
    <xf numFmtId="0" fontId="2" fillId="45" borderId="0" xfId="0" applyFont="1" applyFill="1" applyAlignment="1">
      <alignment horizontal="center" vertical="center" wrapText="1"/>
    </xf>
    <xf numFmtId="0" fontId="2" fillId="45" borderId="38" xfId="0" applyFont="1" applyFill="1" applyBorder="1" applyAlignment="1">
      <alignment horizontal="center" vertical="center" wrapText="1"/>
    </xf>
    <xf numFmtId="0" fontId="2" fillId="45" borderId="22" xfId="0" applyFont="1" applyFill="1" applyBorder="1" applyAlignment="1">
      <alignment horizontal="center" vertical="center" wrapText="1"/>
    </xf>
    <xf numFmtId="0" fontId="2" fillId="45" borderId="39" xfId="0" applyFont="1" applyFill="1" applyBorder="1" applyAlignment="1">
      <alignment horizontal="center" vertical="center" wrapText="1"/>
    </xf>
    <xf numFmtId="0" fontId="2" fillId="2" borderId="0" xfId="0" applyFont="1" applyFill="1" applyAlignment="1">
      <alignment horizontal="center"/>
    </xf>
    <xf numFmtId="0" fontId="2" fillId="2" borderId="5" xfId="0" applyFont="1" applyFill="1" applyBorder="1" applyAlignment="1">
      <alignment horizontal="center"/>
    </xf>
    <xf numFmtId="0" fontId="5" fillId="2" borderId="21" xfId="0" applyFont="1" applyFill="1" applyBorder="1" applyAlignment="1">
      <alignment horizontal="center"/>
    </xf>
    <xf numFmtId="0" fontId="2" fillId="2" borderId="0" xfId="0" applyFont="1" applyFill="1" applyAlignment="1">
      <alignment horizontal="left" wrapText="1"/>
    </xf>
    <xf numFmtId="0" fontId="2" fillId="2" borderId="5" xfId="0" applyFont="1" applyFill="1" applyBorder="1" applyAlignment="1">
      <alignment horizontal="left" wrapText="1"/>
    </xf>
    <xf numFmtId="0" fontId="2" fillId="3" borderId="0" xfId="0" applyFont="1" applyFill="1" applyAlignment="1">
      <alignment horizontal="lef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0" xfId="0" applyFont="1" applyFill="1" applyBorder="1" applyAlignment="1">
      <alignment horizontal="center" vertical="center"/>
    </xf>
    <xf numFmtId="0" fontId="2" fillId="2" borderId="14" xfId="0" applyFont="1" applyFill="1" applyBorder="1" applyAlignment="1">
      <alignment horizontal="center" vertical="center"/>
    </xf>
  </cellXfs>
  <cellStyles count="1794">
    <cellStyle name="_Copia de DICIEMBRE_2002" xfId="1219" xr:uid="{00000000-0005-0000-0000-000000000000}"/>
    <cellStyle name="_External Debt Calcs Dec 2008" xfId="1220" xr:uid="{00000000-0005-0000-0000-000001000000}"/>
    <cellStyle name="_GTM BOP w Quarterly" xfId="1221" xr:uid="{00000000-0005-0000-0000-000002000000}"/>
    <cellStyle name="_GTM BOP w Quarterly_DataRequestwoutMaquila_20090622" xfId="1222" xr:uid="{00000000-0005-0000-0000-000003000000}"/>
    <cellStyle name="_GTM BOP w Quarterly_rangesCleaned" xfId="1223" xr:uid="{00000000-0005-0000-0000-000004000000}"/>
    <cellStyle name="_GTM BOP w Quarterly_rangesCleaned_DataRequestwoutMaquila_20090622" xfId="1224" xr:uid="{00000000-0005-0000-0000-000005000000}"/>
    <cellStyle name="_HNDBOP - active" xfId="1225" xr:uid="{00000000-0005-0000-0000-000006000000}"/>
    <cellStyle name="_Hoja1" xfId="1226" xr:uid="{00000000-0005-0000-0000-000007000000}"/>
    <cellStyle name="_JUN_2003" xfId="1227" xr:uid="{00000000-0005-0000-0000-000008000000}"/>
    <cellStyle name="_WRS Template1" xfId="1228" xr:uid="{00000000-0005-0000-0000-000009000000}"/>
    <cellStyle name="1 indent" xfId="1229" xr:uid="{00000000-0005-0000-0000-00000A000000}"/>
    <cellStyle name="2 indents" xfId="1230" xr:uid="{00000000-0005-0000-0000-00000B000000}"/>
    <cellStyle name="20% - Accent1 2" xfId="5" xr:uid="{00000000-0005-0000-0000-00000C000000}"/>
    <cellStyle name="20% - Accent1 2 2" xfId="1231" xr:uid="{00000000-0005-0000-0000-00000D000000}"/>
    <cellStyle name="20% - Accent1 3" xfId="6" xr:uid="{00000000-0005-0000-0000-00000E000000}"/>
    <cellStyle name="20% - Accent1 4" xfId="7" xr:uid="{00000000-0005-0000-0000-00000F000000}"/>
    <cellStyle name="20% - Accent2 2" xfId="8" xr:uid="{00000000-0005-0000-0000-000010000000}"/>
    <cellStyle name="20% - Accent2 2 2" xfId="1232" xr:uid="{00000000-0005-0000-0000-000011000000}"/>
    <cellStyle name="20% - Accent2 3" xfId="9" xr:uid="{00000000-0005-0000-0000-000012000000}"/>
    <cellStyle name="20% - Accent2 4" xfId="10" xr:uid="{00000000-0005-0000-0000-000013000000}"/>
    <cellStyle name="20% - Accent3 2" xfId="11" xr:uid="{00000000-0005-0000-0000-000014000000}"/>
    <cellStyle name="20% - Accent3 2 2" xfId="1233" xr:uid="{00000000-0005-0000-0000-000015000000}"/>
    <cellStyle name="20% - Accent3 3" xfId="12" xr:uid="{00000000-0005-0000-0000-000016000000}"/>
    <cellStyle name="20% - Accent3 4" xfId="13" xr:uid="{00000000-0005-0000-0000-000017000000}"/>
    <cellStyle name="20% - Accent4 2" xfId="14" xr:uid="{00000000-0005-0000-0000-000018000000}"/>
    <cellStyle name="20% - Accent4 2 2" xfId="1234" xr:uid="{00000000-0005-0000-0000-000019000000}"/>
    <cellStyle name="20% - Accent4 3" xfId="15" xr:uid="{00000000-0005-0000-0000-00001A000000}"/>
    <cellStyle name="20% - Accent4 4" xfId="16" xr:uid="{00000000-0005-0000-0000-00001B000000}"/>
    <cellStyle name="20% - Accent5 2" xfId="17" xr:uid="{00000000-0005-0000-0000-00001C000000}"/>
    <cellStyle name="20% - Accent5 2 2" xfId="1235" xr:uid="{00000000-0005-0000-0000-00001D000000}"/>
    <cellStyle name="20% - Accent5 3" xfId="18" xr:uid="{00000000-0005-0000-0000-00001E000000}"/>
    <cellStyle name="20% - Accent5 4" xfId="19" xr:uid="{00000000-0005-0000-0000-00001F000000}"/>
    <cellStyle name="20% - Accent6 2" xfId="20" xr:uid="{00000000-0005-0000-0000-000020000000}"/>
    <cellStyle name="20% - Accent6 2 2" xfId="1236" xr:uid="{00000000-0005-0000-0000-000021000000}"/>
    <cellStyle name="20% - Accent6 3" xfId="21" xr:uid="{00000000-0005-0000-0000-000022000000}"/>
    <cellStyle name="20% - Accent6 4" xfId="22" xr:uid="{00000000-0005-0000-0000-000023000000}"/>
    <cellStyle name="20% - Énfasis1" xfId="1237" xr:uid="{00000000-0005-0000-0000-000024000000}"/>
    <cellStyle name="20% - Énfasis2" xfId="1238" xr:uid="{00000000-0005-0000-0000-000025000000}"/>
    <cellStyle name="20% - Énfasis3" xfId="1239" xr:uid="{00000000-0005-0000-0000-000026000000}"/>
    <cellStyle name="20% - Énfasis4" xfId="1240" xr:uid="{00000000-0005-0000-0000-000027000000}"/>
    <cellStyle name="20% - Énfasis5" xfId="1241" xr:uid="{00000000-0005-0000-0000-000028000000}"/>
    <cellStyle name="20% - Énfasis6" xfId="1242" xr:uid="{00000000-0005-0000-0000-000029000000}"/>
    <cellStyle name="3 indents" xfId="1243" xr:uid="{00000000-0005-0000-0000-00002A000000}"/>
    <cellStyle name="4 indents" xfId="1244" xr:uid="{00000000-0005-0000-0000-00002B000000}"/>
    <cellStyle name="40% - Accent1 2" xfId="23" xr:uid="{00000000-0005-0000-0000-00002C000000}"/>
    <cellStyle name="40% - Accent1 2 2" xfId="1245" xr:uid="{00000000-0005-0000-0000-00002D000000}"/>
    <cellStyle name="40% - Accent1 3" xfId="24" xr:uid="{00000000-0005-0000-0000-00002E000000}"/>
    <cellStyle name="40% - Accent1 4" xfId="25" xr:uid="{00000000-0005-0000-0000-00002F000000}"/>
    <cellStyle name="40% - Accent2 2" xfId="26" xr:uid="{00000000-0005-0000-0000-000030000000}"/>
    <cellStyle name="40% - Accent2 2 2" xfId="1246" xr:uid="{00000000-0005-0000-0000-000031000000}"/>
    <cellStyle name="40% - Accent2 3" xfId="27" xr:uid="{00000000-0005-0000-0000-000032000000}"/>
    <cellStyle name="40% - Accent2 4" xfId="28" xr:uid="{00000000-0005-0000-0000-000033000000}"/>
    <cellStyle name="40% - Accent3 2" xfId="29" xr:uid="{00000000-0005-0000-0000-000034000000}"/>
    <cellStyle name="40% - Accent3 2 2" xfId="1247" xr:uid="{00000000-0005-0000-0000-000035000000}"/>
    <cellStyle name="40% - Accent3 3" xfId="30" xr:uid="{00000000-0005-0000-0000-000036000000}"/>
    <cellStyle name="40% - Accent3 4" xfId="31" xr:uid="{00000000-0005-0000-0000-000037000000}"/>
    <cellStyle name="40% - Accent4 2" xfId="32" xr:uid="{00000000-0005-0000-0000-000038000000}"/>
    <cellStyle name="40% - Accent4 2 2" xfId="1248" xr:uid="{00000000-0005-0000-0000-000039000000}"/>
    <cellStyle name="40% - Accent4 3" xfId="33" xr:uid="{00000000-0005-0000-0000-00003A000000}"/>
    <cellStyle name="40% - Accent4 4" xfId="34" xr:uid="{00000000-0005-0000-0000-00003B000000}"/>
    <cellStyle name="40% - Accent5 2" xfId="35" xr:uid="{00000000-0005-0000-0000-00003C000000}"/>
    <cellStyle name="40% - Accent5 2 2" xfId="1249" xr:uid="{00000000-0005-0000-0000-00003D000000}"/>
    <cellStyle name="40% - Accent5 3" xfId="36" xr:uid="{00000000-0005-0000-0000-00003E000000}"/>
    <cellStyle name="40% - Accent5 4" xfId="37" xr:uid="{00000000-0005-0000-0000-00003F000000}"/>
    <cellStyle name="40% - Accent6 2" xfId="38" xr:uid="{00000000-0005-0000-0000-000040000000}"/>
    <cellStyle name="40% - Accent6 2 2" xfId="1250" xr:uid="{00000000-0005-0000-0000-000041000000}"/>
    <cellStyle name="40% - Accent6 3" xfId="39" xr:uid="{00000000-0005-0000-0000-000042000000}"/>
    <cellStyle name="40% - Accent6 4" xfId="40" xr:uid="{00000000-0005-0000-0000-000043000000}"/>
    <cellStyle name="40% - Énfasis1" xfId="1251" xr:uid="{00000000-0005-0000-0000-000044000000}"/>
    <cellStyle name="40% - Énfasis2" xfId="1252" xr:uid="{00000000-0005-0000-0000-000045000000}"/>
    <cellStyle name="40% - Énfasis3" xfId="1253" xr:uid="{00000000-0005-0000-0000-000046000000}"/>
    <cellStyle name="40% - Énfasis4" xfId="1254" xr:uid="{00000000-0005-0000-0000-000047000000}"/>
    <cellStyle name="40% - Énfasis5" xfId="1255" xr:uid="{00000000-0005-0000-0000-000048000000}"/>
    <cellStyle name="40% - Énfasis6" xfId="1256" xr:uid="{00000000-0005-0000-0000-000049000000}"/>
    <cellStyle name="5 indents" xfId="1257" xr:uid="{00000000-0005-0000-0000-00004A000000}"/>
    <cellStyle name="60% - Accent1 2" xfId="41" xr:uid="{00000000-0005-0000-0000-00004B000000}"/>
    <cellStyle name="60% - Accent2 2" xfId="42" xr:uid="{00000000-0005-0000-0000-00004C000000}"/>
    <cellStyle name="60% - Accent3 2" xfId="43" xr:uid="{00000000-0005-0000-0000-00004D000000}"/>
    <cellStyle name="60% - Accent4 2" xfId="44" xr:uid="{00000000-0005-0000-0000-00004E000000}"/>
    <cellStyle name="60% - Accent5 2" xfId="45" xr:uid="{00000000-0005-0000-0000-00004F000000}"/>
    <cellStyle name="60% - Accent6 2" xfId="46" xr:uid="{00000000-0005-0000-0000-000050000000}"/>
    <cellStyle name="60% - Énfasis1" xfId="1258" xr:uid="{00000000-0005-0000-0000-000051000000}"/>
    <cellStyle name="60% - Énfasis2" xfId="1259" xr:uid="{00000000-0005-0000-0000-000052000000}"/>
    <cellStyle name="60% - Énfasis3" xfId="1260" xr:uid="{00000000-0005-0000-0000-000053000000}"/>
    <cellStyle name="60% - Énfasis4" xfId="1261" xr:uid="{00000000-0005-0000-0000-000054000000}"/>
    <cellStyle name="60% - Énfasis5" xfId="1262" xr:uid="{00000000-0005-0000-0000-000055000000}"/>
    <cellStyle name="60% - Énfasis6" xfId="1263" xr:uid="{00000000-0005-0000-0000-000056000000}"/>
    <cellStyle name="Accent1 - 20%" xfId="47" xr:uid="{00000000-0005-0000-0000-000057000000}"/>
    <cellStyle name="Accent1 - 40%" xfId="48" xr:uid="{00000000-0005-0000-0000-000058000000}"/>
    <cellStyle name="Accent1 - 60%" xfId="49" xr:uid="{00000000-0005-0000-0000-000059000000}"/>
    <cellStyle name="Accent1 10" xfId="50" xr:uid="{00000000-0005-0000-0000-00005A000000}"/>
    <cellStyle name="Accent1 11" xfId="51" xr:uid="{00000000-0005-0000-0000-00005B000000}"/>
    <cellStyle name="Accent1 12" xfId="52" xr:uid="{00000000-0005-0000-0000-00005C000000}"/>
    <cellStyle name="Accent1 13" xfId="53" xr:uid="{00000000-0005-0000-0000-00005D000000}"/>
    <cellStyle name="Accent1 14" xfId="54" xr:uid="{00000000-0005-0000-0000-00005E000000}"/>
    <cellStyle name="Accent1 15" xfId="55" xr:uid="{00000000-0005-0000-0000-00005F000000}"/>
    <cellStyle name="Accent1 16" xfId="56" xr:uid="{00000000-0005-0000-0000-000060000000}"/>
    <cellStyle name="Accent1 17" xfId="57" xr:uid="{00000000-0005-0000-0000-000061000000}"/>
    <cellStyle name="Accent1 18" xfId="58" xr:uid="{00000000-0005-0000-0000-000062000000}"/>
    <cellStyle name="Accent1 19" xfId="59" xr:uid="{00000000-0005-0000-0000-000063000000}"/>
    <cellStyle name="Accent1 2" xfId="60" xr:uid="{00000000-0005-0000-0000-000064000000}"/>
    <cellStyle name="Accent1 20" xfId="61" xr:uid="{00000000-0005-0000-0000-000065000000}"/>
    <cellStyle name="Accent1 21" xfId="62" xr:uid="{00000000-0005-0000-0000-000066000000}"/>
    <cellStyle name="Accent1 22" xfId="63" xr:uid="{00000000-0005-0000-0000-000067000000}"/>
    <cellStyle name="Accent1 23" xfId="64" xr:uid="{00000000-0005-0000-0000-000068000000}"/>
    <cellStyle name="Accent1 24" xfId="65" xr:uid="{00000000-0005-0000-0000-000069000000}"/>
    <cellStyle name="Accent1 25" xfId="66" xr:uid="{00000000-0005-0000-0000-00006A000000}"/>
    <cellStyle name="Accent1 26" xfId="67" xr:uid="{00000000-0005-0000-0000-00006B000000}"/>
    <cellStyle name="Accent1 27" xfId="68" xr:uid="{00000000-0005-0000-0000-00006C000000}"/>
    <cellStyle name="Accent1 28" xfId="69" xr:uid="{00000000-0005-0000-0000-00006D000000}"/>
    <cellStyle name="Accent1 29" xfId="70" xr:uid="{00000000-0005-0000-0000-00006E000000}"/>
    <cellStyle name="Accent1 3" xfId="71" xr:uid="{00000000-0005-0000-0000-00006F000000}"/>
    <cellStyle name="Accent1 30" xfId="72" xr:uid="{00000000-0005-0000-0000-000070000000}"/>
    <cellStyle name="Accent1 31" xfId="73" xr:uid="{00000000-0005-0000-0000-000071000000}"/>
    <cellStyle name="Accent1 32" xfId="74" xr:uid="{00000000-0005-0000-0000-000072000000}"/>
    <cellStyle name="Accent1 33" xfId="75" xr:uid="{00000000-0005-0000-0000-000073000000}"/>
    <cellStyle name="Accent1 34" xfId="76" xr:uid="{00000000-0005-0000-0000-000074000000}"/>
    <cellStyle name="Accent1 35" xfId="77" xr:uid="{00000000-0005-0000-0000-000075000000}"/>
    <cellStyle name="Accent1 36" xfId="78" xr:uid="{00000000-0005-0000-0000-000076000000}"/>
    <cellStyle name="Accent1 37" xfId="79" xr:uid="{00000000-0005-0000-0000-000077000000}"/>
    <cellStyle name="Accent1 38" xfId="80" xr:uid="{00000000-0005-0000-0000-000078000000}"/>
    <cellStyle name="Accent1 39" xfId="81" xr:uid="{00000000-0005-0000-0000-000079000000}"/>
    <cellStyle name="Accent1 4" xfId="82" xr:uid="{00000000-0005-0000-0000-00007A000000}"/>
    <cellStyle name="Accent1 5" xfId="83" xr:uid="{00000000-0005-0000-0000-00007B000000}"/>
    <cellStyle name="Accent1 6" xfId="84" xr:uid="{00000000-0005-0000-0000-00007C000000}"/>
    <cellStyle name="Accent1 7" xfId="85" xr:uid="{00000000-0005-0000-0000-00007D000000}"/>
    <cellStyle name="Accent1 8" xfId="86" xr:uid="{00000000-0005-0000-0000-00007E000000}"/>
    <cellStyle name="Accent1 9" xfId="87" xr:uid="{00000000-0005-0000-0000-00007F000000}"/>
    <cellStyle name="Accent2 - 20%" xfId="88" xr:uid="{00000000-0005-0000-0000-000080000000}"/>
    <cellStyle name="Accent2 - 40%" xfId="89" xr:uid="{00000000-0005-0000-0000-000081000000}"/>
    <cellStyle name="Accent2 - 60%" xfId="90" xr:uid="{00000000-0005-0000-0000-000082000000}"/>
    <cellStyle name="Accent2 10" xfId="91" xr:uid="{00000000-0005-0000-0000-000083000000}"/>
    <cellStyle name="Accent2 11" xfId="92" xr:uid="{00000000-0005-0000-0000-000084000000}"/>
    <cellStyle name="Accent2 12" xfId="93" xr:uid="{00000000-0005-0000-0000-000085000000}"/>
    <cellStyle name="Accent2 13" xfId="94" xr:uid="{00000000-0005-0000-0000-000086000000}"/>
    <cellStyle name="Accent2 14" xfId="95" xr:uid="{00000000-0005-0000-0000-000087000000}"/>
    <cellStyle name="Accent2 15" xfId="96" xr:uid="{00000000-0005-0000-0000-000088000000}"/>
    <cellStyle name="Accent2 16" xfId="97" xr:uid="{00000000-0005-0000-0000-000089000000}"/>
    <cellStyle name="Accent2 17" xfId="98" xr:uid="{00000000-0005-0000-0000-00008A000000}"/>
    <cellStyle name="Accent2 18" xfId="99" xr:uid="{00000000-0005-0000-0000-00008B000000}"/>
    <cellStyle name="Accent2 19" xfId="100" xr:uid="{00000000-0005-0000-0000-00008C000000}"/>
    <cellStyle name="Accent2 2" xfId="101" xr:uid="{00000000-0005-0000-0000-00008D000000}"/>
    <cellStyle name="Accent2 20" xfId="102" xr:uid="{00000000-0005-0000-0000-00008E000000}"/>
    <cellStyle name="Accent2 21" xfId="103" xr:uid="{00000000-0005-0000-0000-00008F000000}"/>
    <cellStyle name="Accent2 22" xfId="104" xr:uid="{00000000-0005-0000-0000-000090000000}"/>
    <cellStyle name="Accent2 23" xfId="105" xr:uid="{00000000-0005-0000-0000-000091000000}"/>
    <cellStyle name="Accent2 24" xfId="106" xr:uid="{00000000-0005-0000-0000-000092000000}"/>
    <cellStyle name="Accent2 25" xfId="107" xr:uid="{00000000-0005-0000-0000-000093000000}"/>
    <cellStyle name="Accent2 26" xfId="108" xr:uid="{00000000-0005-0000-0000-000094000000}"/>
    <cellStyle name="Accent2 27" xfId="109" xr:uid="{00000000-0005-0000-0000-000095000000}"/>
    <cellStyle name="Accent2 28" xfId="110" xr:uid="{00000000-0005-0000-0000-000096000000}"/>
    <cellStyle name="Accent2 29" xfId="111" xr:uid="{00000000-0005-0000-0000-000097000000}"/>
    <cellStyle name="Accent2 3" xfId="112" xr:uid="{00000000-0005-0000-0000-000098000000}"/>
    <cellStyle name="Accent2 30" xfId="113" xr:uid="{00000000-0005-0000-0000-000099000000}"/>
    <cellStyle name="Accent2 31" xfId="114" xr:uid="{00000000-0005-0000-0000-00009A000000}"/>
    <cellStyle name="Accent2 32" xfId="115" xr:uid="{00000000-0005-0000-0000-00009B000000}"/>
    <cellStyle name="Accent2 33" xfId="116" xr:uid="{00000000-0005-0000-0000-00009C000000}"/>
    <cellStyle name="Accent2 34" xfId="117" xr:uid="{00000000-0005-0000-0000-00009D000000}"/>
    <cellStyle name="Accent2 35" xfId="118" xr:uid="{00000000-0005-0000-0000-00009E000000}"/>
    <cellStyle name="Accent2 36" xfId="119" xr:uid="{00000000-0005-0000-0000-00009F000000}"/>
    <cellStyle name="Accent2 37" xfId="120" xr:uid="{00000000-0005-0000-0000-0000A0000000}"/>
    <cellStyle name="Accent2 38" xfId="121" xr:uid="{00000000-0005-0000-0000-0000A1000000}"/>
    <cellStyle name="Accent2 39" xfId="122" xr:uid="{00000000-0005-0000-0000-0000A2000000}"/>
    <cellStyle name="Accent2 4" xfId="123" xr:uid="{00000000-0005-0000-0000-0000A3000000}"/>
    <cellStyle name="Accent2 5" xfId="124" xr:uid="{00000000-0005-0000-0000-0000A4000000}"/>
    <cellStyle name="Accent2 6" xfId="125" xr:uid="{00000000-0005-0000-0000-0000A5000000}"/>
    <cellStyle name="Accent2 7" xfId="126" xr:uid="{00000000-0005-0000-0000-0000A6000000}"/>
    <cellStyle name="Accent2 8" xfId="127" xr:uid="{00000000-0005-0000-0000-0000A7000000}"/>
    <cellStyle name="Accent2 9" xfId="128" xr:uid="{00000000-0005-0000-0000-0000A8000000}"/>
    <cellStyle name="Accent3 - 20%" xfId="129" xr:uid="{00000000-0005-0000-0000-0000A9000000}"/>
    <cellStyle name="Accent3 - 40%" xfId="130" xr:uid="{00000000-0005-0000-0000-0000AA000000}"/>
    <cellStyle name="Accent3 - 60%" xfId="131" xr:uid="{00000000-0005-0000-0000-0000AB000000}"/>
    <cellStyle name="Accent3 10" xfId="132" xr:uid="{00000000-0005-0000-0000-0000AC000000}"/>
    <cellStyle name="Accent3 11" xfId="133" xr:uid="{00000000-0005-0000-0000-0000AD000000}"/>
    <cellStyle name="Accent3 12" xfId="134" xr:uid="{00000000-0005-0000-0000-0000AE000000}"/>
    <cellStyle name="Accent3 13" xfId="135" xr:uid="{00000000-0005-0000-0000-0000AF000000}"/>
    <cellStyle name="Accent3 14" xfId="136" xr:uid="{00000000-0005-0000-0000-0000B0000000}"/>
    <cellStyle name="Accent3 15" xfId="137" xr:uid="{00000000-0005-0000-0000-0000B1000000}"/>
    <cellStyle name="Accent3 16" xfId="138" xr:uid="{00000000-0005-0000-0000-0000B2000000}"/>
    <cellStyle name="Accent3 17" xfId="139" xr:uid="{00000000-0005-0000-0000-0000B3000000}"/>
    <cellStyle name="Accent3 18" xfId="140" xr:uid="{00000000-0005-0000-0000-0000B4000000}"/>
    <cellStyle name="Accent3 19" xfId="141" xr:uid="{00000000-0005-0000-0000-0000B5000000}"/>
    <cellStyle name="Accent3 2" xfId="142" xr:uid="{00000000-0005-0000-0000-0000B6000000}"/>
    <cellStyle name="Accent3 20" xfId="143" xr:uid="{00000000-0005-0000-0000-0000B7000000}"/>
    <cellStyle name="Accent3 21" xfId="144" xr:uid="{00000000-0005-0000-0000-0000B8000000}"/>
    <cellStyle name="Accent3 22" xfId="145" xr:uid="{00000000-0005-0000-0000-0000B9000000}"/>
    <cellStyle name="Accent3 23" xfId="146" xr:uid="{00000000-0005-0000-0000-0000BA000000}"/>
    <cellStyle name="Accent3 24" xfId="147" xr:uid="{00000000-0005-0000-0000-0000BB000000}"/>
    <cellStyle name="Accent3 25" xfId="148" xr:uid="{00000000-0005-0000-0000-0000BC000000}"/>
    <cellStyle name="Accent3 26" xfId="149" xr:uid="{00000000-0005-0000-0000-0000BD000000}"/>
    <cellStyle name="Accent3 27" xfId="150" xr:uid="{00000000-0005-0000-0000-0000BE000000}"/>
    <cellStyle name="Accent3 28" xfId="151" xr:uid="{00000000-0005-0000-0000-0000BF000000}"/>
    <cellStyle name="Accent3 29" xfId="152" xr:uid="{00000000-0005-0000-0000-0000C0000000}"/>
    <cellStyle name="Accent3 3" xfId="153" xr:uid="{00000000-0005-0000-0000-0000C1000000}"/>
    <cellStyle name="Accent3 30" xfId="154" xr:uid="{00000000-0005-0000-0000-0000C2000000}"/>
    <cellStyle name="Accent3 31" xfId="155" xr:uid="{00000000-0005-0000-0000-0000C3000000}"/>
    <cellStyle name="Accent3 32" xfId="156" xr:uid="{00000000-0005-0000-0000-0000C4000000}"/>
    <cellStyle name="Accent3 33" xfId="157" xr:uid="{00000000-0005-0000-0000-0000C5000000}"/>
    <cellStyle name="Accent3 34" xfId="158" xr:uid="{00000000-0005-0000-0000-0000C6000000}"/>
    <cellStyle name="Accent3 35" xfId="159" xr:uid="{00000000-0005-0000-0000-0000C7000000}"/>
    <cellStyle name="Accent3 36" xfId="160" xr:uid="{00000000-0005-0000-0000-0000C8000000}"/>
    <cellStyle name="Accent3 37" xfId="161" xr:uid="{00000000-0005-0000-0000-0000C9000000}"/>
    <cellStyle name="Accent3 38" xfId="162" xr:uid="{00000000-0005-0000-0000-0000CA000000}"/>
    <cellStyle name="Accent3 39" xfId="163" xr:uid="{00000000-0005-0000-0000-0000CB000000}"/>
    <cellStyle name="Accent3 4" xfId="164" xr:uid="{00000000-0005-0000-0000-0000CC000000}"/>
    <cellStyle name="Accent3 5" xfId="165" xr:uid="{00000000-0005-0000-0000-0000CD000000}"/>
    <cellStyle name="Accent3 6" xfId="166" xr:uid="{00000000-0005-0000-0000-0000CE000000}"/>
    <cellStyle name="Accent3 7" xfId="167" xr:uid="{00000000-0005-0000-0000-0000CF000000}"/>
    <cellStyle name="Accent3 8" xfId="168" xr:uid="{00000000-0005-0000-0000-0000D0000000}"/>
    <cellStyle name="Accent3 9" xfId="169" xr:uid="{00000000-0005-0000-0000-0000D1000000}"/>
    <cellStyle name="Accent4 - 20%" xfId="170" xr:uid="{00000000-0005-0000-0000-0000D2000000}"/>
    <cellStyle name="Accent4 - 40%" xfId="171" xr:uid="{00000000-0005-0000-0000-0000D3000000}"/>
    <cellStyle name="Accent4 - 60%" xfId="172" xr:uid="{00000000-0005-0000-0000-0000D4000000}"/>
    <cellStyle name="Accent4 10" xfId="173" xr:uid="{00000000-0005-0000-0000-0000D5000000}"/>
    <cellStyle name="Accent4 11" xfId="174" xr:uid="{00000000-0005-0000-0000-0000D6000000}"/>
    <cellStyle name="Accent4 12" xfId="175" xr:uid="{00000000-0005-0000-0000-0000D7000000}"/>
    <cellStyle name="Accent4 13" xfId="176" xr:uid="{00000000-0005-0000-0000-0000D8000000}"/>
    <cellStyle name="Accent4 14" xfId="177" xr:uid="{00000000-0005-0000-0000-0000D9000000}"/>
    <cellStyle name="Accent4 15" xfId="178" xr:uid="{00000000-0005-0000-0000-0000DA000000}"/>
    <cellStyle name="Accent4 16" xfId="179" xr:uid="{00000000-0005-0000-0000-0000DB000000}"/>
    <cellStyle name="Accent4 17" xfId="180" xr:uid="{00000000-0005-0000-0000-0000DC000000}"/>
    <cellStyle name="Accent4 18" xfId="181" xr:uid="{00000000-0005-0000-0000-0000DD000000}"/>
    <cellStyle name="Accent4 19" xfId="182" xr:uid="{00000000-0005-0000-0000-0000DE000000}"/>
    <cellStyle name="Accent4 2" xfId="183" xr:uid="{00000000-0005-0000-0000-0000DF000000}"/>
    <cellStyle name="Accent4 20" xfId="184" xr:uid="{00000000-0005-0000-0000-0000E0000000}"/>
    <cellStyle name="Accent4 21" xfId="185" xr:uid="{00000000-0005-0000-0000-0000E1000000}"/>
    <cellStyle name="Accent4 22" xfId="186" xr:uid="{00000000-0005-0000-0000-0000E2000000}"/>
    <cellStyle name="Accent4 23" xfId="187" xr:uid="{00000000-0005-0000-0000-0000E3000000}"/>
    <cellStyle name="Accent4 24" xfId="188" xr:uid="{00000000-0005-0000-0000-0000E4000000}"/>
    <cellStyle name="Accent4 25" xfId="189" xr:uid="{00000000-0005-0000-0000-0000E5000000}"/>
    <cellStyle name="Accent4 26" xfId="190" xr:uid="{00000000-0005-0000-0000-0000E6000000}"/>
    <cellStyle name="Accent4 27" xfId="191" xr:uid="{00000000-0005-0000-0000-0000E7000000}"/>
    <cellStyle name="Accent4 28" xfId="192" xr:uid="{00000000-0005-0000-0000-0000E8000000}"/>
    <cellStyle name="Accent4 29" xfId="193" xr:uid="{00000000-0005-0000-0000-0000E9000000}"/>
    <cellStyle name="Accent4 3" xfId="194" xr:uid="{00000000-0005-0000-0000-0000EA000000}"/>
    <cellStyle name="Accent4 30" xfId="195" xr:uid="{00000000-0005-0000-0000-0000EB000000}"/>
    <cellStyle name="Accent4 31" xfId="196" xr:uid="{00000000-0005-0000-0000-0000EC000000}"/>
    <cellStyle name="Accent4 32" xfId="197" xr:uid="{00000000-0005-0000-0000-0000ED000000}"/>
    <cellStyle name="Accent4 33" xfId="198" xr:uid="{00000000-0005-0000-0000-0000EE000000}"/>
    <cellStyle name="Accent4 34" xfId="199" xr:uid="{00000000-0005-0000-0000-0000EF000000}"/>
    <cellStyle name="Accent4 35" xfId="200" xr:uid="{00000000-0005-0000-0000-0000F0000000}"/>
    <cellStyle name="Accent4 36" xfId="201" xr:uid="{00000000-0005-0000-0000-0000F1000000}"/>
    <cellStyle name="Accent4 37" xfId="202" xr:uid="{00000000-0005-0000-0000-0000F2000000}"/>
    <cellStyle name="Accent4 38" xfId="203" xr:uid="{00000000-0005-0000-0000-0000F3000000}"/>
    <cellStyle name="Accent4 39" xfId="204" xr:uid="{00000000-0005-0000-0000-0000F4000000}"/>
    <cellStyle name="Accent4 4" xfId="205" xr:uid="{00000000-0005-0000-0000-0000F5000000}"/>
    <cellStyle name="Accent4 5" xfId="206" xr:uid="{00000000-0005-0000-0000-0000F6000000}"/>
    <cellStyle name="Accent4 6" xfId="207" xr:uid="{00000000-0005-0000-0000-0000F7000000}"/>
    <cellStyle name="Accent4 7" xfId="208" xr:uid="{00000000-0005-0000-0000-0000F8000000}"/>
    <cellStyle name="Accent4 8" xfId="209" xr:uid="{00000000-0005-0000-0000-0000F9000000}"/>
    <cellStyle name="Accent4 9" xfId="210" xr:uid="{00000000-0005-0000-0000-0000FA000000}"/>
    <cellStyle name="Accent5 - 20%" xfId="211" xr:uid="{00000000-0005-0000-0000-0000FB000000}"/>
    <cellStyle name="Accent5 - 40%" xfId="212" xr:uid="{00000000-0005-0000-0000-0000FC000000}"/>
    <cellStyle name="Accent5 - 60%" xfId="213" xr:uid="{00000000-0005-0000-0000-0000FD000000}"/>
    <cellStyle name="Accent5 10" xfId="214" xr:uid="{00000000-0005-0000-0000-0000FE000000}"/>
    <cellStyle name="Accent5 11" xfId="215" xr:uid="{00000000-0005-0000-0000-0000FF000000}"/>
    <cellStyle name="Accent5 12" xfId="216" xr:uid="{00000000-0005-0000-0000-000000010000}"/>
    <cellStyle name="Accent5 13" xfId="217" xr:uid="{00000000-0005-0000-0000-000001010000}"/>
    <cellStyle name="Accent5 14" xfId="218" xr:uid="{00000000-0005-0000-0000-000002010000}"/>
    <cellStyle name="Accent5 15" xfId="219" xr:uid="{00000000-0005-0000-0000-000003010000}"/>
    <cellStyle name="Accent5 16" xfId="220" xr:uid="{00000000-0005-0000-0000-000004010000}"/>
    <cellStyle name="Accent5 17" xfId="221" xr:uid="{00000000-0005-0000-0000-000005010000}"/>
    <cellStyle name="Accent5 18" xfId="222" xr:uid="{00000000-0005-0000-0000-000006010000}"/>
    <cellStyle name="Accent5 19" xfId="223" xr:uid="{00000000-0005-0000-0000-000007010000}"/>
    <cellStyle name="Accent5 2" xfId="224" xr:uid="{00000000-0005-0000-0000-000008010000}"/>
    <cellStyle name="Accent5 20" xfId="225" xr:uid="{00000000-0005-0000-0000-000009010000}"/>
    <cellStyle name="Accent5 21" xfId="226" xr:uid="{00000000-0005-0000-0000-00000A010000}"/>
    <cellStyle name="Accent5 22" xfId="227" xr:uid="{00000000-0005-0000-0000-00000B010000}"/>
    <cellStyle name="Accent5 23" xfId="228" xr:uid="{00000000-0005-0000-0000-00000C010000}"/>
    <cellStyle name="Accent5 24" xfId="229" xr:uid="{00000000-0005-0000-0000-00000D010000}"/>
    <cellStyle name="Accent5 25" xfId="230" xr:uid="{00000000-0005-0000-0000-00000E010000}"/>
    <cellStyle name="Accent5 26" xfId="231" xr:uid="{00000000-0005-0000-0000-00000F010000}"/>
    <cellStyle name="Accent5 27" xfId="232" xr:uid="{00000000-0005-0000-0000-000010010000}"/>
    <cellStyle name="Accent5 28" xfId="233" xr:uid="{00000000-0005-0000-0000-000011010000}"/>
    <cellStyle name="Accent5 29" xfId="234" xr:uid="{00000000-0005-0000-0000-000012010000}"/>
    <cellStyle name="Accent5 3" xfId="235" xr:uid="{00000000-0005-0000-0000-000013010000}"/>
    <cellStyle name="Accent5 30" xfId="236" xr:uid="{00000000-0005-0000-0000-000014010000}"/>
    <cellStyle name="Accent5 31" xfId="237" xr:uid="{00000000-0005-0000-0000-000015010000}"/>
    <cellStyle name="Accent5 32" xfId="238" xr:uid="{00000000-0005-0000-0000-000016010000}"/>
    <cellStyle name="Accent5 33" xfId="239" xr:uid="{00000000-0005-0000-0000-000017010000}"/>
    <cellStyle name="Accent5 34" xfId="240" xr:uid="{00000000-0005-0000-0000-000018010000}"/>
    <cellStyle name="Accent5 35" xfId="241" xr:uid="{00000000-0005-0000-0000-000019010000}"/>
    <cellStyle name="Accent5 36" xfId="242" xr:uid="{00000000-0005-0000-0000-00001A010000}"/>
    <cellStyle name="Accent5 37" xfId="243" xr:uid="{00000000-0005-0000-0000-00001B010000}"/>
    <cellStyle name="Accent5 38" xfId="244" xr:uid="{00000000-0005-0000-0000-00001C010000}"/>
    <cellStyle name="Accent5 39" xfId="245" xr:uid="{00000000-0005-0000-0000-00001D010000}"/>
    <cellStyle name="Accent5 4" xfId="246" xr:uid="{00000000-0005-0000-0000-00001E010000}"/>
    <cellStyle name="Accent5 5" xfId="247" xr:uid="{00000000-0005-0000-0000-00001F010000}"/>
    <cellStyle name="Accent5 6" xfId="248" xr:uid="{00000000-0005-0000-0000-000020010000}"/>
    <cellStyle name="Accent5 7" xfId="249" xr:uid="{00000000-0005-0000-0000-000021010000}"/>
    <cellStyle name="Accent5 8" xfId="250" xr:uid="{00000000-0005-0000-0000-000022010000}"/>
    <cellStyle name="Accent5 9" xfId="251" xr:uid="{00000000-0005-0000-0000-000023010000}"/>
    <cellStyle name="Accent6 - 20%" xfId="252" xr:uid="{00000000-0005-0000-0000-000024010000}"/>
    <cellStyle name="Accent6 - 40%" xfId="253" xr:uid="{00000000-0005-0000-0000-000025010000}"/>
    <cellStyle name="Accent6 - 60%" xfId="254" xr:uid="{00000000-0005-0000-0000-000026010000}"/>
    <cellStyle name="Accent6 10" xfId="255" xr:uid="{00000000-0005-0000-0000-000027010000}"/>
    <cellStyle name="Accent6 11" xfId="256" xr:uid="{00000000-0005-0000-0000-000028010000}"/>
    <cellStyle name="Accent6 12" xfId="257" xr:uid="{00000000-0005-0000-0000-000029010000}"/>
    <cellStyle name="Accent6 13" xfId="258" xr:uid="{00000000-0005-0000-0000-00002A010000}"/>
    <cellStyle name="Accent6 14" xfId="259" xr:uid="{00000000-0005-0000-0000-00002B010000}"/>
    <cellStyle name="Accent6 15" xfId="260" xr:uid="{00000000-0005-0000-0000-00002C010000}"/>
    <cellStyle name="Accent6 16" xfId="261" xr:uid="{00000000-0005-0000-0000-00002D010000}"/>
    <cellStyle name="Accent6 17" xfId="262" xr:uid="{00000000-0005-0000-0000-00002E010000}"/>
    <cellStyle name="Accent6 18" xfId="263" xr:uid="{00000000-0005-0000-0000-00002F010000}"/>
    <cellStyle name="Accent6 19" xfId="264" xr:uid="{00000000-0005-0000-0000-000030010000}"/>
    <cellStyle name="Accent6 2" xfId="265" xr:uid="{00000000-0005-0000-0000-000031010000}"/>
    <cellStyle name="Accent6 20" xfId="266" xr:uid="{00000000-0005-0000-0000-000032010000}"/>
    <cellStyle name="Accent6 21" xfId="267" xr:uid="{00000000-0005-0000-0000-000033010000}"/>
    <cellStyle name="Accent6 22" xfId="268" xr:uid="{00000000-0005-0000-0000-000034010000}"/>
    <cellStyle name="Accent6 23" xfId="269" xr:uid="{00000000-0005-0000-0000-000035010000}"/>
    <cellStyle name="Accent6 24" xfId="270" xr:uid="{00000000-0005-0000-0000-000036010000}"/>
    <cellStyle name="Accent6 25" xfId="271" xr:uid="{00000000-0005-0000-0000-000037010000}"/>
    <cellStyle name="Accent6 26" xfId="272" xr:uid="{00000000-0005-0000-0000-000038010000}"/>
    <cellStyle name="Accent6 27" xfId="273" xr:uid="{00000000-0005-0000-0000-000039010000}"/>
    <cellStyle name="Accent6 28" xfId="274" xr:uid="{00000000-0005-0000-0000-00003A010000}"/>
    <cellStyle name="Accent6 29" xfId="275" xr:uid="{00000000-0005-0000-0000-00003B010000}"/>
    <cellStyle name="Accent6 3" xfId="276" xr:uid="{00000000-0005-0000-0000-00003C010000}"/>
    <cellStyle name="Accent6 30" xfId="277" xr:uid="{00000000-0005-0000-0000-00003D010000}"/>
    <cellStyle name="Accent6 31" xfId="278" xr:uid="{00000000-0005-0000-0000-00003E010000}"/>
    <cellStyle name="Accent6 32" xfId="279" xr:uid="{00000000-0005-0000-0000-00003F010000}"/>
    <cellStyle name="Accent6 33" xfId="280" xr:uid="{00000000-0005-0000-0000-000040010000}"/>
    <cellStyle name="Accent6 34" xfId="281" xr:uid="{00000000-0005-0000-0000-000041010000}"/>
    <cellStyle name="Accent6 35" xfId="282" xr:uid="{00000000-0005-0000-0000-000042010000}"/>
    <cellStyle name="Accent6 36" xfId="283" xr:uid="{00000000-0005-0000-0000-000043010000}"/>
    <cellStyle name="Accent6 37" xfId="284" xr:uid="{00000000-0005-0000-0000-000044010000}"/>
    <cellStyle name="Accent6 38" xfId="285" xr:uid="{00000000-0005-0000-0000-000045010000}"/>
    <cellStyle name="Accent6 39" xfId="286" xr:uid="{00000000-0005-0000-0000-000046010000}"/>
    <cellStyle name="Accent6 4" xfId="287" xr:uid="{00000000-0005-0000-0000-000047010000}"/>
    <cellStyle name="Accent6 5" xfId="288" xr:uid="{00000000-0005-0000-0000-000048010000}"/>
    <cellStyle name="Accent6 6" xfId="289" xr:uid="{00000000-0005-0000-0000-000049010000}"/>
    <cellStyle name="Accent6 7" xfId="290" xr:uid="{00000000-0005-0000-0000-00004A010000}"/>
    <cellStyle name="Accent6 8" xfId="291" xr:uid="{00000000-0005-0000-0000-00004B010000}"/>
    <cellStyle name="Accent6 9" xfId="292" xr:uid="{00000000-0005-0000-0000-00004C010000}"/>
    <cellStyle name="ANCLAS,REZONES Y SUS PARTES,DE FUNDICION,DE HIERRO O DE ACERO" xfId="1264" xr:uid="{00000000-0005-0000-0000-00004D010000}"/>
    <cellStyle name="annee semestre" xfId="1265" xr:uid="{00000000-0005-0000-0000-00004E010000}"/>
    <cellStyle name="Array" xfId="1266" xr:uid="{00000000-0005-0000-0000-00004F010000}"/>
    <cellStyle name="Array Enter" xfId="1267" xr:uid="{00000000-0005-0000-0000-000050010000}"/>
    <cellStyle name="Bad 10" xfId="293" xr:uid="{00000000-0005-0000-0000-000051010000}"/>
    <cellStyle name="Bad 11" xfId="294" xr:uid="{00000000-0005-0000-0000-000052010000}"/>
    <cellStyle name="Bad 12" xfId="295" xr:uid="{00000000-0005-0000-0000-000053010000}"/>
    <cellStyle name="Bad 13" xfId="296" xr:uid="{00000000-0005-0000-0000-000054010000}"/>
    <cellStyle name="Bad 14" xfId="297" xr:uid="{00000000-0005-0000-0000-000055010000}"/>
    <cellStyle name="Bad 15" xfId="298" xr:uid="{00000000-0005-0000-0000-000056010000}"/>
    <cellStyle name="Bad 16" xfId="299" xr:uid="{00000000-0005-0000-0000-000057010000}"/>
    <cellStyle name="Bad 17" xfId="300" xr:uid="{00000000-0005-0000-0000-000058010000}"/>
    <cellStyle name="Bad 18" xfId="301" xr:uid="{00000000-0005-0000-0000-000059010000}"/>
    <cellStyle name="Bad 19" xfId="302" xr:uid="{00000000-0005-0000-0000-00005A010000}"/>
    <cellStyle name="Bad 2" xfId="303" xr:uid="{00000000-0005-0000-0000-00005B010000}"/>
    <cellStyle name="Bad 20" xfId="304" xr:uid="{00000000-0005-0000-0000-00005C010000}"/>
    <cellStyle name="Bad 21" xfId="305" xr:uid="{00000000-0005-0000-0000-00005D010000}"/>
    <cellStyle name="Bad 22" xfId="306" xr:uid="{00000000-0005-0000-0000-00005E010000}"/>
    <cellStyle name="Bad 23" xfId="307" xr:uid="{00000000-0005-0000-0000-00005F010000}"/>
    <cellStyle name="Bad 24" xfId="308" xr:uid="{00000000-0005-0000-0000-000060010000}"/>
    <cellStyle name="Bad 25" xfId="309" xr:uid="{00000000-0005-0000-0000-000061010000}"/>
    <cellStyle name="Bad 26" xfId="310" xr:uid="{00000000-0005-0000-0000-000062010000}"/>
    <cellStyle name="Bad 27" xfId="311" xr:uid="{00000000-0005-0000-0000-000063010000}"/>
    <cellStyle name="Bad 28" xfId="312" xr:uid="{00000000-0005-0000-0000-000064010000}"/>
    <cellStyle name="Bad 29" xfId="313" xr:uid="{00000000-0005-0000-0000-000065010000}"/>
    <cellStyle name="Bad 3" xfId="314" xr:uid="{00000000-0005-0000-0000-000066010000}"/>
    <cellStyle name="Bad 30" xfId="315" xr:uid="{00000000-0005-0000-0000-000067010000}"/>
    <cellStyle name="Bad 4" xfId="316" xr:uid="{00000000-0005-0000-0000-000068010000}"/>
    <cellStyle name="Bad 5" xfId="317" xr:uid="{00000000-0005-0000-0000-000069010000}"/>
    <cellStyle name="Bad 6" xfId="318" xr:uid="{00000000-0005-0000-0000-00006A010000}"/>
    <cellStyle name="Bad 7" xfId="319" xr:uid="{00000000-0005-0000-0000-00006B010000}"/>
    <cellStyle name="Bad 8" xfId="320" xr:uid="{00000000-0005-0000-0000-00006C010000}"/>
    <cellStyle name="Bad 9" xfId="321" xr:uid="{00000000-0005-0000-0000-00006D010000}"/>
    <cellStyle name="Buena" xfId="1268" xr:uid="{00000000-0005-0000-0000-00006E010000}"/>
    <cellStyle name="Cabe‡alho 1" xfId="1269" xr:uid="{00000000-0005-0000-0000-00006F010000}"/>
    <cellStyle name="Cabe‡alho 2" xfId="1270" xr:uid="{00000000-0005-0000-0000-000070010000}"/>
    <cellStyle name="Cabecera 1" xfId="1271" xr:uid="{00000000-0005-0000-0000-000071010000}"/>
    <cellStyle name="Cabecera 2" xfId="1272" xr:uid="{00000000-0005-0000-0000-000072010000}"/>
    <cellStyle name="Calculation 10" xfId="322" xr:uid="{00000000-0005-0000-0000-000073010000}"/>
    <cellStyle name="Calculation 11" xfId="323" xr:uid="{00000000-0005-0000-0000-000074010000}"/>
    <cellStyle name="Calculation 12" xfId="324" xr:uid="{00000000-0005-0000-0000-000075010000}"/>
    <cellStyle name="Calculation 13" xfId="325" xr:uid="{00000000-0005-0000-0000-000076010000}"/>
    <cellStyle name="Calculation 14" xfId="326" xr:uid="{00000000-0005-0000-0000-000077010000}"/>
    <cellStyle name="Calculation 15" xfId="327" xr:uid="{00000000-0005-0000-0000-000078010000}"/>
    <cellStyle name="Calculation 16" xfId="328" xr:uid="{00000000-0005-0000-0000-000079010000}"/>
    <cellStyle name="Calculation 17" xfId="329" xr:uid="{00000000-0005-0000-0000-00007A010000}"/>
    <cellStyle name="Calculation 18" xfId="330" xr:uid="{00000000-0005-0000-0000-00007B010000}"/>
    <cellStyle name="Calculation 19" xfId="331" xr:uid="{00000000-0005-0000-0000-00007C010000}"/>
    <cellStyle name="Calculation 2" xfId="332" xr:uid="{00000000-0005-0000-0000-00007D010000}"/>
    <cellStyle name="Calculation 20" xfId="333" xr:uid="{00000000-0005-0000-0000-00007E010000}"/>
    <cellStyle name="Calculation 21" xfId="334" xr:uid="{00000000-0005-0000-0000-00007F010000}"/>
    <cellStyle name="Calculation 22" xfId="335" xr:uid="{00000000-0005-0000-0000-000080010000}"/>
    <cellStyle name="Calculation 23" xfId="336" xr:uid="{00000000-0005-0000-0000-000081010000}"/>
    <cellStyle name="Calculation 24" xfId="337" xr:uid="{00000000-0005-0000-0000-000082010000}"/>
    <cellStyle name="Calculation 25" xfId="338" xr:uid="{00000000-0005-0000-0000-000083010000}"/>
    <cellStyle name="Calculation 26" xfId="339" xr:uid="{00000000-0005-0000-0000-000084010000}"/>
    <cellStyle name="Calculation 27" xfId="340" xr:uid="{00000000-0005-0000-0000-000085010000}"/>
    <cellStyle name="Calculation 28" xfId="341" xr:uid="{00000000-0005-0000-0000-000086010000}"/>
    <cellStyle name="Calculation 29" xfId="342" xr:uid="{00000000-0005-0000-0000-000087010000}"/>
    <cellStyle name="Calculation 3" xfId="343" xr:uid="{00000000-0005-0000-0000-000088010000}"/>
    <cellStyle name="Calculation 30" xfId="344" xr:uid="{00000000-0005-0000-0000-000089010000}"/>
    <cellStyle name="Calculation 4" xfId="345" xr:uid="{00000000-0005-0000-0000-00008A010000}"/>
    <cellStyle name="Calculation 5" xfId="346" xr:uid="{00000000-0005-0000-0000-00008B010000}"/>
    <cellStyle name="Calculation 6" xfId="347" xr:uid="{00000000-0005-0000-0000-00008C010000}"/>
    <cellStyle name="Calculation 7" xfId="348" xr:uid="{00000000-0005-0000-0000-00008D010000}"/>
    <cellStyle name="Calculation 8" xfId="349" xr:uid="{00000000-0005-0000-0000-00008E010000}"/>
    <cellStyle name="Calculation 9" xfId="350" xr:uid="{00000000-0005-0000-0000-00008F010000}"/>
    <cellStyle name="Cálculo" xfId="1273" xr:uid="{00000000-0005-0000-0000-000090010000}"/>
    <cellStyle name="Celda de comprobación" xfId="1274" xr:uid="{00000000-0005-0000-0000-000091010000}"/>
    <cellStyle name="Celda vinculada" xfId="1275" xr:uid="{00000000-0005-0000-0000-000092010000}"/>
    <cellStyle name="Check Cell 10" xfId="351" xr:uid="{00000000-0005-0000-0000-000093010000}"/>
    <cellStyle name="Check Cell 11" xfId="352" xr:uid="{00000000-0005-0000-0000-000094010000}"/>
    <cellStyle name="Check Cell 12" xfId="353" xr:uid="{00000000-0005-0000-0000-000095010000}"/>
    <cellStyle name="Check Cell 13" xfId="354" xr:uid="{00000000-0005-0000-0000-000096010000}"/>
    <cellStyle name="Check Cell 14" xfId="355" xr:uid="{00000000-0005-0000-0000-000097010000}"/>
    <cellStyle name="Check Cell 15" xfId="356" xr:uid="{00000000-0005-0000-0000-000098010000}"/>
    <cellStyle name="Check Cell 16" xfId="357" xr:uid="{00000000-0005-0000-0000-000099010000}"/>
    <cellStyle name="Check Cell 17" xfId="358" xr:uid="{00000000-0005-0000-0000-00009A010000}"/>
    <cellStyle name="Check Cell 18" xfId="359" xr:uid="{00000000-0005-0000-0000-00009B010000}"/>
    <cellStyle name="Check Cell 19" xfId="360" xr:uid="{00000000-0005-0000-0000-00009C010000}"/>
    <cellStyle name="Check Cell 2" xfId="361" xr:uid="{00000000-0005-0000-0000-00009D010000}"/>
    <cellStyle name="Check Cell 20" xfId="362" xr:uid="{00000000-0005-0000-0000-00009E010000}"/>
    <cellStyle name="Check Cell 21" xfId="363" xr:uid="{00000000-0005-0000-0000-00009F010000}"/>
    <cellStyle name="Check Cell 22" xfId="364" xr:uid="{00000000-0005-0000-0000-0000A0010000}"/>
    <cellStyle name="Check Cell 23" xfId="365" xr:uid="{00000000-0005-0000-0000-0000A1010000}"/>
    <cellStyle name="Check Cell 24" xfId="366" xr:uid="{00000000-0005-0000-0000-0000A2010000}"/>
    <cellStyle name="Check Cell 25" xfId="367" xr:uid="{00000000-0005-0000-0000-0000A3010000}"/>
    <cellStyle name="Check Cell 26" xfId="368" xr:uid="{00000000-0005-0000-0000-0000A4010000}"/>
    <cellStyle name="Check Cell 27" xfId="369" xr:uid="{00000000-0005-0000-0000-0000A5010000}"/>
    <cellStyle name="Check Cell 28" xfId="370" xr:uid="{00000000-0005-0000-0000-0000A6010000}"/>
    <cellStyle name="Check Cell 29" xfId="371" xr:uid="{00000000-0005-0000-0000-0000A7010000}"/>
    <cellStyle name="Check Cell 3" xfId="372" xr:uid="{00000000-0005-0000-0000-0000A8010000}"/>
    <cellStyle name="Check Cell 30" xfId="373" xr:uid="{00000000-0005-0000-0000-0000A9010000}"/>
    <cellStyle name="Check Cell 4" xfId="374" xr:uid="{00000000-0005-0000-0000-0000AA010000}"/>
    <cellStyle name="Check Cell 5" xfId="375" xr:uid="{00000000-0005-0000-0000-0000AB010000}"/>
    <cellStyle name="Check Cell 6" xfId="376" xr:uid="{00000000-0005-0000-0000-0000AC010000}"/>
    <cellStyle name="Check Cell 7" xfId="377" xr:uid="{00000000-0005-0000-0000-0000AD010000}"/>
    <cellStyle name="Check Cell 8" xfId="378" xr:uid="{00000000-0005-0000-0000-0000AE010000}"/>
    <cellStyle name="Check Cell 9" xfId="379" xr:uid="{00000000-0005-0000-0000-0000AF010000}"/>
    <cellStyle name="CHF" xfId="1276" xr:uid="{00000000-0005-0000-0000-0000B0010000}"/>
    <cellStyle name="Clive" xfId="1277" xr:uid="{00000000-0005-0000-0000-0000B1010000}"/>
    <cellStyle name="Clive 2" xfId="1278" xr:uid="{00000000-0005-0000-0000-0000B2010000}"/>
    <cellStyle name="clsAltData" xfId="1279" xr:uid="{00000000-0005-0000-0000-0000B3010000}"/>
    <cellStyle name="clsAltMRVData" xfId="1280" xr:uid="{00000000-0005-0000-0000-0000B4010000}"/>
    <cellStyle name="clsBlank" xfId="1281" xr:uid="{00000000-0005-0000-0000-0000B5010000}"/>
    <cellStyle name="clsBlank 2" xfId="1282" xr:uid="{00000000-0005-0000-0000-0000B6010000}"/>
    <cellStyle name="clsBlank 2 2" xfId="1283" xr:uid="{00000000-0005-0000-0000-0000B7010000}"/>
    <cellStyle name="clsBlank 3" xfId="1284" xr:uid="{00000000-0005-0000-0000-0000B8010000}"/>
    <cellStyle name="clsBlank 3 2" xfId="1285" xr:uid="{00000000-0005-0000-0000-0000B9010000}"/>
    <cellStyle name="clsBlank 4" xfId="1286" xr:uid="{00000000-0005-0000-0000-0000BA010000}"/>
    <cellStyle name="clsBlank 4 2" xfId="1287" xr:uid="{00000000-0005-0000-0000-0000BB010000}"/>
    <cellStyle name="clsBlank 5" xfId="1288" xr:uid="{00000000-0005-0000-0000-0000BC010000}"/>
    <cellStyle name="clsBlank 5 2" xfId="1289" xr:uid="{00000000-0005-0000-0000-0000BD010000}"/>
    <cellStyle name="clsBlank 6" xfId="1290" xr:uid="{00000000-0005-0000-0000-0000BE010000}"/>
    <cellStyle name="clsColumnHeader" xfId="1291" xr:uid="{00000000-0005-0000-0000-0000BF010000}"/>
    <cellStyle name="clsData" xfId="1292" xr:uid="{00000000-0005-0000-0000-0000C0010000}"/>
    <cellStyle name="clsDefault" xfId="1293" xr:uid="{00000000-0005-0000-0000-0000C1010000}"/>
    <cellStyle name="clsDefault 2" xfId="1294" xr:uid="{00000000-0005-0000-0000-0000C2010000}"/>
    <cellStyle name="clsDefault 2 2" xfId="1295" xr:uid="{00000000-0005-0000-0000-0000C3010000}"/>
    <cellStyle name="clsDefault 3" xfId="1296" xr:uid="{00000000-0005-0000-0000-0000C4010000}"/>
    <cellStyle name="clsDefault 3 2" xfId="1297" xr:uid="{00000000-0005-0000-0000-0000C5010000}"/>
    <cellStyle name="clsDefault 4" xfId="1298" xr:uid="{00000000-0005-0000-0000-0000C6010000}"/>
    <cellStyle name="clsDefault 4 2" xfId="1299" xr:uid="{00000000-0005-0000-0000-0000C7010000}"/>
    <cellStyle name="clsDefault 5" xfId="1300" xr:uid="{00000000-0005-0000-0000-0000C8010000}"/>
    <cellStyle name="clsDefault 5 2" xfId="1301" xr:uid="{00000000-0005-0000-0000-0000C9010000}"/>
    <cellStyle name="clsDefault 6" xfId="1302" xr:uid="{00000000-0005-0000-0000-0000CA010000}"/>
    <cellStyle name="clsFooter" xfId="1303" xr:uid="{00000000-0005-0000-0000-0000CB010000}"/>
    <cellStyle name="clsIndexTableTitle" xfId="1304" xr:uid="{00000000-0005-0000-0000-0000CC010000}"/>
    <cellStyle name="clsMRVData" xfId="1305" xr:uid="{00000000-0005-0000-0000-0000CD010000}"/>
    <cellStyle name="clsReportFooter" xfId="1306" xr:uid="{00000000-0005-0000-0000-0000CE010000}"/>
    <cellStyle name="clsReportHeader" xfId="1307" xr:uid="{00000000-0005-0000-0000-0000CF010000}"/>
    <cellStyle name="clsRowHeader" xfId="1308" xr:uid="{00000000-0005-0000-0000-0000D0010000}"/>
    <cellStyle name="clsScale" xfId="1309" xr:uid="{00000000-0005-0000-0000-0000D1010000}"/>
    <cellStyle name="clsSection" xfId="1310" xr:uid="{00000000-0005-0000-0000-0000D2010000}"/>
    <cellStyle name="Comma [0] 10" xfId="380" xr:uid="{00000000-0005-0000-0000-0000D4010000}"/>
    <cellStyle name="Comma [0] 11" xfId="381" xr:uid="{00000000-0005-0000-0000-0000D5010000}"/>
    <cellStyle name="Comma [0] 12" xfId="382" xr:uid="{00000000-0005-0000-0000-0000D6010000}"/>
    <cellStyle name="Comma [0] 13" xfId="383" xr:uid="{00000000-0005-0000-0000-0000D7010000}"/>
    <cellStyle name="Comma [0] 14" xfId="384" xr:uid="{00000000-0005-0000-0000-0000D8010000}"/>
    <cellStyle name="Comma [0] 15" xfId="385" xr:uid="{00000000-0005-0000-0000-0000D9010000}"/>
    <cellStyle name="Comma [0] 16" xfId="386" xr:uid="{00000000-0005-0000-0000-0000DA010000}"/>
    <cellStyle name="Comma [0] 17" xfId="387" xr:uid="{00000000-0005-0000-0000-0000DB010000}"/>
    <cellStyle name="Comma [0] 18" xfId="388" xr:uid="{00000000-0005-0000-0000-0000DC010000}"/>
    <cellStyle name="Comma [0] 19" xfId="389" xr:uid="{00000000-0005-0000-0000-0000DD010000}"/>
    <cellStyle name="Comma [0] 2" xfId="390" xr:uid="{00000000-0005-0000-0000-0000DE010000}"/>
    <cellStyle name="Comma [0] 20" xfId="391" xr:uid="{00000000-0005-0000-0000-0000DF010000}"/>
    <cellStyle name="Comma [0] 21" xfId="392" xr:uid="{00000000-0005-0000-0000-0000E0010000}"/>
    <cellStyle name="Comma [0] 22" xfId="393" xr:uid="{00000000-0005-0000-0000-0000E1010000}"/>
    <cellStyle name="Comma [0] 23" xfId="394" xr:uid="{00000000-0005-0000-0000-0000E2010000}"/>
    <cellStyle name="Comma [0] 24" xfId="395" xr:uid="{00000000-0005-0000-0000-0000E3010000}"/>
    <cellStyle name="Comma [0] 25" xfId="396" xr:uid="{00000000-0005-0000-0000-0000E4010000}"/>
    <cellStyle name="Comma [0] 26" xfId="397" xr:uid="{00000000-0005-0000-0000-0000E5010000}"/>
    <cellStyle name="Comma [0] 27" xfId="398" xr:uid="{00000000-0005-0000-0000-0000E6010000}"/>
    <cellStyle name="Comma [0] 28" xfId="399" xr:uid="{00000000-0005-0000-0000-0000E7010000}"/>
    <cellStyle name="Comma [0] 29" xfId="400" xr:uid="{00000000-0005-0000-0000-0000E8010000}"/>
    <cellStyle name="Comma [0] 3" xfId="401" xr:uid="{00000000-0005-0000-0000-0000E9010000}"/>
    <cellStyle name="Comma [0] 30" xfId="402" xr:uid="{00000000-0005-0000-0000-0000EA010000}"/>
    <cellStyle name="Comma [0] 4" xfId="403" xr:uid="{00000000-0005-0000-0000-0000EB010000}"/>
    <cellStyle name="Comma [0] 5" xfId="404" xr:uid="{00000000-0005-0000-0000-0000EC010000}"/>
    <cellStyle name="Comma [0] 6" xfId="405" xr:uid="{00000000-0005-0000-0000-0000ED010000}"/>
    <cellStyle name="Comma [0] 7" xfId="406" xr:uid="{00000000-0005-0000-0000-0000EE010000}"/>
    <cellStyle name="Comma [0] 8" xfId="407" xr:uid="{00000000-0005-0000-0000-0000EF010000}"/>
    <cellStyle name="Comma [0] 9" xfId="408" xr:uid="{00000000-0005-0000-0000-0000F0010000}"/>
    <cellStyle name="Comma 10" xfId="409" xr:uid="{00000000-0005-0000-0000-0000F1010000}"/>
    <cellStyle name="Comma 100" xfId="410" xr:uid="{00000000-0005-0000-0000-0000F2010000}"/>
    <cellStyle name="Comma 101" xfId="411" xr:uid="{00000000-0005-0000-0000-0000F3010000}"/>
    <cellStyle name="Comma 102" xfId="412" xr:uid="{00000000-0005-0000-0000-0000F4010000}"/>
    <cellStyle name="Comma 103" xfId="413" xr:uid="{00000000-0005-0000-0000-0000F5010000}"/>
    <cellStyle name="Comma 104" xfId="414" xr:uid="{00000000-0005-0000-0000-0000F6010000}"/>
    <cellStyle name="Comma 105" xfId="415" xr:uid="{00000000-0005-0000-0000-0000F7010000}"/>
    <cellStyle name="Comma 106" xfId="416" xr:uid="{00000000-0005-0000-0000-0000F8010000}"/>
    <cellStyle name="Comma 107" xfId="417" xr:uid="{00000000-0005-0000-0000-0000F9010000}"/>
    <cellStyle name="Comma 108" xfId="418" xr:uid="{00000000-0005-0000-0000-0000FA010000}"/>
    <cellStyle name="Comma 109" xfId="419" xr:uid="{00000000-0005-0000-0000-0000FB010000}"/>
    <cellStyle name="Comma 11" xfId="420" xr:uid="{00000000-0005-0000-0000-0000FC010000}"/>
    <cellStyle name="Comma 110" xfId="421" xr:uid="{00000000-0005-0000-0000-0000FD010000}"/>
    <cellStyle name="Comma 111" xfId="422" xr:uid="{00000000-0005-0000-0000-0000FE010000}"/>
    <cellStyle name="Comma 112" xfId="423" xr:uid="{00000000-0005-0000-0000-0000FF010000}"/>
    <cellStyle name="Comma 113" xfId="424" xr:uid="{00000000-0005-0000-0000-000000020000}"/>
    <cellStyle name="Comma 114" xfId="425" xr:uid="{00000000-0005-0000-0000-000001020000}"/>
    <cellStyle name="Comma 115" xfId="426" xr:uid="{00000000-0005-0000-0000-000002020000}"/>
    <cellStyle name="Comma 116" xfId="427" xr:uid="{00000000-0005-0000-0000-000003020000}"/>
    <cellStyle name="Comma 117" xfId="428" xr:uid="{00000000-0005-0000-0000-000004020000}"/>
    <cellStyle name="Comma 118" xfId="429" xr:uid="{00000000-0005-0000-0000-000005020000}"/>
    <cellStyle name="Comma 119" xfId="430" xr:uid="{00000000-0005-0000-0000-000006020000}"/>
    <cellStyle name="Comma 12" xfId="431" xr:uid="{00000000-0005-0000-0000-000007020000}"/>
    <cellStyle name="Comma 120" xfId="432" xr:uid="{00000000-0005-0000-0000-000008020000}"/>
    <cellStyle name="Comma 121" xfId="433" xr:uid="{00000000-0005-0000-0000-000009020000}"/>
    <cellStyle name="Comma 122" xfId="434" xr:uid="{00000000-0005-0000-0000-00000A020000}"/>
    <cellStyle name="Comma 123" xfId="435" xr:uid="{00000000-0005-0000-0000-00000B020000}"/>
    <cellStyle name="Comma 124" xfId="436" xr:uid="{00000000-0005-0000-0000-00000C020000}"/>
    <cellStyle name="Comma 125" xfId="437" xr:uid="{00000000-0005-0000-0000-00000D020000}"/>
    <cellStyle name="Comma 126" xfId="438" xr:uid="{00000000-0005-0000-0000-00000E020000}"/>
    <cellStyle name="Comma 127" xfId="439" xr:uid="{00000000-0005-0000-0000-00000F020000}"/>
    <cellStyle name="Comma 128" xfId="440" xr:uid="{00000000-0005-0000-0000-000010020000}"/>
    <cellStyle name="Comma 129" xfId="441" xr:uid="{00000000-0005-0000-0000-000011020000}"/>
    <cellStyle name="Comma 13" xfId="442" xr:uid="{00000000-0005-0000-0000-000012020000}"/>
    <cellStyle name="Comma 130" xfId="443" xr:uid="{00000000-0005-0000-0000-000013020000}"/>
    <cellStyle name="Comma 131" xfId="444" xr:uid="{00000000-0005-0000-0000-000014020000}"/>
    <cellStyle name="Comma 132" xfId="445" xr:uid="{00000000-0005-0000-0000-000015020000}"/>
    <cellStyle name="Comma 133" xfId="446" xr:uid="{00000000-0005-0000-0000-000016020000}"/>
    <cellStyle name="Comma 134" xfId="447" xr:uid="{00000000-0005-0000-0000-000017020000}"/>
    <cellStyle name="Comma 135" xfId="448" xr:uid="{00000000-0005-0000-0000-000018020000}"/>
    <cellStyle name="Comma 136" xfId="449" xr:uid="{00000000-0005-0000-0000-000019020000}"/>
    <cellStyle name="Comma 137" xfId="450" xr:uid="{00000000-0005-0000-0000-00001A020000}"/>
    <cellStyle name="Comma 138" xfId="451" xr:uid="{00000000-0005-0000-0000-00001B020000}"/>
    <cellStyle name="Comma 139" xfId="452" xr:uid="{00000000-0005-0000-0000-00001C020000}"/>
    <cellStyle name="Comma 14" xfId="453" xr:uid="{00000000-0005-0000-0000-00001D020000}"/>
    <cellStyle name="Comma 140" xfId="454" xr:uid="{00000000-0005-0000-0000-00001E020000}"/>
    <cellStyle name="Comma 141" xfId="455" xr:uid="{00000000-0005-0000-0000-00001F020000}"/>
    <cellStyle name="Comma 142" xfId="456" xr:uid="{00000000-0005-0000-0000-000020020000}"/>
    <cellStyle name="Comma 143" xfId="457" xr:uid="{00000000-0005-0000-0000-000021020000}"/>
    <cellStyle name="Comma 144" xfId="458" xr:uid="{00000000-0005-0000-0000-000022020000}"/>
    <cellStyle name="Comma 145" xfId="459" xr:uid="{00000000-0005-0000-0000-000023020000}"/>
    <cellStyle name="Comma 146" xfId="460" xr:uid="{00000000-0005-0000-0000-000024020000}"/>
    <cellStyle name="Comma 147" xfId="461" xr:uid="{00000000-0005-0000-0000-000025020000}"/>
    <cellStyle name="Comma 148" xfId="462" xr:uid="{00000000-0005-0000-0000-000026020000}"/>
    <cellStyle name="Comma 149" xfId="463" xr:uid="{00000000-0005-0000-0000-000027020000}"/>
    <cellStyle name="Comma 15" xfId="464" xr:uid="{00000000-0005-0000-0000-000028020000}"/>
    <cellStyle name="Comma 150" xfId="465" xr:uid="{00000000-0005-0000-0000-000029020000}"/>
    <cellStyle name="Comma 151" xfId="466" xr:uid="{00000000-0005-0000-0000-00002A020000}"/>
    <cellStyle name="Comma 152" xfId="467" xr:uid="{00000000-0005-0000-0000-00002B020000}"/>
    <cellStyle name="Comma 153" xfId="468" xr:uid="{00000000-0005-0000-0000-00002C020000}"/>
    <cellStyle name="Comma 153 2" xfId="1207" xr:uid="{00000000-0005-0000-0000-00002D020000}"/>
    <cellStyle name="Comma 154" xfId="1204" xr:uid="{00000000-0005-0000-0000-00002E020000}"/>
    <cellStyle name="Comma 16" xfId="469" xr:uid="{00000000-0005-0000-0000-00002F020000}"/>
    <cellStyle name="Comma 17" xfId="470" xr:uid="{00000000-0005-0000-0000-000030020000}"/>
    <cellStyle name="Comma 18" xfId="471" xr:uid="{00000000-0005-0000-0000-000031020000}"/>
    <cellStyle name="Comma 19" xfId="472" xr:uid="{00000000-0005-0000-0000-000032020000}"/>
    <cellStyle name="Comma 2" xfId="473" xr:uid="{00000000-0005-0000-0000-000033020000}"/>
    <cellStyle name="Comma 2 2" xfId="474" xr:uid="{00000000-0005-0000-0000-000034020000}"/>
    <cellStyle name="Comma 2 3" xfId="475" xr:uid="{00000000-0005-0000-0000-000035020000}"/>
    <cellStyle name="Comma 2 4" xfId="476" xr:uid="{00000000-0005-0000-0000-000036020000}"/>
    <cellStyle name="Comma 20" xfId="477" xr:uid="{00000000-0005-0000-0000-000037020000}"/>
    <cellStyle name="Comma 21" xfId="478" xr:uid="{00000000-0005-0000-0000-000038020000}"/>
    <cellStyle name="Comma 22" xfId="479" xr:uid="{00000000-0005-0000-0000-000039020000}"/>
    <cellStyle name="Comma 23" xfId="480" xr:uid="{00000000-0005-0000-0000-00003A020000}"/>
    <cellStyle name="Comma 24" xfId="481" xr:uid="{00000000-0005-0000-0000-00003B020000}"/>
    <cellStyle name="Comma 25" xfId="482" xr:uid="{00000000-0005-0000-0000-00003C020000}"/>
    <cellStyle name="Comma 26" xfId="483" xr:uid="{00000000-0005-0000-0000-00003D020000}"/>
    <cellStyle name="Comma 27" xfId="484" xr:uid="{00000000-0005-0000-0000-00003E020000}"/>
    <cellStyle name="Comma 28" xfId="485" xr:uid="{00000000-0005-0000-0000-00003F020000}"/>
    <cellStyle name="Comma 29" xfId="486" xr:uid="{00000000-0005-0000-0000-000040020000}"/>
    <cellStyle name="Comma 3" xfId="487" xr:uid="{00000000-0005-0000-0000-000041020000}"/>
    <cellStyle name="Comma 3 2" xfId="488" xr:uid="{00000000-0005-0000-0000-000042020000}"/>
    <cellStyle name="Comma 30" xfId="489" xr:uid="{00000000-0005-0000-0000-000043020000}"/>
    <cellStyle name="Comma 31" xfId="490" xr:uid="{00000000-0005-0000-0000-000044020000}"/>
    <cellStyle name="Comma 32" xfId="491" xr:uid="{00000000-0005-0000-0000-000045020000}"/>
    <cellStyle name="Comma 33" xfId="492" xr:uid="{00000000-0005-0000-0000-000046020000}"/>
    <cellStyle name="Comma 34" xfId="493" xr:uid="{00000000-0005-0000-0000-000047020000}"/>
    <cellStyle name="Comma 35" xfId="494" xr:uid="{00000000-0005-0000-0000-000048020000}"/>
    <cellStyle name="Comma 36" xfId="495" xr:uid="{00000000-0005-0000-0000-000049020000}"/>
    <cellStyle name="Comma 37" xfId="496" xr:uid="{00000000-0005-0000-0000-00004A020000}"/>
    <cellStyle name="Comma 38" xfId="497" xr:uid="{00000000-0005-0000-0000-00004B020000}"/>
    <cellStyle name="Comma 39" xfId="498" xr:uid="{00000000-0005-0000-0000-00004C020000}"/>
    <cellStyle name="Comma 4" xfId="499" xr:uid="{00000000-0005-0000-0000-00004D020000}"/>
    <cellStyle name="Comma 4 2" xfId="1311" xr:uid="{00000000-0005-0000-0000-00004E020000}"/>
    <cellStyle name="Comma 40" xfId="500" xr:uid="{00000000-0005-0000-0000-00004F020000}"/>
    <cellStyle name="Comma 41" xfId="501" xr:uid="{00000000-0005-0000-0000-000050020000}"/>
    <cellStyle name="Comma 42" xfId="502" xr:uid="{00000000-0005-0000-0000-000051020000}"/>
    <cellStyle name="Comma 43" xfId="503" xr:uid="{00000000-0005-0000-0000-000052020000}"/>
    <cellStyle name="Comma 44" xfId="504" xr:uid="{00000000-0005-0000-0000-000053020000}"/>
    <cellStyle name="Comma 45" xfId="505" xr:uid="{00000000-0005-0000-0000-000054020000}"/>
    <cellStyle name="Comma 46" xfId="506" xr:uid="{00000000-0005-0000-0000-000055020000}"/>
    <cellStyle name="Comma 47" xfId="507" xr:uid="{00000000-0005-0000-0000-000056020000}"/>
    <cellStyle name="Comma 48" xfId="508" xr:uid="{00000000-0005-0000-0000-000057020000}"/>
    <cellStyle name="Comma 49" xfId="509" xr:uid="{00000000-0005-0000-0000-000058020000}"/>
    <cellStyle name="Comma 5" xfId="510" xr:uid="{00000000-0005-0000-0000-000059020000}"/>
    <cellStyle name="Comma 5 2" xfId="1312" xr:uid="{00000000-0005-0000-0000-00005A020000}"/>
    <cellStyle name="Comma 50" xfId="511" xr:uid="{00000000-0005-0000-0000-00005B020000}"/>
    <cellStyle name="Comma 51" xfId="512" xr:uid="{00000000-0005-0000-0000-00005C020000}"/>
    <cellStyle name="Comma 52" xfId="513" xr:uid="{00000000-0005-0000-0000-00005D020000}"/>
    <cellStyle name="Comma 53" xfId="514" xr:uid="{00000000-0005-0000-0000-00005E020000}"/>
    <cellStyle name="Comma 54" xfId="515" xr:uid="{00000000-0005-0000-0000-00005F020000}"/>
    <cellStyle name="Comma 55" xfId="516" xr:uid="{00000000-0005-0000-0000-000060020000}"/>
    <cellStyle name="Comma 56" xfId="517" xr:uid="{00000000-0005-0000-0000-000061020000}"/>
    <cellStyle name="Comma 57" xfId="518" xr:uid="{00000000-0005-0000-0000-000062020000}"/>
    <cellStyle name="Comma 58" xfId="519" xr:uid="{00000000-0005-0000-0000-000063020000}"/>
    <cellStyle name="Comma 59" xfId="520" xr:uid="{00000000-0005-0000-0000-000064020000}"/>
    <cellStyle name="Comma 6" xfId="521" xr:uid="{00000000-0005-0000-0000-000065020000}"/>
    <cellStyle name="Comma 60" xfId="522" xr:uid="{00000000-0005-0000-0000-000066020000}"/>
    <cellStyle name="Comma 61" xfId="523" xr:uid="{00000000-0005-0000-0000-000067020000}"/>
    <cellStyle name="Comma 62" xfId="524" xr:uid="{00000000-0005-0000-0000-000068020000}"/>
    <cellStyle name="Comma 63" xfId="525" xr:uid="{00000000-0005-0000-0000-000069020000}"/>
    <cellStyle name="Comma 64" xfId="526" xr:uid="{00000000-0005-0000-0000-00006A020000}"/>
    <cellStyle name="Comma 65" xfId="527" xr:uid="{00000000-0005-0000-0000-00006B020000}"/>
    <cellStyle name="Comma 66" xfId="528" xr:uid="{00000000-0005-0000-0000-00006C020000}"/>
    <cellStyle name="Comma 67" xfId="529" xr:uid="{00000000-0005-0000-0000-00006D020000}"/>
    <cellStyle name="Comma 68" xfId="530" xr:uid="{00000000-0005-0000-0000-00006E020000}"/>
    <cellStyle name="Comma 69" xfId="531" xr:uid="{00000000-0005-0000-0000-00006F020000}"/>
    <cellStyle name="Comma 7" xfId="532" xr:uid="{00000000-0005-0000-0000-000070020000}"/>
    <cellStyle name="Comma 70" xfId="533" xr:uid="{00000000-0005-0000-0000-000071020000}"/>
    <cellStyle name="Comma 71" xfId="534" xr:uid="{00000000-0005-0000-0000-000072020000}"/>
    <cellStyle name="Comma 72" xfId="535" xr:uid="{00000000-0005-0000-0000-000073020000}"/>
    <cellStyle name="Comma 73" xfId="536" xr:uid="{00000000-0005-0000-0000-000074020000}"/>
    <cellStyle name="Comma 74" xfId="537" xr:uid="{00000000-0005-0000-0000-000075020000}"/>
    <cellStyle name="Comma 75" xfId="538" xr:uid="{00000000-0005-0000-0000-000076020000}"/>
    <cellStyle name="Comma 76" xfId="539" xr:uid="{00000000-0005-0000-0000-000077020000}"/>
    <cellStyle name="Comma 77" xfId="540" xr:uid="{00000000-0005-0000-0000-000078020000}"/>
    <cellStyle name="Comma 78" xfId="541" xr:uid="{00000000-0005-0000-0000-000079020000}"/>
    <cellStyle name="Comma 79" xfId="542" xr:uid="{00000000-0005-0000-0000-00007A020000}"/>
    <cellStyle name="Comma 8" xfId="543" xr:uid="{00000000-0005-0000-0000-00007B020000}"/>
    <cellStyle name="Comma 80" xfId="544" xr:uid="{00000000-0005-0000-0000-00007C020000}"/>
    <cellStyle name="Comma 81" xfId="545" xr:uid="{00000000-0005-0000-0000-00007D020000}"/>
    <cellStyle name="Comma 82" xfId="546" xr:uid="{00000000-0005-0000-0000-00007E020000}"/>
    <cellStyle name="Comma 83" xfId="547" xr:uid="{00000000-0005-0000-0000-00007F020000}"/>
    <cellStyle name="Comma 84" xfId="548" xr:uid="{00000000-0005-0000-0000-000080020000}"/>
    <cellStyle name="Comma 85" xfId="549" xr:uid="{00000000-0005-0000-0000-000081020000}"/>
    <cellStyle name="Comma 86" xfId="550" xr:uid="{00000000-0005-0000-0000-000082020000}"/>
    <cellStyle name="Comma 87" xfId="551" xr:uid="{00000000-0005-0000-0000-000083020000}"/>
    <cellStyle name="Comma 88" xfId="552" xr:uid="{00000000-0005-0000-0000-000084020000}"/>
    <cellStyle name="Comma 89" xfId="553" xr:uid="{00000000-0005-0000-0000-000085020000}"/>
    <cellStyle name="Comma 9" xfId="554" xr:uid="{00000000-0005-0000-0000-000086020000}"/>
    <cellStyle name="Comma 90" xfId="555" xr:uid="{00000000-0005-0000-0000-000087020000}"/>
    <cellStyle name="Comma 91" xfId="556" xr:uid="{00000000-0005-0000-0000-000088020000}"/>
    <cellStyle name="Comma 92" xfId="557" xr:uid="{00000000-0005-0000-0000-000089020000}"/>
    <cellStyle name="Comma 93" xfId="558" xr:uid="{00000000-0005-0000-0000-00008A020000}"/>
    <cellStyle name="Comma 94" xfId="559" xr:uid="{00000000-0005-0000-0000-00008B020000}"/>
    <cellStyle name="Comma 95" xfId="560" xr:uid="{00000000-0005-0000-0000-00008C020000}"/>
    <cellStyle name="Comma 96" xfId="561" xr:uid="{00000000-0005-0000-0000-00008D020000}"/>
    <cellStyle name="Comma 97" xfId="562" xr:uid="{00000000-0005-0000-0000-00008E020000}"/>
    <cellStyle name="Comma 98" xfId="563" xr:uid="{00000000-0005-0000-0000-00008F020000}"/>
    <cellStyle name="Comma 99" xfId="564" xr:uid="{00000000-0005-0000-0000-000090020000}"/>
    <cellStyle name="Comma[mine]" xfId="1313" xr:uid="{00000000-0005-0000-0000-000091020000}"/>
    <cellStyle name="Comma[mine] 2" xfId="1314" xr:uid="{00000000-0005-0000-0000-000092020000}"/>
    <cellStyle name="Comma[mine] 3" xfId="1315" xr:uid="{00000000-0005-0000-0000-000093020000}"/>
    <cellStyle name="Comma[mine] 4" xfId="1316" xr:uid="{00000000-0005-0000-0000-000094020000}"/>
    <cellStyle name="Comma[mine] 5" xfId="1317" xr:uid="{00000000-0005-0000-0000-000095020000}"/>
    <cellStyle name="Comma[mine] 6" xfId="1318" xr:uid="{00000000-0005-0000-0000-000096020000}"/>
    <cellStyle name="Comma0" xfId="1319" xr:uid="{00000000-0005-0000-0000-000097020000}"/>
    <cellStyle name="Comma0 - Style3" xfId="1320" xr:uid="{00000000-0005-0000-0000-000098020000}"/>
    <cellStyle name="Comma0 2" xfId="1321" xr:uid="{00000000-0005-0000-0000-000099020000}"/>
    <cellStyle name="Comma0 2 2" xfId="1322" xr:uid="{00000000-0005-0000-0000-00009A020000}"/>
    <cellStyle name="Comma0 3" xfId="1323" xr:uid="{00000000-0005-0000-0000-00009B020000}"/>
    <cellStyle name="Comma0 3 2" xfId="1324" xr:uid="{00000000-0005-0000-0000-00009C020000}"/>
    <cellStyle name="Comma0 4" xfId="1325" xr:uid="{00000000-0005-0000-0000-00009D020000}"/>
    <cellStyle name="Comma0 4 2" xfId="1326" xr:uid="{00000000-0005-0000-0000-00009E020000}"/>
    <cellStyle name="Comma0 5" xfId="1327" xr:uid="{00000000-0005-0000-0000-00009F020000}"/>
    <cellStyle name="Comma0 5 2" xfId="1328" xr:uid="{00000000-0005-0000-0000-0000A0020000}"/>
    <cellStyle name="Comma0 6" xfId="1329" xr:uid="{00000000-0005-0000-0000-0000A1020000}"/>
    <cellStyle name="Comma0_BOP" xfId="1330" xr:uid="{00000000-0005-0000-0000-0000A2020000}"/>
    <cellStyle name="Currency [0] 10" xfId="565" xr:uid="{00000000-0005-0000-0000-0000A3020000}"/>
    <cellStyle name="Currency [0] 11" xfId="566" xr:uid="{00000000-0005-0000-0000-0000A4020000}"/>
    <cellStyle name="Currency [0] 12" xfId="567" xr:uid="{00000000-0005-0000-0000-0000A5020000}"/>
    <cellStyle name="Currency [0] 13" xfId="568" xr:uid="{00000000-0005-0000-0000-0000A6020000}"/>
    <cellStyle name="Currency [0] 14" xfId="569" xr:uid="{00000000-0005-0000-0000-0000A7020000}"/>
    <cellStyle name="Currency [0] 15" xfId="570" xr:uid="{00000000-0005-0000-0000-0000A8020000}"/>
    <cellStyle name="Currency [0] 16" xfId="571" xr:uid="{00000000-0005-0000-0000-0000A9020000}"/>
    <cellStyle name="Currency [0] 17" xfId="572" xr:uid="{00000000-0005-0000-0000-0000AA020000}"/>
    <cellStyle name="Currency [0] 18" xfId="573" xr:uid="{00000000-0005-0000-0000-0000AB020000}"/>
    <cellStyle name="Currency [0] 19" xfId="574" xr:uid="{00000000-0005-0000-0000-0000AC020000}"/>
    <cellStyle name="Currency [0] 2" xfId="575" xr:uid="{00000000-0005-0000-0000-0000AD020000}"/>
    <cellStyle name="Currency [0] 20" xfId="576" xr:uid="{00000000-0005-0000-0000-0000AE020000}"/>
    <cellStyle name="Currency [0] 21" xfId="577" xr:uid="{00000000-0005-0000-0000-0000AF020000}"/>
    <cellStyle name="Currency [0] 22" xfId="578" xr:uid="{00000000-0005-0000-0000-0000B0020000}"/>
    <cellStyle name="Currency [0] 23" xfId="579" xr:uid="{00000000-0005-0000-0000-0000B1020000}"/>
    <cellStyle name="Currency [0] 24" xfId="580" xr:uid="{00000000-0005-0000-0000-0000B2020000}"/>
    <cellStyle name="Currency [0] 25" xfId="581" xr:uid="{00000000-0005-0000-0000-0000B3020000}"/>
    <cellStyle name="Currency [0] 26" xfId="582" xr:uid="{00000000-0005-0000-0000-0000B4020000}"/>
    <cellStyle name="Currency [0] 27" xfId="583" xr:uid="{00000000-0005-0000-0000-0000B5020000}"/>
    <cellStyle name="Currency [0] 28" xfId="584" xr:uid="{00000000-0005-0000-0000-0000B6020000}"/>
    <cellStyle name="Currency [0] 29" xfId="585" xr:uid="{00000000-0005-0000-0000-0000B7020000}"/>
    <cellStyle name="Currency [0] 3" xfId="586" xr:uid="{00000000-0005-0000-0000-0000B8020000}"/>
    <cellStyle name="Currency [0] 30" xfId="587" xr:uid="{00000000-0005-0000-0000-0000B9020000}"/>
    <cellStyle name="Currency [0] 4" xfId="588" xr:uid="{00000000-0005-0000-0000-0000BA020000}"/>
    <cellStyle name="Currency [0] 5" xfId="589" xr:uid="{00000000-0005-0000-0000-0000BB020000}"/>
    <cellStyle name="Currency [0] 6" xfId="590" xr:uid="{00000000-0005-0000-0000-0000BC020000}"/>
    <cellStyle name="Currency [0] 7" xfId="591" xr:uid="{00000000-0005-0000-0000-0000BD020000}"/>
    <cellStyle name="Currency [0] 8" xfId="592" xr:uid="{00000000-0005-0000-0000-0000BE020000}"/>
    <cellStyle name="Currency [0] 9" xfId="593" xr:uid="{00000000-0005-0000-0000-0000BF020000}"/>
    <cellStyle name="Currency 10" xfId="594" xr:uid="{00000000-0005-0000-0000-0000C0020000}"/>
    <cellStyle name="Currency 11" xfId="595" xr:uid="{00000000-0005-0000-0000-0000C1020000}"/>
    <cellStyle name="Currency 12" xfId="596" xr:uid="{00000000-0005-0000-0000-0000C2020000}"/>
    <cellStyle name="Currency 13" xfId="597" xr:uid="{00000000-0005-0000-0000-0000C3020000}"/>
    <cellStyle name="Currency 14" xfId="598" xr:uid="{00000000-0005-0000-0000-0000C4020000}"/>
    <cellStyle name="Currency 15" xfId="599" xr:uid="{00000000-0005-0000-0000-0000C5020000}"/>
    <cellStyle name="Currency 16" xfId="600" xr:uid="{00000000-0005-0000-0000-0000C6020000}"/>
    <cellStyle name="Currency 17" xfId="601" xr:uid="{00000000-0005-0000-0000-0000C7020000}"/>
    <cellStyle name="Currency 18" xfId="602" xr:uid="{00000000-0005-0000-0000-0000C8020000}"/>
    <cellStyle name="Currency 19" xfId="603" xr:uid="{00000000-0005-0000-0000-0000C9020000}"/>
    <cellStyle name="Currency 2" xfId="604" xr:uid="{00000000-0005-0000-0000-0000CA020000}"/>
    <cellStyle name="Currency 20" xfId="605" xr:uid="{00000000-0005-0000-0000-0000CB020000}"/>
    <cellStyle name="Currency 21" xfId="606" xr:uid="{00000000-0005-0000-0000-0000CC020000}"/>
    <cellStyle name="Currency 22" xfId="607" xr:uid="{00000000-0005-0000-0000-0000CD020000}"/>
    <cellStyle name="Currency 23" xfId="608" xr:uid="{00000000-0005-0000-0000-0000CE020000}"/>
    <cellStyle name="Currency 24" xfId="609" xr:uid="{00000000-0005-0000-0000-0000CF020000}"/>
    <cellStyle name="Currency 25" xfId="610" xr:uid="{00000000-0005-0000-0000-0000D0020000}"/>
    <cellStyle name="Currency 26" xfId="611" xr:uid="{00000000-0005-0000-0000-0000D1020000}"/>
    <cellStyle name="Currency 27" xfId="612" xr:uid="{00000000-0005-0000-0000-0000D2020000}"/>
    <cellStyle name="Currency 28" xfId="613" xr:uid="{00000000-0005-0000-0000-0000D3020000}"/>
    <cellStyle name="Currency 29" xfId="614" xr:uid="{00000000-0005-0000-0000-0000D4020000}"/>
    <cellStyle name="Currency 3" xfId="615" xr:uid="{00000000-0005-0000-0000-0000D5020000}"/>
    <cellStyle name="Currency 30" xfId="616" xr:uid="{00000000-0005-0000-0000-0000D6020000}"/>
    <cellStyle name="Currency 31" xfId="617" xr:uid="{00000000-0005-0000-0000-0000D7020000}"/>
    <cellStyle name="Currency 32" xfId="618" xr:uid="{00000000-0005-0000-0000-0000D8020000}"/>
    <cellStyle name="Currency 33" xfId="619" xr:uid="{00000000-0005-0000-0000-0000D9020000}"/>
    <cellStyle name="Currency 34" xfId="620" xr:uid="{00000000-0005-0000-0000-0000DA020000}"/>
    <cellStyle name="Currency 35" xfId="621" xr:uid="{00000000-0005-0000-0000-0000DB020000}"/>
    <cellStyle name="Currency 36" xfId="622" xr:uid="{00000000-0005-0000-0000-0000DC020000}"/>
    <cellStyle name="Currency 37" xfId="623" xr:uid="{00000000-0005-0000-0000-0000DD020000}"/>
    <cellStyle name="Currency 38" xfId="624" xr:uid="{00000000-0005-0000-0000-0000DE020000}"/>
    <cellStyle name="Currency 39" xfId="625" xr:uid="{00000000-0005-0000-0000-0000DF020000}"/>
    <cellStyle name="Currency 4" xfId="626" xr:uid="{00000000-0005-0000-0000-0000E0020000}"/>
    <cellStyle name="Currency 5" xfId="627" xr:uid="{00000000-0005-0000-0000-0000E1020000}"/>
    <cellStyle name="Currency 6" xfId="628" xr:uid="{00000000-0005-0000-0000-0000E2020000}"/>
    <cellStyle name="Currency 7" xfId="629" xr:uid="{00000000-0005-0000-0000-0000E3020000}"/>
    <cellStyle name="Currency 8" xfId="630" xr:uid="{00000000-0005-0000-0000-0000E4020000}"/>
    <cellStyle name="Currency 9" xfId="631" xr:uid="{00000000-0005-0000-0000-0000E5020000}"/>
    <cellStyle name="Currency0" xfId="1331" xr:uid="{00000000-0005-0000-0000-0000E6020000}"/>
    <cellStyle name="Currency0 2" xfId="1332" xr:uid="{00000000-0005-0000-0000-0000E7020000}"/>
    <cellStyle name="Currency0 2 2" xfId="1333" xr:uid="{00000000-0005-0000-0000-0000E8020000}"/>
    <cellStyle name="Currency0 3" xfId="1334" xr:uid="{00000000-0005-0000-0000-0000E9020000}"/>
    <cellStyle name="Currency0 3 2" xfId="1335" xr:uid="{00000000-0005-0000-0000-0000EA020000}"/>
    <cellStyle name="Currency0 4" xfId="1336" xr:uid="{00000000-0005-0000-0000-0000EB020000}"/>
    <cellStyle name="Currency0 4 2" xfId="1337" xr:uid="{00000000-0005-0000-0000-0000EC020000}"/>
    <cellStyle name="Currency0 5" xfId="1338" xr:uid="{00000000-0005-0000-0000-0000ED020000}"/>
    <cellStyle name="Currency0 5 2" xfId="1339" xr:uid="{00000000-0005-0000-0000-0000EE020000}"/>
    <cellStyle name="Currency0 6" xfId="1340" xr:uid="{00000000-0005-0000-0000-0000EF020000}"/>
    <cellStyle name="Data" xfId="1341" xr:uid="{00000000-0005-0000-0000-0000F0020000}"/>
    <cellStyle name="Date" xfId="1342" xr:uid="{00000000-0005-0000-0000-0000F1020000}"/>
    <cellStyle name="DateTime" xfId="1343" xr:uid="{00000000-0005-0000-0000-0000F2020000}"/>
    <cellStyle name="DateTime 2" xfId="1344" xr:uid="{00000000-0005-0000-0000-0000F3020000}"/>
    <cellStyle name="DateTime 2 2" xfId="1345" xr:uid="{00000000-0005-0000-0000-0000F4020000}"/>
    <cellStyle name="DateTime 3" xfId="1346" xr:uid="{00000000-0005-0000-0000-0000F5020000}"/>
    <cellStyle name="DateTime 3 2" xfId="1347" xr:uid="{00000000-0005-0000-0000-0000F6020000}"/>
    <cellStyle name="DateTime 4" xfId="1348" xr:uid="{00000000-0005-0000-0000-0000F7020000}"/>
    <cellStyle name="DateTime 4 2" xfId="1349" xr:uid="{00000000-0005-0000-0000-0000F8020000}"/>
    <cellStyle name="DateTime 5" xfId="1350" xr:uid="{00000000-0005-0000-0000-0000F9020000}"/>
    <cellStyle name="DateTime 5 2" xfId="1351" xr:uid="{00000000-0005-0000-0000-0000FA020000}"/>
    <cellStyle name="DateTime 6" xfId="1352" xr:uid="{00000000-0005-0000-0000-0000FB020000}"/>
    <cellStyle name="day of week" xfId="1353" xr:uid="{00000000-0005-0000-0000-0000FC020000}"/>
    <cellStyle name="DEM" xfId="1354" xr:uid="{00000000-0005-0000-0000-0000FD020000}"/>
    <cellStyle name="données" xfId="1355" xr:uid="{00000000-0005-0000-0000-0000FE020000}"/>
    <cellStyle name="donnéesbord" xfId="1356" xr:uid="{00000000-0005-0000-0000-0000FF020000}"/>
    <cellStyle name="Encabezado 4" xfId="1357" xr:uid="{00000000-0005-0000-0000-000000030000}"/>
    <cellStyle name="Énfasis1" xfId="1358" xr:uid="{00000000-0005-0000-0000-000001030000}"/>
    <cellStyle name="Énfasis2" xfId="1359" xr:uid="{00000000-0005-0000-0000-000002030000}"/>
    <cellStyle name="Énfasis3" xfId="1360" xr:uid="{00000000-0005-0000-0000-000003030000}"/>
    <cellStyle name="Énfasis4" xfId="1361" xr:uid="{00000000-0005-0000-0000-000004030000}"/>
    <cellStyle name="Énfasis5" xfId="1362" xr:uid="{00000000-0005-0000-0000-000005030000}"/>
    <cellStyle name="Énfasis6" xfId="1363" xr:uid="{00000000-0005-0000-0000-000006030000}"/>
    <cellStyle name="Entrada" xfId="1364" xr:uid="{00000000-0005-0000-0000-000007030000}"/>
    <cellStyle name="Est.Fin." xfId="1365" xr:uid="{00000000-0005-0000-0000-000008030000}"/>
    <cellStyle name="Est.Fin. 2" xfId="1366" xr:uid="{00000000-0005-0000-0000-000009030000}"/>
    <cellStyle name="Estilo 1" xfId="1367" xr:uid="{00000000-0005-0000-0000-00000A030000}"/>
    <cellStyle name="Euro" xfId="1368" xr:uid="{00000000-0005-0000-0000-00000B030000}"/>
    <cellStyle name="Euro 2" xfId="1369" xr:uid="{00000000-0005-0000-0000-00000C030000}"/>
    <cellStyle name="Euro 2 2" xfId="1370" xr:uid="{00000000-0005-0000-0000-00000D030000}"/>
    <cellStyle name="Euro 2 3" xfId="1371" xr:uid="{00000000-0005-0000-0000-00000E030000}"/>
    <cellStyle name="Euro 3" xfId="1372" xr:uid="{00000000-0005-0000-0000-00000F030000}"/>
    <cellStyle name="Euro 3 2" xfId="1373" xr:uid="{00000000-0005-0000-0000-000010030000}"/>
    <cellStyle name="Euro 3 3" xfId="1374" xr:uid="{00000000-0005-0000-0000-000011030000}"/>
    <cellStyle name="Euro 4" xfId="1375" xr:uid="{00000000-0005-0000-0000-000012030000}"/>
    <cellStyle name="Euro 4 2" xfId="1376" xr:uid="{00000000-0005-0000-0000-000013030000}"/>
    <cellStyle name="Euro 4 3" xfId="1377" xr:uid="{00000000-0005-0000-0000-000014030000}"/>
    <cellStyle name="Euro 5" xfId="1378" xr:uid="{00000000-0005-0000-0000-000015030000}"/>
    <cellStyle name="Euro 5 2" xfId="1379" xr:uid="{00000000-0005-0000-0000-000016030000}"/>
    <cellStyle name="Euro 5 3" xfId="1380" xr:uid="{00000000-0005-0000-0000-000017030000}"/>
    <cellStyle name="Euro 6" xfId="1381" xr:uid="{00000000-0005-0000-0000-000018030000}"/>
    <cellStyle name="Euro 6 2" xfId="1382" xr:uid="{00000000-0005-0000-0000-000019030000}"/>
    <cellStyle name="Euro 7" xfId="1383" xr:uid="{00000000-0005-0000-0000-00001A030000}"/>
    <cellStyle name="Euro 8" xfId="1384" xr:uid="{00000000-0005-0000-0000-00001B030000}"/>
    <cellStyle name="Euro 9" xfId="1385" xr:uid="{00000000-0005-0000-0000-00001C030000}"/>
    <cellStyle name="Euro_Book1 (5)" xfId="1386" xr:uid="{00000000-0005-0000-0000-00001D030000}"/>
    <cellStyle name="Excel.Chart" xfId="1387" xr:uid="{00000000-0005-0000-0000-00001E030000}"/>
    <cellStyle name="Explanatory Text 2" xfId="632" xr:uid="{00000000-0005-0000-0000-00001F030000}"/>
    <cellStyle name="F2" xfId="1388" xr:uid="{00000000-0005-0000-0000-000020030000}"/>
    <cellStyle name="F2 2" xfId="1389" xr:uid="{00000000-0005-0000-0000-000021030000}"/>
    <cellStyle name="F2 3" xfId="1390" xr:uid="{00000000-0005-0000-0000-000022030000}"/>
    <cellStyle name="F3" xfId="1391" xr:uid="{00000000-0005-0000-0000-000023030000}"/>
    <cellStyle name="F3 2" xfId="1392" xr:uid="{00000000-0005-0000-0000-000024030000}"/>
    <cellStyle name="F3 3" xfId="1393" xr:uid="{00000000-0005-0000-0000-000025030000}"/>
    <cellStyle name="F4" xfId="1394" xr:uid="{00000000-0005-0000-0000-000026030000}"/>
    <cellStyle name="F4 2" xfId="1395" xr:uid="{00000000-0005-0000-0000-000027030000}"/>
    <cellStyle name="F4 3" xfId="1396" xr:uid="{00000000-0005-0000-0000-000028030000}"/>
    <cellStyle name="F5" xfId="1397" xr:uid="{00000000-0005-0000-0000-000029030000}"/>
    <cellStyle name="F5 2" xfId="1398" xr:uid="{00000000-0005-0000-0000-00002A030000}"/>
    <cellStyle name="F5 3" xfId="1399" xr:uid="{00000000-0005-0000-0000-00002B030000}"/>
    <cellStyle name="F6" xfId="1400" xr:uid="{00000000-0005-0000-0000-00002C030000}"/>
    <cellStyle name="F6 2" xfId="1401" xr:uid="{00000000-0005-0000-0000-00002D030000}"/>
    <cellStyle name="F6 3" xfId="1402" xr:uid="{00000000-0005-0000-0000-00002E030000}"/>
    <cellStyle name="F7" xfId="1403" xr:uid="{00000000-0005-0000-0000-00002F030000}"/>
    <cellStyle name="F7 2" xfId="1404" xr:uid="{00000000-0005-0000-0000-000030030000}"/>
    <cellStyle name="F7 3" xfId="1405" xr:uid="{00000000-0005-0000-0000-000031030000}"/>
    <cellStyle name="F8" xfId="1406" xr:uid="{00000000-0005-0000-0000-000032030000}"/>
    <cellStyle name="F8 2" xfId="1407" xr:uid="{00000000-0005-0000-0000-000033030000}"/>
    <cellStyle name="F8 3" xfId="1408" xr:uid="{00000000-0005-0000-0000-000034030000}"/>
    <cellStyle name="Fecha" xfId="1409" xr:uid="{00000000-0005-0000-0000-000035030000}"/>
    <cellStyle name="Fijo" xfId="1410" xr:uid="{00000000-0005-0000-0000-000036030000}"/>
    <cellStyle name="Fixed" xfId="1411" xr:uid="{00000000-0005-0000-0000-000037030000}"/>
    <cellStyle name="fixed0 - Style4" xfId="1412" xr:uid="{00000000-0005-0000-0000-000038030000}"/>
    <cellStyle name="Fixed2 - Style2" xfId="1413" xr:uid="{00000000-0005-0000-0000-000039030000}"/>
    <cellStyle name="Fixo" xfId="1414" xr:uid="{00000000-0005-0000-0000-00003A030000}"/>
    <cellStyle name="Good 10" xfId="633" xr:uid="{00000000-0005-0000-0000-00003B030000}"/>
    <cellStyle name="Good 11" xfId="634" xr:uid="{00000000-0005-0000-0000-00003C030000}"/>
    <cellStyle name="Good 12" xfId="635" xr:uid="{00000000-0005-0000-0000-00003D030000}"/>
    <cellStyle name="Good 13" xfId="636" xr:uid="{00000000-0005-0000-0000-00003E030000}"/>
    <cellStyle name="Good 14" xfId="637" xr:uid="{00000000-0005-0000-0000-00003F030000}"/>
    <cellStyle name="Good 15" xfId="638" xr:uid="{00000000-0005-0000-0000-000040030000}"/>
    <cellStyle name="Good 16" xfId="639" xr:uid="{00000000-0005-0000-0000-000041030000}"/>
    <cellStyle name="Good 17" xfId="640" xr:uid="{00000000-0005-0000-0000-000042030000}"/>
    <cellStyle name="Good 18" xfId="641" xr:uid="{00000000-0005-0000-0000-000043030000}"/>
    <cellStyle name="Good 19" xfId="642" xr:uid="{00000000-0005-0000-0000-000044030000}"/>
    <cellStyle name="Good 2" xfId="643" xr:uid="{00000000-0005-0000-0000-000045030000}"/>
    <cellStyle name="Good 20" xfId="644" xr:uid="{00000000-0005-0000-0000-000046030000}"/>
    <cellStyle name="Good 21" xfId="645" xr:uid="{00000000-0005-0000-0000-000047030000}"/>
    <cellStyle name="Good 22" xfId="646" xr:uid="{00000000-0005-0000-0000-000048030000}"/>
    <cellStyle name="Good 23" xfId="647" xr:uid="{00000000-0005-0000-0000-000049030000}"/>
    <cellStyle name="Good 24" xfId="648" xr:uid="{00000000-0005-0000-0000-00004A030000}"/>
    <cellStyle name="Good 25" xfId="649" xr:uid="{00000000-0005-0000-0000-00004B030000}"/>
    <cellStyle name="Good 26" xfId="650" xr:uid="{00000000-0005-0000-0000-00004C030000}"/>
    <cellStyle name="Good 27" xfId="651" xr:uid="{00000000-0005-0000-0000-00004D030000}"/>
    <cellStyle name="Good 28" xfId="652" xr:uid="{00000000-0005-0000-0000-00004E030000}"/>
    <cellStyle name="Good 29" xfId="653" xr:uid="{00000000-0005-0000-0000-00004F030000}"/>
    <cellStyle name="Good 3" xfId="654" xr:uid="{00000000-0005-0000-0000-000050030000}"/>
    <cellStyle name="Good 30" xfId="655" xr:uid="{00000000-0005-0000-0000-000051030000}"/>
    <cellStyle name="Good 4" xfId="656" xr:uid="{00000000-0005-0000-0000-000052030000}"/>
    <cellStyle name="Good 5" xfId="657" xr:uid="{00000000-0005-0000-0000-000053030000}"/>
    <cellStyle name="Good 6" xfId="658" xr:uid="{00000000-0005-0000-0000-000054030000}"/>
    <cellStyle name="Good 7" xfId="659" xr:uid="{00000000-0005-0000-0000-000055030000}"/>
    <cellStyle name="Good 8" xfId="660" xr:uid="{00000000-0005-0000-0000-000056030000}"/>
    <cellStyle name="Good 9" xfId="661" xr:uid="{00000000-0005-0000-0000-000057030000}"/>
    <cellStyle name="Grey" xfId="1415" xr:uid="{00000000-0005-0000-0000-000058030000}"/>
    <cellStyle name="header" xfId="1214" xr:uid="{00000000-0005-0000-0000-000059030000}"/>
    <cellStyle name="Header style" xfId="1416" xr:uid="{00000000-0005-0000-0000-00005A030000}"/>
    <cellStyle name="Heading 1 10" xfId="662" xr:uid="{00000000-0005-0000-0000-00005B030000}"/>
    <cellStyle name="Heading 1 11" xfId="663" xr:uid="{00000000-0005-0000-0000-00005C030000}"/>
    <cellStyle name="Heading 1 12" xfId="664" xr:uid="{00000000-0005-0000-0000-00005D030000}"/>
    <cellStyle name="Heading 1 13" xfId="665" xr:uid="{00000000-0005-0000-0000-00005E030000}"/>
    <cellStyle name="Heading 1 14" xfId="666" xr:uid="{00000000-0005-0000-0000-00005F030000}"/>
    <cellStyle name="Heading 1 15" xfId="667" xr:uid="{00000000-0005-0000-0000-000060030000}"/>
    <cellStyle name="Heading 1 16" xfId="668" xr:uid="{00000000-0005-0000-0000-000061030000}"/>
    <cellStyle name="Heading 1 17" xfId="669" xr:uid="{00000000-0005-0000-0000-000062030000}"/>
    <cellStyle name="Heading 1 18" xfId="670" xr:uid="{00000000-0005-0000-0000-000063030000}"/>
    <cellStyle name="Heading 1 19" xfId="671" xr:uid="{00000000-0005-0000-0000-000064030000}"/>
    <cellStyle name="Heading 1 2" xfId="672" xr:uid="{00000000-0005-0000-0000-000065030000}"/>
    <cellStyle name="Heading 1 20" xfId="673" xr:uid="{00000000-0005-0000-0000-000066030000}"/>
    <cellStyle name="Heading 1 21" xfId="674" xr:uid="{00000000-0005-0000-0000-000067030000}"/>
    <cellStyle name="Heading 1 22" xfId="675" xr:uid="{00000000-0005-0000-0000-000068030000}"/>
    <cellStyle name="Heading 1 23" xfId="676" xr:uid="{00000000-0005-0000-0000-000069030000}"/>
    <cellStyle name="Heading 1 24" xfId="677" xr:uid="{00000000-0005-0000-0000-00006A030000}"/>
    <cellStyle name="Heading 1 25" xfId="678" xr:uid="{00000000-0005-0000-0000-00006B030000}"/>
    <cellStyle name="Heading 1 26" xfId="679" xr:uid="{00000000-0005-0000-0000-00006C030000}"/>
    <cellStyle name="Heading 1 27" xfId="680" xr:uid="{00000000-0005-0000-0000-00006D030000}"/>
    <cellStyle name="Heading 1 28" xfId="681" xr:uid="{00000000-0005-0000-0000-00006E030000}"/>
    <cellStyle name="Heading 1 29" xfId="682" xr:uid="{00000000-0005-0000-0000-00006F030000}"/>
    <cellStyle name="Heading 1 3" xfId="683" xr:uid="{00000000-0005-0000-0000-000070030000}"/>
    <cellStyle name="Heading 1 30" xfId="684" xr:uid="{00000000-0005-0000-0000-000071030000}"/>
    <cellStyle name="Heading 1 4" xfId="685" xr:uid="{00000000-0005-0000-0000-000072030000}"/>
    <cellStyle name="Heading 1 5" xfId="686" xr:uid="{00000000-0005-0000-0000-000073030000}"/>
    <cellStyle name="Heading 1 6" xfId="687" xr:uid="{00000000-0005-0000-0000-000074030000}"/>
    <cellStyle name="Heading 1 7" xfId="688" xr:uid="{00000000-0005-0000-0000-000075030000}"/>
    <cellStyle name="Heading 1 8" xfId="689" xr:uid="{00000000-0005-0000-0000-000076030000}"/>
    <cellStyle name="Heading 1 9" xfId="690" xr:uid="{00000000-0005-0000-0000-000077030000}"/>
    <cellStyle name="Heading 2 10" xfId="691" xr:uid="{00000000-0005-0000-0000-000078030000}"/>
    <cellStyle name="Heading 2 11" xfId="692" xr:uid="{00000000-0005-0000-0000-000079030000}"/>
    <cellStyle name="Heading 2 12" xfId="693" xr:uid="{00000000-0005-0000-0000-00007A030000}"/>
    <cellStyle name="Heading 2 13" xfId="694" xr:uid="{00000000-0005-0000-0000-00007B030000}"/>
    <cellStyle name="Heading 2 14" xfId="695" xr:uid="{00000000-0005-0000-0000-00007C030000}"/>
    <cellStyle name="Heading 2 15" xfId="696" xr:uid="{00000000-0005-0000-0000-00007D030000}"/>
    <cellStyle name="Heading 2 16" xfId="697" xr:uid="{00000000-0005-0000-0000-00007E030000}"/>
    <cellStyle name="Heading 2 17" xfId="698" xr:uid="{00000000-0005-0000-0000-00007F030000}"/>
    <cellStyle name="Heading 2 18" xfId="699" xr:uid="{00000000-0005-0000-0000-000080030000}"/>
    <cellStyle name="Heading 2 19" xfId="700" xr:uid="{00000000-0005-0000-0000-000081030000}"/>
    <cellStyle name="Heading 2 2" xfId="701" xr:uid="{00000000-0005-0000-0000-000082030000}"/>
    <cellStyle name="Heading 2 20" xfId="702" xr:uid="{00000000-0005-0000-0000-000083030000}"/>
    <cellStyle name="Heading 2 21" xfId="703" xr:uid="{00000000-0005-0000-0000-000084030000}"/>
    <cellStyle name="Heading 2 22" xfId="704" xr:uid="{00000000-0005-0000-0000-000085030000}"/>
    <cellStyle name="Heading 2 23" xfId="705" xr:uid="{00000000-0005-0000-0000-000086030000}"/>
    <cellStyle name="Heading 2 24" xfId="706" xr:uid="{00000000-0005-0000-0000-000087030000}"/>
    <cellStyle name="Heading 2 25" xfId="707" xr:uid="{00000000-0005-0000-0000-000088030000}"/>
    <cellStyle name="Heading 2 26" xfId="708" xr:uid="{00000000-0005-0000-0000-000089030000}"/>
    <cellStyle name="Heading 2 27" xfId="709" xr:uid="{00000000-0005-0000-0000-00008A030000}"/>
    <cellStyle name="Heading 2 28" xfId="710" xr:uid="{00000000-0005-0000-0000-00008B030000}"/>
    <cellStyle name="Heading 2 29" xfId="711" xr:uid="{00000000-0005-0000-0000-00008C030000}"/>
    <cellStyle name="Heading 2 3" xfId="712" xr:uid="{00000000-0005-0000-0000-00008D030000}"/>
    <cellStyle name="Heading 2 30" xfId="713" xr:uid="{00000000-0005-0000-0000-00008E030000}"/>
    <cellStyle name="Heading 2 4" xfId="714" xr:uid="{00000000-0005-0000-0000-00008F030000}"/>
    <cellStyle name="Heading 2 5" xfId="715" xr:uid="{00000000-0005-0000-0000-000090030000}"/>
    <cellStyle name="Heading 2 6" xfId="716" xr:uid="{00000000-0005-0000-0000-000091030000}"/>
    <cellStyle name="Heading 2 7" xfId="717" xr:uid="{00000000-0005-0000-0000-000092030000}"/>
    <cellStyle name="Heading 2 8" xfId="718" xr:uid="{00000000-0005-0000-0000-000093030000}"/>
    <cellStyle name="Heading 2 9" xfId="719" xr:uid="{00000000-0005-0000-0000-000094030000}"/>
    <cellStyle name="Heading 3 10" xfId="720" xr:uid="{00000000-0005-0000-0000-000095030000}"/>
    <cellStyle name="Heading 3 11" xfId="721" xr:uid="{00000000-0005-0000-0000-000096030000}"/>
    <cellStyle name="Heading 3 12" xfId="722" xr:uid="{00000000-0005-0000-0000-000097030000}"/>
    <cellStyle name="Heading 3 13" xfId="723" xr:uid="{00000000-0005-0000-0000-000098030000}"/>
    <cellStyle name="Heading 3 14" xfId="724" xr:uid="{00000000-0005-0000-0000-000099030000}"/>
    <cellStyle name="Heading 3 15" xfId="725" xr:uid="{00000000-0005-0000-0000-00009A030000}"/>
    <cellStyle name="Heading 3 16" xfId="726" xr:uid="{00000000-0005-0000-0000-00009B030000}"/>
    <cellStyle name="Heading 3 17" xfId="727" xr:uid="{00000000-0005-0000-0000-00009C030000}"/>
    <cellStyle name="Heading 3 18" xfId="728" xr:uid="{00000000-0005-0000-0000-00009D030000}"/>
    <cellStyle name="Heading 3 19" xfId="729" xr:uid="{00000000-0005-0000-0000-00009E030000}"/>
    <cellStyle name="Heading 3 2" xfId="730" xr:uid="{00000000-0005-0000-0000-00009F030000}"/>
    <cellStyle name="Heading 3 20" xfId="731" xr:uid="{00000000-0005-0000-0000-0000A0030000}"/>
    <cellStyle name="Heading 3 21" xfId="732" xr:uid="{00000000-0005-0000-0000-0000A1030000}"/>
    <cellStyle name="Heading 3 22" xfId="733" xr:uid="{00000000-0005-0000-0000-0000A2030000}"/>
    <cellStyle name="Heading 3 23" xfId="734" xr:uid="{00000000-0005-0000-0000-0000A3030000}"/>
    <cellStyle name="Heading 3 24" xfId="735" xr:uid="{00000000-0005-0000-0000-0000A4030000}"/>
    <cellStyle name="Heading 3 25" xfId="736" xr:uid="{00000000-0005-0000-0000-0000A5030000}"/>
    <cellStyle name="Heading 3 26" xfId="737" xr:uid="{00000000-0005-0000-0000-0000A6030000}"/>
    <cellStyle name="Heading 3 27" xfId="738" xr:uid="{00000000-0005-0000-0000-0000A7030000}"/>
    <cellStyle name="Heading 3 28" xfId="739" xr:uid="{00000000-0005-0000-0000-0000A8030000}"/>
    <cellStyle name="Heading 3 29" xfId="740" xr:uid="{00000000-0005-0000-0000-0000A9030000}"/>
    <cellStyle name="Heading 3 3" xfId="741" xr:uid="{00000000-0005-0000-0000-0000AA030000}"/>
    <cellStyle name="Heading 3 30" xfId="742" xr:uid="{00000000-0005-0000-0000-0000AB030000}"/>
    <cellStyle name="Heading 3 4" xfId="743" xr:uid="{00000000-0005-0000-0000-0000AC030000}"/>
    <cellStyle name="Heading 3 5" xfId="744" xr:uid="{00000000-0005-0000-0000-0000AD030000}"/>
    <cellStyle name="Heading 3 6" xfId="745" xr:uid="{00000000-0005-0000-0000-0000AE030000}"/>
    <cellStyle name="Heading 3 7" xfId="746" xr:uid="{00000000-0005-0000-0000-0000AF030000}"/>
    <cellStyle name="Heading 3 8" xfId="747" xr:uid="{00000000-0005-0000-0000-0000B0030000}"/>
    <cellStyle name="Heading 3 9" xfId="748" xr:uid="{00000000-0005-0000-0000-0000B1030000}"/>
    <cellStyle name="Heading 4 10" xfId="749" xr:uid="{00000000-0005-0000-0000-0000B2030000}"/>
    <cellStyle name="Heading 4 11" xfId="750" xr:uid="{00000000-0005-0000-0000-0000B3030000}"/>
    <cellStyle name="Heading 4 12" xfId="751" xr:uid="{00000000-0005-0000-0000-0000B4030000}"/>
    <cellStyle name="Heading 4 13" xfId="752" xr:uid="{00000000-0005-0000-0000-0000B5030000}"/>
    <cellStyle name="Heading 4 14" xfId="753" xr:uid="{00000000-0005-0000-0000-0000B6030000}"/>
    <cellStyle name="Heading 4 15" xfId="754" xr:uid="{00000000-0005-0000-0000-0000B7030000}"/>
    <cellStyle name="Heading 4 16" xfId="755" xr:uid="{00000000-0005-0000-0000-0000B8030000}"/>
    <cellStyle name="Heading 4 17" xfId="756" xr:uid="{00000000-0005-0000-0000-0000B9030000}"/>
    <cellStyle name="Heading 4 18" xfId="757" xr:uid="{00000000-0005-0000-0000-0000BA030000}"/>
    <cellStyle name="Heading 4 19" xfId="758" xr:uid="{00000000-0005-0000-0000-0000BB030000}"/>
    <cellStyle name="Heading 4 2" xfId="759" xr:uid="{00000000-0005-0000-0000-0000BC030000}"/>
    <cellStyle name="Heading 4 20" xfId="760" xr:uid="{00000000-0005-0000-0000-0000BD030000}"/>
    <cellStyle name="Heading 4 21" xfId="761" xr:uid="{00000000-0005-0000-0000-0000BE030000}"/>
    <cellStyle name="Heading 4 22" xfId="762" xr:uid="{00000000-0005-0000-0000-0000BF030000}"/>
    <cellStyle name="Heading 4 23" xfId="763" xr:uid="{00000000-0005-0000-0000-0000C0030000}"/>
    <cellStyle name="Heading 4 24" xfId="764" xr:uid="{00000000-0005-0000-0000-0000C1030000}"/>
    <cellStyle name="Heading 4 25" xfId="765" xr:uid="{00000000-0005-0000-0000-0000C2030000}"/>
    <cellStyle name="Heading 4 26" xfId="766" xr:uid="{00000000-0005-0000-0000-0000C3030000}"/>
    <cellStyle name="Heading 4 27" xfId="767" xr:uid="{00000000-0005-0000-0000-0000C4030000}"/>
    <cellStyle name="Heading 4 28" xfId="768" xr:uid="{00000000-0005-0000-0000-0000C5030000}"/>
    <cellStyle name="Heading 4 29" xfId="769" xr:uid="{00000000-0005-0000-0000-0000C6030000}"/>
    <cellStyle name="Heading 4 3" xfId="770" xr:uid="{00000000-0005-0000-0000-0000C7030000}"/>
    <cellStyle name="Heading 4 30" xfId="771" xr:uid="{00000000-0005-0000-0000-0000C8030000}"/>
    <cellStyle name="Heading 4 4" xfId="772" xr:uid="{00000000-0005-0000-0000-0000C9030000}"/>
    <cellStyle name="Heading 4 5" xfId="773" xr:uid="{00000000-0005-0000-0000-0000CA030000}"/>
    <cellStyle name="Heading 4 6" xfId="774" xr:uid="{00000000-0005-0000-0000-0000CB030000}"/>
    <cellStyle name="Heading 4 7" xfId="775" xr:uid="{00000000-0005-0000-0000-0000CC030000}"/>
    <cellStyle name="Heading 4 8" xfId="776" xr:uid="{00000000-0005-0000-0000-0000CD030000}"/>
    <cellStyle name="Heading 4 9" xfId="777" xr:uid="{00000000-0005-0000-0000-0000CE030000}"/>
    <cellStyle name="HEADING1" xfId="1417" xr:uid="{00000000-0005-0000-0000-0000CF030000}"/>
    <cellStyle name="HEADING2" xfId="1418" xr:uid="{00000000-0005-0000-0000-0000D0030000}"/>
    <cellStyle name="Hiperhivatkozás" xfId="1419" xr:uid="{00000000-0005-0000-0000-0000D1030000}"/>
    <cellStyle name="Hipervínculo" xfId="1213" xr:uid="{00000000-0005-0000-0000-0000D2030000}"/>
    <cellStyle name="Hipervínculo 2" xfId="1420" xr:uid="{00000000-0005-0000-0000-0000D3030000}"/>
    <cellStyle name="Hipervínculo 3" xfId="1421" xr:uid="{00000000-0005-0000-0000-0000D4030000}"/>
    <cellStyle name="Hipervínculo visitado" xfId="1422" xr:uid="{00000000-0005-0000-0000-0000D5030000}"/>
    <cellStyle name="Hipervínculo_abr03" xfId="1423" xr:uid="{00000000-0005-0000-0000-0000D6030000}"/>
    <cellStyle name="Hyperlink 2" xfId="1424" xr:uid="{00000000-0005-0000-0000-0000D8030000}"/>
    <cellStyle name="Hyperlink 2 2 2" xfId="778" xr:uid="{00000000-0005-0000-0000-0000D9030000}"/>
    <cellStyle name="Hyperlink 3" xfId="1425" xr:uid="{00000000-0005-0000-0000-0000DA030000}"/>
    <cellStyle name="Hyperlink seguido_NFGC_SPE_1995_2003" xfId="1426" xr:uid="{00000000-0005-0000-0000-0000DB030000}"/>
    <cellStyle name="Îáû÷íûé_Table16" xfId="1427" xr:uid="{00000000-0005-0000-0000-0000DC030000}"/>
    <cellStyle name="imf-one decimal" xfId="1428" xr:uid="{00000000-0005-0000-0000-0000DD030000}"/>
    <cellStyle name="imf-zero decimal" xfId="1429" xr:uid="{00000000-0005-0000-0000-0000DE030000}"/>
    <cellStyle name="Incorrecto" xfId="1430" xr:uid="{00000000-0005-0000-0000-0000DF030000}"/>
    <cellStyle name="Input [yellow]" xfId="1431" xr:uid="{00000000-0005-0000-0000-0000E0030000}"/>
    <cellStyle name="Input 10" xfId="779" xr:uid="{00000000-0005-0000-0000-0000E1030000}"/>
    <cellStyle name="Input 11" xfId="780" xr:uid="{00000000-0005-0000-0000-0000E2030000}"/>
    <cellStyle name="Input 12" xfId="781" xr:uid="{00000000-0005-0000-0000-0000E3030000}"/>
    <cellStyle name="Input 13" xfId="782" xr:uid="{00000000-0005-0000-0000-0000E4030000}"/>
    <cellStyle name="Input 14" xfId="783" xr:uid="{00000000-0005-0000-0000-0000E5030000}"/>
    <cellStyle name="Input 15" xfId="784" xr:uid="{00000000-0005-0000-0000-0000E6030000}"/>
    <cellStyle name="Input 16" xfId="785" xr:uid="{00000000-0005-0000-0000-0000E7030000}"/>
    <cellStyle name="Input 17" xfId="786" xr:uid="{00000000-0005-0000-0000-0000E8030000}"/>
    <cellStyle name="Input 18" xfId="787" xr:uid="{00000000-0005-0000-0000-0000E9030000}"/>
    <cellStyle name="Input 19" xfId="788" xr:uid="{00000000-0005-0000-0000-0000EA030000}"/>
    <cellStyle name="Input 2" xfId="789" xr:uid="{00000000-0005-0000-0000-0000EB030000}"/>
    <cellStyle name="Input 20" xfId="790" xr:uid="{00000000-0005-0000-0000-0000EC030000}"/>
    <cellStyle name="Input 21" xfId="791" xr:uid="{00000000-0005-0000-0000-0000ED030000}"/>
    <cellStyle name="Input 22" xfId="792" xr:uid="{00000000-0005-0000-0000-0000EE030000}"/>
    <cellStyle name="Input 23" xfId="793" xr:uid="{00000000-0005-0000-0000-0000EF030000}"/>
    <cellStyle name="Input 24" xfId="794" xr:uid="{00000000-0005-0000-0000-0000F0030000}"/>
    <cellStyle name="Input 25" xfId="795" xr:uid="{00000000-0005-0000-0000-0000F1030000}"/>
    <cellStyle name="Input 26" xfId="796" xr:uid="{00000000-0005-0000-0000-0000F2030000}"/>
    <cellStyle name="Input 27" xfId="797" xr:uid="{00000000-0005-0000-0000-0000F3030000}"/>
    <cellStyle name="Input 28" xfId="798" xr:uid="{00000000-0005-0000-0000-0000F4030000}"/>
    <cellStyle name="Input 29" xfId="799" xr:uid="{00000000-0005-0000-0000-0000F5030000}"/>
    <cellStyle name="Input 3" xfId="800" xr:uid="{00000000-0005-0000-0000-0000F6030000}"/>
    <cellStyle name="Input 30" xfId="801" xr:uid="{00000000-0005-0000-0000-0000F7030000}"/>
    <cellStyle name="Input 4" xfId="802" xr:uid="{00000000-0005-0000-0000-0000F8030000}"/>
    <cellStyle name="Input 5" xfId="803" xr:uid="{00000000-0005-0000-0000-0000F9030000}"/>
    <cellStyle name="Input 6" xfId="804" xr:uid="{00000000-0005-0000-0000-0000FA030000}"/>
    <cellStyle name="Input 7" xfId="805" xr:uid="{00000000-0005-0000-0000-0000FB030000}"/>
    <cellStyle name="Input 8" xfId="806" xr:uid="{00000000-0005-0000-0000-0000FC030000}"/>
    <cellStyle name="Input 9" xfId="807" xr:uid="{00000000-0005-0000-0000-0000FD030000}"/>
    <cellStyle name="JPY" xfId="1432" xr:uid="{00000000-0005-0000-0000-0000FE030000}"/>
    <cellStyle name="Linea horizontal" xfId="1433" xr:uid="{00000000-0005-0000-0000-0000FF030000}"/>
    <cellStyle name="Linked Cell 10" xfId="808" xr:uid="{00000000-0005-0000-0000-000000040000}"/>
    <cellStyle name="Linked Cell 11" xfId="809" xr:uid="{00000000-0005-0000-0000-000001040000}"/>
    <cellStyle name="Linked Cell 12" xfId="810" xr:uid="{00000000-0005-0000-0000-000002040000}"/>
    <cellStyle name="Linked Cell 13" xfId="811" xr:uid="{00000000-0005-0000-0000-000003040000}"/>
    <cellStyle name="Linked Cell 14" xfId="812" xr:uid="{00000000-0005-0000-0000-000004040000}"/>
    <cellStyle name="Linked Cell 15" xfId="813" xr:uid="{00000000-0005-0000-0000-000005040000}"/>
    <cellStyle name="Linked Cell 16" xfId="814" xr:uid="{00000000-0005-0000-0000-000006040000}"/>
    <cellStyle name="Linked Cell 17" xfId="815" xr:uid="{00000000-0005-0000-0000-000007040000}"/>
    <cellStyle name="Linked Cell 18" xfId="816" xr:uid="{00000000-0005-0000-0000-000008040000}"/>
    <cellStyle name="Linked Cell 19" xfId="817" xr:uid="{00000000-0005-0000-0000-000009040000}"/>
    <cellStyle name="Linked Cell 2" xfId="818" xr:uid="{00000000-0005-0000-0000-00000A040000}"/>
    <cellStyle name="Linked Cell 20" xfId="819" xr:uid="{00000000-0005-0000-0000-00000B040000}"/>
    <cellStyle name="Linked Cell 21" xfId="820" xr:uid="{00000000-0005-0000-0000-00000C040000}"/>
    <cellStyle name="Linked Cell 22" xfId="821" xr:uid="{00000000-0005-0000-0000-00000D040000}"/>
    <cellStyle name="Linked Cell 23" xfId="822" xr:uid="{00000000-0005-0000-0000-00000E040000}"/>
    <cellStyle name="Linked Cell 24" xfId="823" xr:uid="{00000000-0005-0000-0000-00000F040000}"/>
    <cellStyle name="Linked Cell 25" xfId="824" xr:uid="{00000000-0005-0000-0000-000010040000}"/>
    <cellStyle name="Linked Cell 26" xfId="825" xr:uid="{00000000-0005-0000-0000-000011040000}"/>
    <cellStyle name="Linked Cell 27" xfId="826" xr:uid="{00000000-0005-0000-0000-000012040000}"/>
    <cellStyle name="Linked Cell 28" xfId="827" xr:uid="{00000000-0005-0000-0000-000013040000}"/>
    <cellStyle name="Linked Cell 29" xfId="828" xr:uid="{00000000-0005-0000-0000-000014040000}"/>
    <cellStyle name="Linked Cell 3" xfId="829" xr:uid="{00000000-0005-0000-0000-000015040000}"/>
    <cellStyle name="Linked Cell 30" xfId="830" xr:uid="{00000000-0005-0000-0000-000016040000}"/>
    <cellStyle name="Linked Cell 4" xfId="831" xr:uid="{00000000-0005-0000-0000-000017040000}"/>
    <cellStyle name="Linked Cell 5" xfId="832" xr:uid="{00000000-0005-0000-0000-000018040000}"/>
    <cellStyle name="Linked Cell 6" xfId="833" xr:uid="{00000000-0005-0000-0000-000019040000}"/>
    <cellStyle name="Linked Cell 7" xfId="834" xr:uid="{00000000-0005-0000-0000-00001A040000}"/>
    <cellStyle name="Linked Cell 8" xfId="835" xr:uid="{00000000-0005-0000-0000-00001B040000}"/>
    <cellStyle name="Linked Cell 9" xfId="836" xr:uid="{00000000-0005-0000-0000-00001C040000}"/>
    <cellStyle name="MacroCode" xfId="1434" xr:uid="{00000000-0005-0000-0000-00001D040000}"/>
    <cellStyle name="Már látott hiperhivatkozás" xfId="1435" xr:uid="{00000000-0005-0000-0000-00001E040000}"/>
    <cellStyle name="Millares" xfId="2" builtinId="3"/>
    <cellStyle name="Millares 12 2" xfId="1436" xr:uid="{00000000-0005-0000-0000-000020040000}"/>
    <cellStyle name="Millares 16" xfId="1437" xr:uid="{00000000-0005-0000-0000-000021040000}"/>
    <cellStyle name="Millares 2" xfId="1438" xr:uid="{00000000-0005-0000-0000-000022040000}"/>
    <cellStyle name="Millares 2 10" xfId="1439" xr:uid="{00000000-0005-0000-0000-000023040000}"/>
    <cellStyle name="Millares 2 2" xfId="1440" xr:uid="{00000000-0005-0000-0000-000024040000}"/>
    <cellStyle name="Millares 2 3" xfId="1441" xr:uid="{00000000-0005-0000-0000-000025040000}"/>
    <cellStyle name="Millares 2 4" xfId="1442" xr:uid="{00000000-0005-0000-0000-000026040000}"/>
    <cellStyle name="Millares 2 5" xfId="1443" xr:uid="{00000000-0005-0000-0000-000027040000}"/>
    <cellStyle name="Millares 2 6" xfId="1444" xr:uid="{00000000-0005-0000-0000-000028040000}"/>
    <cellStyle name="Millares 2 7" xfId="1445" xr:uid="{00000000-0005-0000-0000-000029040000}"/>
    <cellStyle name="Millares 2 8" xfId="1446" xr:uid="{00000000-0005-0000-0000-00002A040000}"/>
    <cellStyle name="Millares 2 9" xfId="1447" xr:uid="{00000000-0005-0000-0000-00002B040000}"/>
    <cellStyle name="Millares 3" xfId="1448" xr:uid="{00000000-0005-0000-0000-00002C040000}"/>
    <cellStyle name="Millares 3 2" xfId="1449" xr:uid="{00000000-0005-0000-0000-00002D040000}"/>
    <cellStyle name="Millares 3 3" xfId="1450" xr:uid="{00000000-0005-0000-0000-00002E040000}"/>
    <cellStyle name="Millares 4" xfId="1451" xr:uid="{00000000-0005-0000-0000-00002F040000}"/>
    <cellStyle name="Millares 5" xfId="1452" xr:uid="{00000000-0005-0000-0000-000030040000}"/>
    <cellStyle name="Milliers [0]_Encours - Apr rééch" xfId="1453" xr:uid="{00000000-0005-0000-0000-000032040000}"/>
    <cellStyle name="Milliers_Encours - Apr rééch" xfId="1454" xr:uid="{00000000-0005-0000-0000-000033040000}"/>
    <cellStyle name="Moeda [0]_A" xfId="1455" xr:uid="{00000000-0005-0000-0000-000034040000}"/>
    <cellStyle name="Moeda_A" xfId="1456" xr:uid="{00000000-0005-0000-0000-000035040000}"/>
    <cellStyle name="Moeda0" xfId="1457" xr:uid="{00000000-0005-0000-0000-000036040000}"/>
    <cellStyle name="Monétaire [0]_Encours - Apr rééch" xfId="1458" xr:uid="{00000000-0005-0000-0000-000039040000}"/>
    <cellStyle name="Monétaire_Encours - Apr rééch" xfId="1459" xr:uid="{00000000-0005-0000-0000-00003A040000}"/>
    <cellStyle name="Monetario" xfId="1460" xr:uid="{00000000-0005-0000-0000-00003B040000}"/>
    <cellStyle name="Monetario0" xfId="1461" xr:uid="{00000000-0005-0000-0000-00003C040000}"/>
    <cellStyle name="MTW" xfId="1462" xr:uid="{00000000-0005-0000-0000-00003D040000}"/>
    <cellStyle name="Navadno_Slo" xfId="1463" xr:uid="{00000000-0005-0000-0000-00003E040000}"/>
    <cellStyle name="Neutral 10" xfId="837" xr:uid="{00000000-0005-0000-0000-00003F040000}"/>
    <cellStyle name="Neutral 11" xfId="838" xr:uid="{00000000-0005-0000-0000-000040040000}"/>
    <cellStyle name="Neutral 12" xfId="839" xr:uid="{00000000-0005-0000-0000-000041040000}"/>
    <cellStyle name="Neutral 13" xfId="840" xr:uid="{00000000-0005-0000-0000-000042040000}"/>
    <cellStyle name="Neutral 14" xfId="841" xr:uid="{00000000-0005-0000-0000-000043040000}"/>
    <cellStyle name="Neutral 15" xfId="842" xr:uid="{00000000-0005-0000-0000-000044040000}"/>
    <cellStyle name="Neutral 16" xfId="843" xr:uid="{00000000-0005-0000-0000-000045040000}"/>
    <cellStyle name="Neutral 17" xfId="844" xr:uid="{00000000-0005-0000-0000-000046040000}"/>
    <cellStyle name="Neutral 18" xfId="845" xr:uid="{00000000-0005-0000-0000-000047040000}"/>
    <cellStyle name="Neutral 19" xfId="846" xr:uid="{00000000-0005-0000-0000-000048040000}"/>
    <cellStyle name="Neutral 2" xfId="847" xr:uid="{00000000-0005-0000-0000-000049040000}"/>
    <cellStyle name="Neutral 20" xfId="848" xr:uid="{00000000-0005-0000-0000-00004A040000}"/>
    <cellStyle name="Neutral 21" xfId="849" xr:uid="{00000000-0005-0000-0000-00004B040000}"/>
    <cellStyle name="Neutral 22" xfId="850" xr:uid="{00000000-0005-0000-0000-00004C040000}"/>
    <cellStyle name="Neutral 23" xfId="851" xr:uid="{00000000-0005-0000-0000-00004D040000}"/>
    <cellStyle name="Neutral 24" xfId="852" xr:uid="{00000000-0005-0000-0000-00004E040000}"/>
    <cellStyle name="Neutral 25" xfId="853" xr:uid="{00000000-0005-0000-0000-00004F040000}"/>
    <cellStyle name="Neutral 26" xfId="854" xr:uid="{00000000-0005-0000-0000-000050040000}"/>
    <cellStyle name="Neutral 27" xfId="855" xr:uid="{00000000-0005-0000-0000-000051040000}"/>
    <cellStyle name="Neutral 28" xfId="856" xr:uid="{00000000-0005-0000-0000-000052040000}"/>
    <cellStyle name="Neutral 29" xfId="857" xr:uid="{00000000-0005-0000-0000-000053040000}"/>
    <cellStyle name="Neutral 3" xfId="858" xr:uid="{00000000-0005-0000-0000-000054040000}"/>
    <cellStyle name="Neutral 30" xfId="859" xr:uid="{00000000-0005-0000-0000-000055040000}"/>
    <cellStyle name="Neutral 4" xfId="860" xr:uid="{00000000-0005-0000-0000-000056040000}"/>
    <cellStyle name="Neutral 5" xfId="861" xr:uid="{00000000-0005-0000-0000-000057040000}"/>
    <cellStyle name="Neutral 6" xfId="862" xr:uid="{00000000-0005-0000-0000-000058040000}"/>
    <cellStyle name="Neutral 7" xfId="863" xr:uid="{00000000-0005-0000-0000-000059040000}"/>
    <cellStyle name="Neutral 8" xfId="864" xr:uid="{00000000-0005-0000-0000-00005A040000}"/>
    <cellStyle name="Neutral 9" xfId="865" xr:uid="{00000000-0005-0000-0000-00005B040000}"/>
    <cellStyle name="No-definido" xfId="1464" xr:uid="{00000000-0005-0000-0000-00005C040000}"/>
    <cellStyle name="Non défini" xfId="1465" xr:uid="{00000000-0005-0000-0000-00005D040000}"/>
    <cellStyle name="Normal" xfId="0" builtinId="0" customBuiltin="1"/>
    <cellStyle name="Normal - Modelo1" xfId="1466" xr:uid="{00000000-0005-0000-0000-00005F040000}"/>
    <cellStyle name="Normal - Style1" xfId="1467" xr:uid="{00000000-0005-0000-0000-000060040000}"/>
    <cellStyle name="Normal - Style1 2" xfId="1468" xr:uid="{00000000-0005-0000-0000-000061040000}"/>
    <cellStyle name="Normal - Style1 2 2" xfId="1469" xr:uid="{00000000-0005-0000-0000-000062040000}"/>
    <cellStyle name="Normal - Style2" xfId="1470" xr:uid="{00000000-0005-0000-0000-000063040000}"/>
    <cellStyle name="Normal - Style3" xfId="1471" xr:uid="{00000000-0005-0000-0000-000064040000}"/>
    <cellStyle name="Normal - Style4" xfId="1472" xr:uid="{00000000-0005-0000-0000-000065040000}"/>
    <cellStyle name="Normal 10" xfId="866" xr:uid="{00000000-0005-0000-0000-000066040000}"/>
    <cellStyle name="Normal 10 2" xfId="1" xr:uid="{00000000-0005-0000-0000-000067040000}"/>
    <cellStyle name="Normal 10 2 2" xfId="1208" xr:uid="{00000000-0005-0000-0000-000068040000}"/>
    <cellStyle name="Normal 10 3" xfId="1473" xr:uid="{00000000-0005-0000-0000-000069040000}"/>
    <cellStyle name="Normal 11" xfId="867" xr:uid="{00000000-0005-0000-0000-00006A040000}"/>
    <cellStyle name="Normal 11 2" xfId="1474" xr:uid="{00000000-0005-0000-0000-00006B040000}"/>
    <cellStyle name="Normal 11 3" xfId="1475" xr:uid="{00000000-0005-0000-0000-00006C040000}"/>
    <cellStyle name="Normal 12" xfId="868" xr:uid="{00000000-0005-0000-0000-00006D040000}"/>
    <cellStyle name="Normal 12 2" xfId="1476" xr:uid="{00000000-0005-0000-0000-00006E040000}"/>
    <cellStyle name="Normal 12 3" xfId="1477" xr:uid="{00000000-0005-0000-0000-00006F040000}"/>
    <cellStyle name="Normal 13" xfId="869" xr:uid="{00000000-0005-0000-0000-000070040000}"/>
    <cellStyle name="Normal 14" xfId="870" xr:uid="{00000000-0005-0000-0000-000071040000}"/>
    <cellStyle name="Normal 15" xfId="871" xr:uid="{00000000-0005-0000-0000-000072040000}"/>
    <cellStyle name="Normal 16" xfId="872" xr:uid="{00000000-0005-0000-0000-000073040000}"/>
    <cellStyle name="Normal 17" xfId="873" xr:uid="{00000000-0005-0000-0000-000074040000}"/>
    <cellStyle name="Normal 18" xfId="874" xr:uid="{00000000-0005-0000-0000-000075040000}"/>
    <cellStyle name="Normal 19" xfId="875" xr:uid="{00000000-0005-0000-0000-000076040000}"/>
    <cellStyle name="Normal 2" xfId="3" xr:uid="{00000000-0005-0000-0000-000077040000}"/>
    <cellStyle name="Normal 2 10" xfId="876" xr:uid="{00000000-0005-0000-0000-000078040000}"/>
    <cellStyle name="Normal 2 11" xfId="1478" xr:uid="{00000000-0005-0000-0000-000079040000}"/>
    <cellStyle name="Normal 2 2" xfId="877" xr:uid="{00000000-0005-0000-0000-00007A040000}"/>
    <cellStyle name="Normal 2 2 2" xfId="878" xr:uid="{00000000-0005-0000-0000-00007B040000}"/>
    <cellStyle name="Normal 2 2 3" xfId="1479" xr:uid="{00000000-0005-0000-0000-00007C040000}"/>
    <cellStyle name="Normal 2 3" xfId="879" xr:uid="{00000000-0005-0000-0000-00007D040000}"/>
    <cellStyle name="Normal 2 3 2" xfId="880" xr:uid="{00000000-0005-0000-0000-00007E040000}"/>
    <cellStyle name="Normal 2 4" xfId="881" xr:uid="{00000000-0005-0000-0000-00007F040000}"/>
    <cellStyle name="Normal 2 4 2" xfId="882" xr:uid="{00000000-0005-0000-0000-000080040000}"/>
    <cellStyle name="Normal 2 4 2 2" xfId="1209" xr:uid="{00000000-0005-0000-0000-000081040000}"/>
    <cellStyle name="Normal 2 5" xfId="883" xr:uid="{00000000-0005-0000-0000-000082040000}"/>
    <cellStyle name="Normal 2 6" xfId="884" xr:uid="{00000000-0005-0000-0000-000083040000}"/>
    <cellStyle name="Normal 2 7" xfId="1210" xr:uid="{00000000-0005-0000-0000-000084040000}"/>
    <cellStyle name="Normal 2 8" xfId="1217" xr:uid="{00000000-0005-0000-0000-000085040000}"/>
    <cellStyle name="Normal 2 9" xfId="1480" xr:uid="{00000000-0005-0000-0000-000086040000}"/>
    <cellStyle name="Normal 2_CRI - Banking Data" xfId="1481" xr:uid="{00000000-0005-0000-0000-000087040000}"/>
    <cellStyle name="Normal 20" xfId="885" xr:uid="{00000000-0005-0000-0000-000088040000}"/>
    <cellStyle name="Normal 21" xfId="886" xr:uid="{00000000-0005-0000-0000-000089040000}"/>
    <cellStyle name="Normal 22" xfId="887" xr:uid="{00000000-0005-0000-0000-00008A040000}"/>
    <cellStyle name="Normal 23" xfId="888" xr:uid="{00000000-0005-0000-0000-00008B040000}"/>
    <cellStyle name="Normal 24" xfId="889" xr:uid="{00000000-0005-0000-0000-00008C040000}"/>
    <cellStyle name="Normal 25" xfId="890" xr:uid="{00000000-0005-0000-0000-00008D040000}"/>
    <cellStyle name="Normal 26" xfId="891" xr:uid="{00000000-0005-0000-0000-00008E040000}"/>
    <cellStyle name="Normal 27" xfId="892" xr:uid="{00000000-0005-0000-0000-00008F040000}"/>
    <cellStyle name="Normal 28" xfId="893" xr:uid="{00000000-0005-0000-0000-000090040000}"/>
    <cellStyle name="Normal 29" xfId="894" xr:uid="{00000000-0005-0000-0000-000091040000}"/>
    <cellStyle name="Normal 3" xfId="895" xr:uid="{00000000-0005-0000-0000-000092040000}"/>
    <cellStyle name="Normal 3 2" xfId="896" xr:uid="{00000000-0005-0000-0000-000093040000}"/>
    <cellStyle name="Normal 3 3" xfId="897" xr:uid="{00000000-0005-0000-0000-000094040000}"/>
    <cellStyle name="Normal 3 4" xfId="1216" xr:uid="{00000000-0005-0000-0000-000095040000}"/>
    <cellStyle name="Normal 30" xfId="898" xr:uid="{00000000-0005-0000-0000-000096040000}"/>
    <cellStyle name="Normal 31" xfId="899" xr:uid="{00000000-0005-0000-0000-000097040000}"/>
    <cellStyle name="Normal 32" xfId="900" xr:uid="{00000000-0005-0000-0000-000098040000}"/>
    <cellStyle name="Normal 33" xfId="901" xr:uid="{00000000-0005-0000-0000-000099040000}"/>
    <cellStyle name="Normal 34" xfId="902" xr:uid="{00000000-0005-0000-0000-00009A040000}"/>
    <cellStyle name="Normal 35" xfId="4" xr:uid="{00000000-0005-0000-0000-00009B040000}"/>
    <cellStyle name="Normal 36" xfId="903" xr:uid="{00000000-0005-0000-0000-00009C040000}"/>
    <cellStyle name="Normal 36 2" xfId="1211" xr:uid="{00000000-0005-0000-0000-00009D040000}"/>
    <cellStyle name="Normal 37" xfId="1200" xr:uid="{00000000-0005-0000-0000-00009E040000}"/>
    <cellStyle name="Normal 37 2" xfId="1215" xr:uid="{00000000-0005-0000-0000-00009F040000}"/>
    <cellStyle name="Normal 38" xfId="1212" xr:uid="{00000000-0005-0000-0000-0000A0040000}"/>
    <cellStyle name="Normal 39" xfId="1482" xr:uid="{00000000-0005-0000-0000-0000A1040000}"/>
    <cellStyle name="Normal 4" xfId="904" xr:uid="{00000000-0005-0000-0000-0000A2040000}"/>
    <cellStyle name="Normal 4 2" xfId="905" xr:uid="{00000000-0005-0000-0000-0000A3040000}"/>
    <cellStyle name="Normal 4 3" xfId="906" xr:uid="{00000000-0005-0000-0000-0000A4040000}"/>
    <cellStyle name="Normal 4 4" xfId="907" xr:uid="{00000000-0005-0000-0000-0000A5040000}"/>
    <cellStyle name="Normal 4 5" xfId="1218" xr:uid="{00000000-0005-0000-0000-0000A6040000}"/>
    <cellStyle name="Normal 5" xfId="908" xr:uid="{00000000-0005-0000-0000-0000A7040000}"/>
    <cellStyle name="Normal 5 2" xfId="1483" xr:uid="{00000000-0005-0000-0000-0000A8040000}"/>
    <cellStyle name="Normal 6" xfId="909" xr:uid="{00000000-0005-0000-0000-0000A9040000}"/>
    <cellStyle name="Normal 6 2" xfId="1484" xr:uid="{00000000-0005-0000-0000-0000AA040000}"/>
    <cellStyle name="Normal 7" xfId="910" xr:uid="{00000000-0005-0000-0000-0000AB040000}"/>
    <cellStyle name="Normal 7 2" xfId="1485" xr:uid="{00000000-0005-0000-0000-0000AC040000}"/>
    <cellStyle name="Normal 8" xfId="911" xr:uid="{00000000-0005-0000-0000-0000AD040000}"/>
    <cellStyle name="Normal 9" xfId="912" xr:uid="{00000000-0005-0000-0000-0000AE040000}"/>
    <cellStyle name="Normal 9 2" xfId="913" xr:uid="{00000000-0005-0000-0000-0000AF040000}"/>
    <cellStyle name="Normal Table" xfId="1486" xr:uid="{00000000-0005-0000-0000-0000B0040000}"/>
    <cellStyle name="Normal Table 2" xfId="1487" xr:uid="{00000000-0005-0000-0000-0000B1040000}"/>
    <cellStyle name="Normal_10 Equations-LT 3-12-04 2" xfId="1202" xr:uid="{00000000-0005-0000-0000-0000B2040000}"/>
    <cellStyle name="Normal_24" xfId="1201" xr:uid="{00000000-0005-0000-0000-0000B3040000}"/>
    <cellStyle name="Normál_MERLEG.XLS" xfId="1488" xr:uid="{00000000-0005-0000-0000-0000B4040000}"/>
    <cellStyle name="Normal_Sheet5" xfId="1203" xr:uid="{00000000-0005-0000-0000-0000B5040000}"/>
    <cellStyle name="Normal_Table2.1" xfId="1206" xr:uid="{00000000-0005-0000-0000-0000B6040000}"/>
    <cellStyle name="Normal_TABLES" xfId="1205" xr:uid="{00000000-0005-0000-0000-0000B7040000}"/>
    <cellStyle name="Notas" xfId="1489" xr:uid="{00000000-0005-0000-0000-0000B8040000}"/>
    <cellStyle name="Notas 2" xfId="1490" xr:uid="{00000000-0005-0000-0000-0000B9040000}"/>
    <cellStyle name="Notas 2 2" xfId="1491" xr:uid="{00000000-0005-0000-0000-0000BA040000}"/>
    <cellStyle name="Notas 3" xfId="1492" xr:uid="{00000000-0005-0000-0000-0000BB040000}"/>
    <cellStyle name="Notas 3 2" xfId="1493" xr:uid="{00000000-0005-0000-0000-0000BC040000}"/>
    <cellStyle name="Notas 4" xfId="1494" xr:uid="{00000000-0005-0000-0000-0000BD040000}"/>
    <cellStyle name="Notas 4 2" xfId="1495" xr:uid="{00000000-0005-0000-0000-0000BE040000}"/>
    <cellStyle name="Notas 5" xfId="1496" xr:uid="{00000000-0005-0000-0000-0000BF040000}"/>
    <cellStyle name="Notas 5 2" xfId="1497" xr:uid="{00000000-0005-0000-0000-0000C0040000}"/>
    <cellStyle name="Notas 6" xfId="1498" xr:uid="{00000000-0005-0000-0000-0000C1040000}"/>
    <cellStyle name="Note 10" xfId="914" xr:uid="{00000000-0005-0000-0000-0000C2040000}"/>
    <cellStyle name="Note 11" xfId="915" xr:uid="{00000000-0005-0000-0000-0000C3040000}"/>
    <cellStyle name="Note 12" xfId="916" xr:uid="{00000000-0005-0000-0000-0000C4040000}"/>
    <cellStyle name="Note 13" xfId="917" xr:uid="{00000000-0005-0000-0000-0000C5040000}"/>
    <cellStyle name="Note 14" xfId="918" xr:uid="{00000000-0005-0000-0000-0000C6040000}"/>
    <cellStyle name="Note 15" xfId="919" xr:uid="{00000000-0005-0000-0000-0000C7040000}"/>
    <cellStyle name="Note 16" xfId="920" xr:uid="{00000000-0005-0000-0000-0000C8040000}"/>
    <cellStyle name="Note 17" xfId="921" xr:uid="{00000000-0005-0000-0000-0000C9040000}"/>
    <cellStyle name="Note 18" xfId="922" xr:uid="{00000000-0005-0000-0000-0000CA040000}"/>
    <cellStyle name="Note 19" xfId="923" xr:uid="{00000000-0005-0000-0000-0000CB040000}"/>
    <cellStyle name="Note 2" xfId="924" xr:uid="{00000000-0005-0000-0000-0000CC040000}"/>
    <cellStyle name="Note 2 2" xfId="1499" xr:uid="{00000000-0005-0000-0000-0000CD040000}"/>
    <cellStyle name="Note 20" xfId="925" xr:uid="{00000000-0005-0000-0000-0000CE040000}"/>
    <cellStyle name="Note 21" xfId="926" xr:uid="{00000000-0005-0000-0000-0000CF040000}"/>
    <cellStyle name="Note 22" xfId="927" xr:uid="{00000000-0005-0000-0000-0000D0040000}"/>
    <cellStyle name="Note 23" xfId="928" xr:uid="{00000000-0005-0000-0000-0000D1040000}"/>
    <cellStyle name="Note 24" xfId="929" xr:uid="{00000000-0005-0000-0000-0000D2040000}"/>
    <cellStyle name="Note 25" xfId="930" xr:uid="{00000000-0005-0000-0000-0000D3040000}"/>
    <cellStyle name="Note 26" xfId="931" xr:uid="{00000000-0005-0000-0000-0000D4040000}"/>
    <cellStyle name="Note 27" xfId="932" xr:uid="{00000000-0005-0000-0000-0000D5040000}"/>
    <cellStyle name="Note 28" xfId="933" xr:uid="{00000000-0005-0000-0000-0000D6040000}"/>
    <cellStyle name="Note 29" xfId="934" xr:uid="{00000000-0005-0000-0000-0000D7040000}"/>
    <cellStyle name="Note 3" xfId="935" xr:uid="{00000000-0005-0000-0000-0000D8040000}"/>
    <cellStyle name="Note 30" xfId="936" xr:uid="{00000000-0005-0000-0000-0000D9040000}"/>
    <cellStyle name="Note 4" xfId="937" xr:uid="{00000000-0005-0000-0000-0000DA040000}"/>
    <cellStyle name="Note 5" xfId="938" xr:uid="{00000000-0005-0000-0000-0000DB040000}"/>
    <cellStyle name="Note 6" xfId="939" xr:uid="{00000000-0005-0000-0000-0000DC040000}"/>
    <cellStyle name="Note 7" xfId="940" xr:uid="{00000000-0005-0000-0000-0000DD040000}"/>
    <cellStyle name="Note 8" xfId="941" xr:uid="{00000000-0005-0000-0000-0000DE040000}"/>
    <cellStyle name="Note 9" xfId="942" xr:uid="{00000000-0005-0000-0000-0000DF040000}"/>
    <cellStyle name="notes" xfId="1500" xr:uid="{00000000-0005-0000-0000-0000E0040000}"/>
    <cellStyle name="Notes 2" xfId="1501" xr:uid="{00000000-0005-0000-0000-0000E1040000}"/>
    <cellStyle name="Obično_ENG.30.04.2004" xfId="1502" xr:uid="{00000000-0005-0000-0000-0000E2040000}"/>
    <cellStyle name="Output 10" xfId="943" xr:uid="{00000000-0005-0000-0000-0000E3040000}"/>
    <cellStyle name="Output 11" xfId="944" xr:uid="{00000000-0005-0000-0000-0000E4040000}"/>
    <cellStyle name="Output 12" xfId="945" xr:uid="{00000000-0005-0000-0000-0000E5040000}"/>
    <cellStyle name="Output 13" xfId="946" xr:uid="{00000000-0005-0000-0000-0000E6040000}"/>
    <cellStyle name="Output 14" xfId="947" xr:uid="{00000000-0005-0000-0000-0000E7040000}"/>
    <cellStyle name="Output 15" xfId="948" xr:uid="{00000000-0005-0000-0000-0000E8040000}"/>
    <cellStyle name="Output 16" xfId="949" xr:uid="{00000000-0005-0000-0000-0000E9040000}"/>
    <cellStyle name="Output 17" xfId="950" xr:uid="{00000000-0005-0000-0000-0000EA040000}"/>
    <cellStyle name="Output 18" xfId="951" xr:uid="{00000000-0005-0000-0000-0000EB040000}"/>
    <cellStyle name="Output 19" xfId="952" xr:uid="{00000000-0005-0000-0000-0000EC040000}"/>
    <cellStyle name="Output 2" xfId="953" xr:uid="{00000000-0005-0000-0000-0000ED040000}"/>
    <cellStyle name="Output 20" xfId="954" xr:uid="{00000000-0005-0000-0000-0000EE040000}"/>
    <cellStyle name="Output 21" xfId="955" xr:uid="{00000000-0005-0000-0000-0000EF040000}"/>
    <cellStyle name="Output 22" xfId="956" xr:uid="{00000000-0005-0000-0000-0000F0040000}"/>
    <cellStyle name="Output 23" xfId="957" xr:uid="{00000000-0005-0000-0000-0000F1040000}"/>
    <cellStyle name="Output 24" xfId="958" xr:uid="{00000000-0005-0000-0000-0000F2040000}"/>
    <cellStyle name="Output 25" xfId="959" xr:uid="{00000000-0005-0000-0000-0000F3040000}"/>
    <cellStyle name="Output 26" xfId="960" xr:uid="{00000000-0005-0000-0000-0000F4040000}"/>
    <cellStyle name="Output 27" xfId="961" xr:uid="{00000000-0005-0000-0000-0000F5040000}"/>
    <cellStyle name="Output 28" xfId="962" xr:uid="{00000000-0005-0000-0000-0000F6040000}"/>
    <cellStyle name="Output 29" xfId="963" xr:uid="{00000000-0005-0000-0000-0000F7040000}"/>
    <cellStyle name="Output 3" xfId="964" xr:uid="{00000000-0005-0000-0000-0000F8040000}"/>
    <cellStyle name="Output 30" xfId="965" xr:uid="{00000000-0005-0000-0000-0000F9040000}"/>
    <cellStyle name="Output 4" xfId="966" xr:uid="{00000000-0005-0000-0000-0000FA040000}"/>
    <cellStyle name="Output 5" xfId="967" xr:uid="{00000000-0005-0000-0000-0000FB040000}"/>
    <cellStyle name="Output 6" xfId="968" xr:uid="{00000000-0005-0000-0000-0000FC040000}"/>
    <cellStyle name="Output 7" xfId="969" xr:uid="{00000000-0005-0000-0000-0000FD040000}"/>
    <cellStyle name="Output 8" xfId="970" xr:uid="{00000000-0005-0000-0000-0000FE040000}"/>
    <cellStyle name="Output 9" xfId="971" xr:uid="{00000000-0005-0000-0000-0000FF040000}"/>
    <cellStyle name="Percen - Style1" xfId="1503" xr:uid="{00000000-0005-0000-0000-000000050000}"/>
    <cellStyle name="Percent [2]" xfId="1504" xr:uid="{00000000-0005-0000-0000-000002050000}"/>
    <cellStyle name="Percent [2] 2" xfId="1505" xr:uid="{00000000-0005-0000-0000-000003050000}"/>
    <cellStyle name="Percent [2] 2 2" xfId="1506" xr:uid="{00000000-0005-0000-0000-000004050000}"/>
    <cellStyle name="Percent [2] 3" xfId="1507" xr:uid="{00000000-0005-0000-0000-000005050000}"/>
    <cellStyle name="Percent [2] 3 2" xfId="1508" xr:uid="{00000000-0005-0000-0000-000006050000}"/>
    <cellStyle name="Percent [2] 4" xfId="1509" xr:uid="{00000000-0005-0000-0000-000007050000}"/>
    <cellStyle name="Percent [2] 4 2" xfId="1510" xr:uid="{00000000-0005-0000-0000-000008050000}"/>
    <cellStyle name="Percent [2] 5" xfId="1511" xr:uid="{00000000-0005-0000-0000-000009050000}"/>
    <cellStyle name="Percent [2] 5 2" xfId="1512" xr:uid="{00000000-0005-0000-0000-00000A050000}"/>
    <cellStyle name="Percent [2] 6" xfId="1513" xr:uid="{00000000-0005-0000-0000-00000B050000}"/>
    <cellStyle name="Percent 2" xfId="972" xr:uid="{00000000-0005-0000-0000-00000C050000}"/>
    <cellStyle name="Percent 2 2" xfId="1514" xr:uid="{00000000-0005-0000-0000-00000D050000}"/>
    <cellStyle name="Percent 2 3" xfId="1515" xr:uid="{00000000-0005-0000-0000-00000E050000}"/>
    <cellStyle name="Percent 3" xfId="973" xr:uid="{00000000-0005-0000-0000-00000F050000}"/>
    <cellStyle name="Percent 3 2" xfId="1516" xr:uid="{00000000-0005-0000-0000-000010050000}"/>
    <cellStyle name="Percent 4" xfId="1517" xr:uid="{00000000-0005-0000-0000-000011050000}"/>
    <cellStyle name="Percent 4 2" xfId="1518" xr:uid="{00000000-0005-0000-0000-000012050000}"/>
    <cellStyle name="percentage difference" xfId="1519" xr:uid="{00000000-0005-0000-0000-000013050000}"/>
    <cellStyle name="percentage difference 2" xfId="1520" xr:uid="{00000000-0005-0000-0000-000014050000}"/>
    <cellStyle name="percentage difference 3" xfId="1521" xr:uid="{00000000-0005-0000-0000-000015050000}"/>
    <cellStyle name="percentage difference 4" xfId="1522" xr:uid="{00000000-0005-0000-0000-000016050000}"/>
    <cellStyle name="percentage difference 5" xfId="1523" xr:uid="{00000000-0005-0000-0000-000017050000}"/>
    <cellStyle name="percentage difference 6" xfId="1524" xr:uid="{00000000-0005-0000-0000-000018050000}"/>
    <cellStyle name="percentage difference one decimal" xfId="1525" xr:uid="{00000000-0005-0000-0000-000019050000}"/>
    <cellStyle name="percentage difference zero decimal" xfId="1526" xr:uid="{00000000-0005-0000-0000-00001A050000}"/>
    <cellStyle name="percentage difference_3.3.SF_DeudaPública" xfId="1527" xr:uid="{00000000-0005-0000-0000-00001B050000}"/>
    <cellStyle name="Percentual" xfId="1528" xr:uid="{00000000-0005-0000-0000-00001C050000}"/>
    <cellStyle name="Ponto" xfId="1529" xr:uid="{00000000-0005-0000-0000-00001D050000}"/>
    <cellStyle name="Porcentagem_SEP1196" xfId="1530" xr:uid="{00000000-0005-0000-0000-00001E050000}"/>
    <cellStyle name="Porcentaje" xfId="1531" builtinId="5"/>
    <cellStyle name="Porcentual 2" xfId="1532" xr:uid="{00000000-0005-0000-0000-000020050000}"/>
    <cellStyle name="Porcentual 2 2" xfId="1533" xr:uid="{00000000-0005-0000-0000-000021050000}"/>
    <cellStyle name="Presentation" xfId="1534" xr:uid="{00000000-0005-0000-0000-000022050000}"/>
    <cellStyle name="Presentation 2" xfId="1535" xr:uid="{00000000-0005-0000-0000-000023050000}"/>
    <cellStyle name="Publication" xfId="1536" xr:uid="{00000000-0005-0000-0000-000024050000}"/>
    <cellStyle name="Punto" xfId="1537" xr:uid="{00000000-0005-0000-0000-000025050000}"/>
    <cellStyle name="Punto0" xfId="1538" xr:uid="{00000000-0005-0000-0000-000026050000}"/>
    <cellStyle name="Red Text" xfId="1539" xr:uid="{00000000-0005-0000-0000-000027050000}"/>
    <cellStyle name="reduced" xfId="1540" xr:uid="{00000000-0005-0000-0000-000028050000}"/>
    <cellStyle name="Resumen" xfId="1541" xr:uid="{00000000-0005-0000-0000-000029050000}"/>
    <cellStyle name="Resumen 2" xfId="1542" xr:uid="{00000000-0005-0000-0000-00002A050000}"/>
    <cellStyle name="Resumen 3" xfId="1543" xr:uid="{00000000-0005-0000-0000-00002B050000}"/>
    <cellStyle name="Resumen 4" xfId="1544" xr:uid="{00000000-0005-0000-0000-00002C050000}"/>
    <cellStyle name="Resumen 5" xfId="1545" xr:uid="{00000000-0005-0000-0000-00002D050000}"/>
    <cellStyle name="Resumen 6" xfId="1546" xr:uid="{00000000-0005-0000-0000-00002E050000}"/>
    <cellStyle name="Salida" xfId="1547" xr:uid="{00000000-0005-0000-0000-00002F050000}"/>
    <cellStyle name="SAPBEXaggData" xfId="974" xr:uid="{00000000-0005-0000-0000-000030050000}"/>
    <cellStyle name="SAPBEXaggDataEmph" xfId="975" xr:uid="{00000000-0005-0000-0000-000031050000}"/>
    <cellStyle name="SAPBEXaggItem" xfId="976" xr:uid="{00000000-0005-0000-0000-000032050000}"/>
    <cellStyle name="SAPBEXaggItemX" xfId="977" xr:uid="{00000000-0005-0000-0000-000033050000}"/>
    <cellStyle name="SAPBEXchaText" xfId="978" xr:uid="{00000000-0005-0000-0000-000034050000}"/>
    <cellStyle name="SAPBEXexcBad7" xfId="979" xr:uid="{00000000-0005-0000-0000-000035050000}"/>
    <cellStyle name="SAPBEXexcBad7 2" xfId="980" xr:uid="{00000000-0005-0000-0000-000036050000}"/>
    <cellStyle name="SAPBEXexcBad7 3" xfId="981" xr:uid="{00000000-0005-0000-0000-000037050000}"/>
    <cellStyle name="SAPBEXexcBad8" xfId="982" xr:uid="{00000000-0005-0000-0000-000038050000}"/>
    <cellStyle name="SAPBEXexcBad8 2" xfId="983" xr:uid="{00000000-0005-0000-0000-000039050000}"/>
    <cellStyle name="SAPBEXexcBad8 3" xfId="984" xr:uid="{00000000-0005-0000-0000-00003A050000}"/>
    <cellStyle name="SAPBEXexcBad9" xfId="985" xr:uid="{00000000-0005-0000-0000-00003B050000}"/>
    <cellStyle name="SAPBEXexcBad9 2" xfId="986" xr:uid="{00000000-0005-0000-0000-00003C050000}"/>
    <cellStyle name="SAPBEXexcBad9 3" xfId="987" xr:uid="{00000000-0005-0000-0000-00003D050000}"/>
    <cellStyle name="SAPBEXexcCritical4" xfId="988" xr:uid="{00000000-0005-0000-0000-00003E050000}"/>
    <cellStyle name="SAPBEXexcCritical4 2" xfId="989" xr:uid="{00000000-0005-0000-0000-00003F050000}"/>
    <cellStyle name="SAPBEXexcCritical4 3" xfId="990" xr:uid="{00000000-0005-0000-0000-000040050000}"/>
    <cellStyle name="SAPBEXexcCritical5" xfId="991" xr:uid="{00000000-0005-0000-0000-000041050000}"/>
    <cellStyle name="SAPBEXexcCritical5 2" xfId="992" xr:uid="{00000000-0005-0000-0000-000042050000}"/>
    <cellStyle name="SAPBEXexcCritical5 3" xfId="993" xr:uid="{00000000-0005-0000-0000-000043050000}"/>
    <cellStyle name="SAPBEXexcCritical6" xfId="994" xr:uid="{00000000-0005-0000-0000-000044050000}"/>
    <cellStyle name="SAPBEXexcCritical6 2" xfId="995" xr:uid="{00000000-0005-0000-0000-000045050000}"/>
    <cellStyle name="SAPBEXexcCritical6 3" xfId="996" xr:uid="{00000000-0005-0000-0000-000046050000}"/>
    <cellStyle name="SAPBEXexcGood1" xfId="997" xr:uid="{00000000-0005-0000-0000-000047050000}"/>
    <cellStyle name="SAPBEXexcGood1 2" xfId="998" xr:uid="{00000000-0005-0000-0000-000048050000}"/>
    <cellStyle name="SAPBEXexcGood1 3" xfId="999" xr:uid="{00000000-0005-0000-0000-000049050000}"/>
    <cellStyle name="SAPBEXexcGood2" xfId="1000" xr:uid="{00000000-0005-0000-0000-00004A050000}"/>
    <cellStyle name="SAPBEXexcGood2 2" xfId="1001" xr:uid="{00000000-0005-0000-0000-00004B050000}"/>
    <cellStyle name="SAPBEXexcGood2 3" xfId="1002" xr:uid="{00000000-0005-0000-0000-00004C050000}"/>
    <cellStyle name="SAPBEXexcGood3" xfId="1003" xr:uid="{00000000-0005-0000-0000-00004D050000}"/>
    <cellStyle name="SAPBEXexcGood3 2" xfId="1004" xr:uid="{00000000-0005-0000-0000-00004E050000}"/>
    <cellStyle name="SAPBEXexcGood3 3" xfId="1005" xr:uid="{00000000-0005-0000-0000-00004F050000}"/>
    <cellStyle name="SAPBEXfilterDrill" xfId="1006" xr:uid="{00000000-0005-0000-0000-000050050000}"/>
    <cellStyle name="SAPBEXfilterDrill 2" xfId="1792" xr:uid="{00000000-0005-0000-0000-000051050000}"/>
    <cellStyle name="SAPBEXfilterItem" xfId="1007" xr:uid="{00000000-0005-0000-0000-000052050000}"/>
    <cellStyle name="SAPBEXfilterItem 2" xfId="1008" xr:uid="{00000000-0005-0000-0000-000053050000}"/>
    <cellStyle name="SAPBEXfilterItem 3" xfId="1009" xr:uid="{00000000-0005-0000-0000-000054050000}"/>
    <cellStyle name="SAPBEXfilterText" xfId="1010" xr:uid="{00000000-0005-0000-0000-000055050000}"/>
    <cellStyle name="SAPBEXfilterText 2" xfId="1011" xr:uid="{00000000-0005-0000-0000-000056050000}"/>
    <cellStyle name="SAPBEXfilterText 3" xfId="1012" xr:uid="{00000000-0005-0000-0000-000057050000}"/>
    <cellStyle name="SAPBEXfilterText 4" xfId="1013" xr:uid="{00000000-0005-0000-0000-000058050000}"/>
    <cellStyle name="SAPBEXfilterText 5" xfId="1014" xr:uid="{00000000-0005-0000-0000-000059050000}"/>
    <cellStyle name="SAPBEXfilterText 6" xfId="1015" xr:uid="{00000000-0005-0000-0000-00005A050000}"/>
    <cellStyle name="SAPBEXformats" xfId="1016" xr:uid="{00000000-0005-0000-0000-00005B050000}"/>
    <cellStyle name="SAPBEXformats 2" xfId="1017" xr:uid="{00000000-0005-0000-0000-00005C050000}"/>
    <cellStyle name="SAPBEXformats 3" xfId="1018" xr:uid="{00000000-0005-0000-0000-00005D050000}"/>
    <cellStyle name="SAPBEXheaderItem" xfId="1019" xr:uid="{00000000-0005-0000-0000-00005E050000}"/>
    <cellStyle name="SAPBEXheaderItem 2" xfId="1020" xr:uid="{00000000-0005-0000-0000-00005F050000}"/>
    <cellStyle name="SAPBEXheaderItem 3" xfId="1021" xr:uid="{00000000-0005-0000-0000-000060050000}"/>
    <cellStyle name="SAPBEXheaderItem 4" xfId="1022" xr:uid="{00000000-0005-0000-0000-000061050000}"/>
    <cellStyle name="SAPBEXheaderItem 5" xfId="1023" xr:uid="{00000000-0005-0000-0000-000062050000}"/>
    <cellStyle name="SAPBEXheaderItem 6" xfId="1024" xr:uid="{00000000-0005-0000-0000-000063050000}"/>
    <cellStyle name="SAPBEXheaderText" xfId="1025" xr:uid="{00000000-0005-0000-0000-000064050000}"/>
    <cellStyle name="SAPBEXheaderText 2" xfId="1026" xr:uid="{00000000-0005-0000-0000-000065050000}"/>
    <cellStyle name="SAPBEXheaderText 3" xfId="1027" xr:uid="{00000000-0005-0000-0000-000066050000}"/>
    <cellStyle name="SAPBEXheaderText 4" xfId="1028" xr:uid="{00000000-0005-0000-0000-000067050000}"/>
    <cellStyle name="SAPBEXheaderText 5" xfId="1029" xr:uid="{00000000-0005-0000-0000-000068050000}"/>
    <cellStyle name="SAPBEXheaderText 6" xfId="1030" xr:uid="{00000000-0005-0000-0000-000069050000}"/>
    <cellStyle name="SAPBEXHLevel0" xfId="1031" xr:uid="{00000000-0005-0000-0000-00006A050000}"/>
    <cellStyle name="SAPBEXHLevel0 2" xfId="1032" xr:uid="{00000000-0005-0000-0000-00006B050000}"/>
    <cellStyle name="SAPBEXHLevel0 3" xfId="1033" xr:uid="{00000000-0005-0000-0000-00006C050000}"/>
    <cellStyle name="SAPBEXHLevel0 4" xfId="1034" xr:uid="{00000000-0005-0000-0000-00006D050000}"/>
    <cellStyle name="SAPBEXHLevel0 5" xfId="1035" xr:uid="{00000000-0005-0000-0000-00006E050000}"/>
    <cellStyle name="SAPBEXHLevel0 6" xfId="1036" xr:uid="{00000000-0005-0000-0000-00006F050000}"/>
    <cellStyle name="SAPBEXHLevel0 7" xfId="1037" xr:uid="{00000000-0005-0000-0000-000070050000}"/>
    <cellStyle name="SAPBEXHLevel0 8" xfId="1038" xr:uid="{00000000-0005-0000-0000-000071050000}"/>
    <cellStyle name="SAPBEXHLevel0 9" xfId="1039" xr:uid="{00000000-0005-0000-0000-000072050000}"/>
    <cellStyle name="SAPBEXHLevel0X" xfId="1040" xr:uid="{00000000-0005-0000-0000-000073050000}"/>
    <cellStyle name="SAPBEXHLevel0X 2" xfId="1041" xr:uid="{00000000-0005-0000-0000-000074050000}"/>
    <cellStyle name="SAPBEXHLevel0X 3" xfId="1042" xr:uid="{00000000-0005-0000-0000-000075050000}"/>
    <cellStyle name="SAPBEXHLevel0X 4" xfId="1043" xr:uid="{00000000-0005-0000-0000-000076050000}"/>
    <cellStyle name="SAPBEXHLevel0X 5" xfId="1044" xr:uid="{00000000-0005-0000-0000-000077050000}"/>
    <cellStyle name="SAPBEXHLevel0X 6" xfId="1045" xr:uid="{00000000-0005-0000-0000-000078050000}"/>
    <cellStyle name="SAPBEXHLevel0X 7" xfId="1046" xr:uid="{00000000-0005-0000-0000-000079050000}"/>
    <cellStyle name="SAPBEXHLevel0X 8" xfId="1047" xr:uid="{00000000-0005-0000-0000-00007A050000}"/>
    <cellStyle name="SAPBEXHLevel0X 9" xfId="1048" xr:uid="{00000000-0005-0000-0000-00007B050000}"/>
    <cellStyle name="SAPBEXHLevel1" xfId="1049" xr:uid="{00000000-0005-0000-0000-00007C050000}"/>
    <cellStyle name="SAPBEXHLevel1 2" xfId="1050" xr:uid="{00000000-0005-0000-0000-00007D050000}"/>
    <cellStyle name="SAPBEXHLevel1 3" xfId="1051" xr:uid="{00000000-0005-0000-0000-00007E050000}"/>
    <cellStyle name="SAPBEXHLevel1 4" xfId="1052" xr:uid="{00000000-0005-0000-0000-00007F050000}"/>
    <cellStyle name="SAPBEXHLevel1 5" xfId="1053" xr:uid="{00000000-0005-0000-0000-000080050000}"/>
    <cellStyle name="SAPBEXHLevel1 6" xfId="1054" xr:uid="{00000000-0005-0000-0000-000081050000}"/>
    <cellStyle name="SAPBEXHLevel1 7" xfId="1055" xr:uid="{00000000-0005-0000-0000-000082050000}"/>
    <cellStyle name="SAPBEXHLevel1 8" xfId="1056" xr:uid="{00000000-0005-0000-0000-000083050000}"/>
    <cellStyle name="SAPBEXHLevel1 9" xfId="1057" xr:uid="{00000000-0005-0000-0000-000084050000}"/>
    <cellStyle name="SAPBEXHLevel1X" xfId="1058" xr:uid="{00000000-0005-0000-0000-000085050000}"/>
    <cellStyle name="SAPBEXHLevel1X 2" xfId="1059" xr:uid="{00000000-0005-0000-0000-000086050000}"/>
    <cellStyle name="SAPBEXHLevel1X 3" xfId="1060" xr:uid="{00000000-0005-0000-0000-000087050000}"/>
    <cellStyle name="SAPBEXHLevel1X 4" xfId="1061" xr:uid="{00000000-0005-0000-0000-000088050000}"/>
    <cellStyle name="SAPBEXHLevel1X 5" xfId="1062" xr:uid="{00000000-0005-0000-0000-000089050000}"/>
    <cellStyle name="SAPBEXHLevel1X 6" xfId="1063" xr:uid="{00000000-0005-0000-0000-00008A050000}"/>
    <cellStyle name="SAPBEXHLevel1X 7" xfId="1064" xr:uid="{00000000-0005-0000-0000-00008B050000}"/>
    <cellStyle name="SAPBEXHLevel1X 8" xfId="1065" xr:uid="{00000000-0005-0000-0000-00008C050000}"/>
    <cellStyle name="SAPBEXHLevel1X 9" xfId="1066" xr:uid="{00000000-0005-0000-0000-00008D050000}"/>
    <cellStyle name="SAPBEXHLevel2" xfId="1067" xr:uid="{00000000-0005-0000-0000-00008E050000}"/>
    <cellStyle name="SAPBEXHLevel2 2" xfId="1068" xr:uid="{00000000-0005-0000-0000-00008F050000}"/>
    <cellStyle name="SAPBEXHLevel2 3" xfId="1069" xr:uid="{00000000-0005-0000-0000-000090050000}"/>
    <cellStyle name="SAPBEXHLevel2 4" xfId="1070" xr:uid="{00000000-0005-0000-0000-000091050000}"/>
    <cellStyle name="SAPBEXHLevel2 5" xfId="1071" xr:uid="{00000000-0005-0000-0000-000092050000}"/>
    <cellStyle name="SAPBEXHLevel2 6" xfId="1072" xr:uid="{00000000-0005-0000-0000-000093050000}"/>
    <cellStyle name="SAPBEXHLevel2 7" xfId="1073" xr:uid="{00000000-0005-0000-0000-000094050000}"/>
    <cellStyle name="SAPBEXHLevel2 8" xfId="1074" xr:uid="{00000000-0005-0000-0000-000095050000}"/>
    <cellStyle name="SAPBEXHLevel2 9" xfId="1075" xr:uid="{00000000-0005-0000-0000-000096050000}"/>
    <cellStyle name="SAPBEXHLevel2X" xfId="1076" xr:uid="{00000000-0005-0000-0000-000097050000}"/>
    <cellStyle name="SAPBEXHLevel2X 2" xfId="1077" xr:uid="{00000000-0005-0000-0000-000098050000}"/>
    <cellStyle name="SAPBEXHLevel2X 3" xfId="1078" xr:uid="{00000000-0005-0000-0000-000099050000}"/>
    <cellStyle name="SAPBEXHLevel2X 4" xfId="1079" xr:uid="{00000000-0005-0000-0000-00009A050000}"/>
    <cellStyle name="SAPBEXHLevel2X 5" xfId="1080" xr:uid="{00000000-0005-0000-0000-00009B050000}"/>
    <cellStyle name="SAPBEXHLevel2X 6" xfId="1081" xr:uid="{00000000-0005-0000-0000-00009C050000}"/>
    <cellStyle name="SAPBEXHLevel2X 7" xfId="1082" xr:uid="{00000000-0005-0000-0000-00009D050000}"/>
    <cellStyle name="SAPBEXHLevel2X 8" xfId="1083" xr:uid="{00000000-0005-0000-0000-00009E050000}"/>
    <cellStyle name="SAPBEXHLevel2X 9" xfId="1084" xr:uid="{00000000-0005-0000-0000-00009F050000}"/>
    <cellStyle name="SAPBEXHLevel3" xfId="1085" xr:uid="{00000000-0005-0000-0000-0000A0050000}"/>
    <cellStyle name="SAPBEXHLevel3 2" xfId="1086" xr:uid="{00000000-0005-0000-0000-0000A1050000}"/>
    <cellStyle name="SAPBEXHLevel3 3" xfId="1087" xr:uid="{00000000-0005-0000-0000-0000A2050000}"/>
    <cellStyle name="SAPBEXHLevel3 4" xfId="1088" xr:uid="{00000000-0005-0000-0000-0000A3050000}"/>
    <cellStyle name="SAPBEXHLevel3 5" xfId="1089" xr:uid="{00000000-0005-0000-0000-0000A4050000}"/>
    <cellStyle name="SAPBEXHLevel3 6" xfId="1090" xr:uid="{00000000-0005-0000-0000-0000A5050000}"/>
    <cellStyle name="SAPBEXHLevel3 7" xfId="1091" xr:uid="{00000000-0005-0000-0000-0000A6050000}"/>
    <cellStyle name="SAPBEXHLevel3 8" xfId="1092" xr:uid="{00000000-0005-0000-0000-0000A7050000}"/>
    <cellStyle name="SAPBEXHLevel3 9" xfId="1093" xr:uid="{00000000-0005-0000-0000-0000A8050000}"/>
    <cellStyle name="SAPBEXHLevel3X" xfId="1094" xr:uid="{00000000-0005-0000-0000-0000A9050000}"/>
    <cellStyle name="SAPBEXHLevel3X 2" xfId="1095" xr:uid="{00000000-0005-0000-0000-0000AA050000}"/>
    <cellStyle name="SAPBEXHLevel3X 3" xfId="1096" xr:uid="{00000000-0005-0000-0000-0000AB050000}"/>
    <cellStyle name="SAPBEXHLevel3X 4" xfId="1097" xr:uid="{00000000-0005-0000-0000-0000AC050000}"/>
    <cellStyle name="SAPBEXHLevel3X 5" xfId="1098" xr:uid="{00000000-0005-0000-0000-0000AD050000}"/>
    <cellStyle name="SAPBEXHLevel3X 6" xfId="1099" xr:uid="{00000000-0005-0000-0000-0000AE050000}"/>
    <cellStyle name="SAPBEXHLevel3X 7" xfId="1100" xr:uid="{00000000-0005-0000-0000-0000AF050000}"/>
    <cellStyle name="SAPBEXHLevel3X 8" xfId="1101" xr:uid="{00000000-0005-0000-0000-0000B0050000}"/>
    <cellStyle name="SAPBEXHLevel3X 9" xfId="1102" xr:uid="{00000000-0005-0000-0000-0000B1050000}"/>
    <cellStyle name="SAPBEXinputData" xfId="1103" xr:uid="{00000000-0005-0000-0000-0000B2050000}"/>
    <cellStyle name="SAPBEXinputData 2" xfId="1104" xr:uid="{00000000-0005-0000-0000-0000B3050000}"/>
    <cellStyle name="SAPBEXinputData 3" xfId="1105" xr:uid="{00000000-0005-0000-0000-0000B4050000}"/>
    <cellStyle name="SAPBEXinputData 4" xfId="1106" xr:uid="{00000000-0005-0000-0000-0000B5050000}"/>
    <cellStyle name="SAPBEXinputData 5" xfId="1107" xr:uid="{00000000-0005-0000-0000-0000B6050000}"/>
    <cellStyle name="SAPBEXinputData 6" xfId="1108" xr:uid="{00000000-0005-0000-0000-0000B7050000}"/>
    <cellStyle name="SAPBEXinputData 7" xfId="1109" xr:uid="{00000000-0005-0000-0000-0000B8050000}"/>
    <cellStyle name="SAPBEXinputData 8" xfId="1110" xr:uid="{00000000-0005-0000-0000-0000B9050000}"/>
    <cellStyle name="SAPBEXinputData 9" xfId="1111" xr:uid="{00000000-0005-0000-0000-0000BA050000}"/>
    <cellStyle name="SAPBEXresData" xfId="1112" xr:uid="{00000000-0005-0000-0000-0000BB050000}"/>
    <cellStyle name="SAPBEXresData 2" xfId="1113" xr:uid="{00000000-0005-0000-0000-0000BC050000}"/>
    <cellStyle name="SAPBEXresData 3" xfId="1114" xr:uid="{00000000-0005-0000-0000-0000BD050000}"/>
    <cellStyle name="SAPBEXresDataEmph" xfId="1115" xr:uid="{00000000-0005-0000-0000-0000BE050000}"/>
    <cellStyle name="SAPBEXresItem" xfId="1116" xr:uid="{00000000-0005-0000-0000-0000BF050000}"/>
    <cellStyle name="SAPBEXresItem 2" xfId="1117" xr:uid="{00000000-0005-0000-0000-0000C0050000}"/>
    <cellStyle name="SAPBEXresItem 3" xfId="1118" xr:uid="{00000000-0005-0000-0000-0000C1050000}"/>
    <cellStyle name="SAPBEXresItemX" xfId="1119" xr:uid="{00000000-0005-0000-0000-0000C2050000}"/>
    <cellStyle name="SAPBEXresItemX 2" xfId="1120" xr:uid="{00000000-0005-0000-0000-0000C3050000}"/>
    <cellStyle name="SAPBEXresItemX 3" xfId="1121" xr:uid="{00000000-0005-0000-0000-0000C4050000}"/>
    <cellStyle name="SAPBEXstdData" xfId="1122" xr:uid="{00000000-0005-0000-0000-0000C5050000}"/>
    <cellStyle name="SAPBEXstdData 2" xfId="1123" xr:uid="{00000000-0005-0000-0000-0000C6050000}"/>
    <cellStyle name="SAPBEXstdData 3" xfId="1124" xr:uid="{00000000-0005-0000-0000-0000C7050000}"/>
    <cellStyle name="SAPBEXstdDataEmph" xfId="1125" xr:uid="{00000000-0005-0000-0000-0000C8050000}"/>
    <cellStyle name="SAPBEXstdItem" xfId="1126" xr:uid="{00000000-0005-0000-0000-0000C9050000}"/>
    <cellStyle name="SAPBEXstdItem 2" xfId="1127" xr:uid="{00000000-0005-0000-0000-0000CA050000}"/>
    <cellStyle name="SAPBEXstdItem 3" xfId="1128" xr:uid="{00000000-0005-0000-0000-0000CB050000}"/>
    <cellStyle name="SAPBEXstdItemX" xfId="1129" xr:uid="{00000000-0005-0000-0000-0000CC050000}"/>
    <cellStyle name="SAPBEXstdItemX 2" xfId="1130" xr:uid="{00000000-0005-0000-0000-0000CD050000}"/>
    <cellStyle name="SAPBEXstdItemX 3" xfId="1131" xr:uid="{00000000-0005-0000-0000-0000CE050000}"/>
    <cellStyle name="SAPBEXtitle" xfId="1132" xr:uid="{00000000-0005-0000-0000-0000CF050000}"/>
    <cellStyle name="SAPBEXtitle 2" xfId="1133" xr:uid="{00000000-0005-0000-0000-0000D0050000}"/>
    <cellStyle name="SAPBEXtitle 3" xfId="1134" xr:uid="{00000000-0005-0000-0000-0000D1050000}"/>
    <cellStyle name="SAPBEXtitle 4" xfId="1135" xr:uid="{00000000-0005-0000-0000-0000D2050000}"/>
    <cellStyle name="SAPBEXtitle 5" xfId="1136" xr:uid="{00000000-0005-0000-0000-0000D3050000}"/>
    <cellStyle name="SAPBEXtitle 6" xfId="1137" xr:uid="{00000000-0005-0000-0000-0000D4050000}"/>
    <cellStyle name="SAPBEXundefined" xfId="1138" xr:uid="{00000000-0005-0000-0000-0000D5050000}"/>
    <cellStyle name="semestre" xfId="1548" xr:uid="{00000000-0005-0000-0000-0000D6050000}"/>
    <cellStyle name="Sep. milhar [2]" xfId="1549" xr:uid="{00000000-0005-0000-0000-0000D7050000}"/>
    <cellStyle name="Sep. milhar [2] 2" xfId="1550" xr:uid="{00000000-0005-0000-0000-0000D8050000}"/>
    <cellStyle name="Sep. milhar [2] 3" xfId="1551" xr:uid="{00000000-0005-0000-0000-0000D9050000}"/>
    <cellStyle name="Sep. milhar [2] 4" xfId="1552" xr:uid="{00000000-0005-0000-0000-0000DA050000}"/>
    <cellStyle name="Sep. milhar [2] 5" xfId="1553" xr:uid="{00000000-0005-0000-0000-0000DB050000}"/>
    <cellStyle name="Sep. milhar [2] 6" xfId="1554" xr:uid="{00000000-0005-0000-0000-0000DC050000}"/>
    <cellStyle name="Separador de m" xfId="1555" xr:uid="{00000000-0005-0000-0000-0000DD050000}"/>
    <cellStyle name="Separador de m 2" xfId="1556" xr:uid="{00000000-0005-0000-0000-0000DE050000}"/>
    <cellStyle name="Separador de m 2 2" xfId="1557" xr:uid="{00000000-0005-0000-0000-0000DF050000}"/>
    <cellStyle name="Separador de m 3" xfId="1558" xr:uid="{00000000-0005-0000-0000-0000E0050000}"/>
    <cellStyle name="Separador de m 3 2" xfId="1559" xr:uid="{00000000-0005-0000-0000-0000E1050000}"/>
    <cellStyle name="Separador de m 4" xfId="1560" xr:uid="{00000000-0005-0000-0000-0000E2050000}"/>
    <cellStyle name="Separador de m 4 2" xfId="1561" xr:uid="{00000000-0005-0000-0000-0000E3050000}"/>
    <cellStyle name="Separador de m 5" xfId="1562" xr:uid="{00000000-0005-0000-0000-0000E4050000}"/>
    <cellStyle name="Separador de m 5 2" xfId="1563" xr:uid="{00000000-0005-0000-0000-0000E5050000}"/>
    <cellStyle name="Separador de m 6" xfId="1564" xr:uid="{00000000-0005-0000-0000-0000E6050000}"/>
    <cellStyle name="Separador de milhares [0]_A" xfId="1565" xr:uid="{00000000-0005-0000-0000-0000E7050000}"/>
    <cellStyle name="Separador de milhares_A" xfId="1566" xr:uid="{00000000-0005-0000-0000-0000E8050000}"/>
    <cellStyle name="SHEET" xfId="1139" xr:uid="{00000000-0005-0000-0000-0000E9050000}"/>
    <cellStyle name="Sheet Title" xfId="1140" xr:uid="{00000000-0005-0000-0000-0000EA050000}"/>
    <cellStyle name="Style 1" xfId="1567" xr:uid="{00000000-0005-0000-0000-0000EB050000}"/>
    <cellStyle name="Style 1 2" xfId="1568" xr:uid="{00000000-0005-0000-0000-0000EC050000}"/>
    <cellStyle name="Style 21" xfId="1569" xr:uid="{00000000-0005-0000-0000-0000ED050000}"/>
    <cellStyle name="Style 21 2" xfId="1570" xr:uid="{00000000-0005-0000-0000-0000EE050000}"/>
    <cellStyle name="Style 21 3" xfId="1571" xr:uid="{00000000-0005-0000-0000-0000EF050000}"/>
    <cellStyle name="Style 21 4" xfId="1572" xr:uid="{00000000-0005-0000-0000-0000F0050000}"/>
    <cellStyle name="Style 21 5" xfId="1573" xr:uid="{00000000-0005-0000-0000-0000F1050000}"/>
    <cellStyle name="Style 21 6" xfId="1574" xr:uid="{00000000-0005-0000-0000-0000F2050000}"/>
    <cellStyle name="Style 22" xfId="1575" xr:uid="{00000000-0005-0000-0000-0000F3050000}"/>
    <cellStyle name="Style 22 2" xfId="1576" xr:uid="{00000000-0005-0000-0000-0000F4050000}"/>
    <cellStyle name="Style 22 3" xfId="1577" xr:uid="{00000000-0005-0000-0000-0000F5050000}"/>
    <cellStyle name="Style 22 4" xfId="1578" xr:uid="{00000000-0005-0000-0000-0000F6050000}"/>
    <cellStyle name="Style 22 5" xfId="1579" xr:uid="{00000000-0005-0000-0000-0000F7050000}"/>
    <cellStyle name="Style 22 6" xfId="1580" xr:uid="{00000000-0005-0000-0000-0000F8050000}"/>
    <cellStyle name="Style 23" xfId="1581" xr:uid="{00000000-0005-0000-0000-0000F9050000}"/>
    <cellStyle name="Style 23 2" xfId="1582" xr:uid="{00000000-0005-0000-0000-0000FA050000}"/>
    <cellStyle name="Style 23 2 2" xfId="1583" xr:uid="{00000000-0005-0000-0000-0000FB050000}"/>
    <cellStyle name="Style 23 3" xfId="1584" xr:uid="{00000000-0005-0000-0000-0000FC050000}"/>
    <cellStyle name="Style 23 3 2" xfId="1585" xr:uid="{00000000-0005-0000-0000-0000FD050000}"/>
    <cellStyle name="Style 23 4" xfId="1586" xr:uid="{00000000-0005-0000-0000-0000FE050000}"/>
    <cellStyle name="Style 23 4 2" xfId="1587" xr:uid="{00000000-0005-0000-0000-0000FF050000}"/>
    <cellStyle name="Style 23 5" xfId="1588" xr:uid="{00000000-0005-0000-0000-000000060000}"/>
    <cellStyle name="Style 23 5 2" xfId="1589" xr:uid="{00000000-0005-0000-0000-000001060000}"/>
    <cellStyle name="Style 23 6" xfId="1590" xr:uid="{00000000-0005-0000-0000-000002060000}"/>
    <cellStyle name="Style 24" xfId="1591" xr:uid="{00000000-0005-0000-0000-000003060000}"/>
    <cellStyle name="Style 24 2" xfId="1592" xr:uid="{00000000-0005-0000-0000-000004060000}"/>
    <cellStyle name="Style 24 2 2" xfId="1593" xr:uid="{00000000-0005-0000-0000-000005060000}"/>
    <cellStyle name="Style 24 3" xfId="1594" xr:uid="{00000000-0005-0000-0000-000006060000}"/>
    <cellStyle name="Style 24 3 2" xfId="1595" xr:uid="{00000000-0005-0000-0000-000007060000}"/>
    <cellStyle name="Style 24 4" xfId="1596" xr:uid="{00000000-0005-0000-0000-000008060000}"/>
    <cellStyle name="Style 24 4 2" xfId="1597" xr:uid="{00000000-0005-0000-0000-000009060000}"/>
    <cellStyle name="Style 24 5" xfId="1598" xr:uid="{00000000-0005-0000-0000-00000A060000}"/>
    <cellStyle name="Style 24 5 2" xfId="1599" xr:uid="{00000000-0005-0000-0000-00000B060000}"/>
    <cellStyle name="Style 24 6" xfId="1600" xr:uid="{00000000-0005-0000-0000-00000C060000}"/>
    <cellStyle name="Style 25" xfId="1601" xr:uid="{00000000-0005-0000-0000-00000D060000}"/>
    <cellStyle name="Style 25 2" xfId="1602" xr:uid="{00000000-0005-0000-0000-00000E060000}"/>
    <cellStyle name="Style 25 2 2" xfId="1603" xr:uid="{00000000-0005-0000-0000-00000F060000}"/>
    <cellStyle name="Style 25 3" xfId="1604" xr:uid="{00000000-0005-0000-0000-000010060000}"/>
    <cellStyle name="Style 25 3 2" xfId="1605" xr:uid="{00000000-0005-0000-0000-000011060000}"/>
    <cellStyle name="Style 25 4" xfId="1606" xr:uid="{00000000-0005-0000-0000-000012060000}"/>
    <cellStyle name="Style 25 4 2" xfId="1607" xr:uid="{00000000-0005-0000-0000-000013060000}"/>
    <cellStyle name="Style 25 5" xfId="1608" xr:uid="{00000000-0005-0000-0000-000014060000}"/>
    <cellStyle name="Style 25 5 2" xfId="1609" xr:uid="{00000000-0005-0000-0000-000015060000}"/>
    <cellStyle name="Style 25 6" xfId="1610" xr:uid="{00000000-0005-0000-0000-000016060000}"/>
    <cellStyle name="Style 26" xfId="1611" xr:uid="{00000000-0005-0000-0000-000017060000}"/>
    <cellStyle name="Style 26 2" xfId="1612" xr:uid="{00000000-0005-0000-0000-000018060000}"/>
    <cellStyle name="Style 26 2 2" xfId="1613" xr:uid="{00000000-0005-0000-0000-000019060000}"/>
    <cellStyle name="Style 26 3" xfId="1614" xr:uid="{00000000-0005-0000-0000-00001A060000}"/>
    <cellStyle name="Style 26 3 2" xfId="1615" xr:uid="{00000000-0005-0000-0000-00001B060000}"/>
    <cellStyle name="Style 26 4" xfId="1616" xr:uid="{00000000-0005-0000-0000-00001C060000}"/>
    <cellStyle name="Style 26 4 2" xfId="1617" xr:uid="{00000000-0005-0000-0000-00001D060000}"/>
    <cellStyle name="Style 26 5" xfId="1618" xr:uid="{00000000-0005-0000-0000-00001E060000}"/>
    <cellStyle name="Style 26 5 2" xfId="1619" xr:uid="{00000000-0005-0000-0000-00001F060000}"/>
    <cellStyle name="Style 26 6" xfId="1620" xr:uid="{00000000-0005-0000-0000-000020060000}"/>
    <cellStyle name="Style 27" xfId="1621" xr:uid="{00000000-0005-0000-0000-000021060000}"/>
    <cellStyle name="Style 27 2" xfId="1622" xr:uid="{00000000-0005-0000-0000-000022060000}"/>
    <cellStyle name="Style 27 2 2" xfId="1623" xr:uid="{00000000-0005-0000-0000-000023060000}"/>
    <cellStyle name="Style 27 3" xfId="1624" xr:uid="{00000000-0005-0000-0000-000024060000}"/>
    <cellStyle name="Style 27 3 2" xfId="1625" xr:uid="{00000000-0005-0000-0000-000025060000}"/>
    <cellStyle name="Style 27 4" xfId="1626" xr:uid="{00000000-0005-0000-0000-000026060000}"/>
    <cellStyle name="Style 27 4 2" xfId="1627" xr:uid="{00000000-0005-0000-0000-000027060000}"/>
    <cellStyle name="Style 27 5" xfId="1628" xr:uid="{00000000-0005-0000-0000-000028060000}"/>
    <cellStyle name="Style 27 5 2" xfId="1629" xr:uid="{00000000-0005-0000-0000-000029060000}"/>
    <cellStyle name="Style 27 6" xfId="1630" xr:uid="{00000000-0005-0000-0000-00002A060000}"/>
    <cellStyle name="Style 28" xfId="1631" xr:uid="{00000000-0005-0000-0000-00002B060000}"/>
    <cellStyle name="Style 28 2" xfId="1632" xr:uid="{00000000-0005-0000-0000-00002C060000}"/>
    <cellStyle name="Style 28 2 2" xfId="1633" xr:uid="{00000000-0005-0000-0000-00002D060000}"/>
    <cellStyle name="Style 28 3" xfId="1634" xr:uid="{00000000-0005-0000-0000-00002E060000}"/>
    <cellStyle name="Style 28 3 2" xfId="1635" xr:uid="{00000000-0005-0000-0000-00002F060000}"/>
    <cellStyle name="Style 28 4" xfId="1636" xr:uid="{00000000-0005-0000-0000-000030060000}"/>
    <cellStyle name="Style 28 4 2" xfId="1637" xr:uid="{00000000-0005-0000-0000-000031060000}"/>
    <cellStyle name="Style 28 5" xfId="1638" xr:uid="{00000000-0005-0000-0000-000032060000}"/>
    <cellStyle name="Style 28 5 2" xfId="1639" xr:uid="{00000000-0005-0000-0000-000033060000}"/>
    <cellStyle name="Style 28 6" xfId="1640" xr:uid="{00000000-0005-0000-0000-000034060000}"/>
    <cellStyle name="Style 29" xfId="1641" xr:uid="{00000000-0005-0000-0000-000035060000}"/>
    <cellStyle name="Style 29 2" xfId="1642" xr:uid="{00000000-0005-0000-0000-000036060000}"/>
    <cellStyle name="Style 29 2 2" xfId="1643" xr:uid="{00000000-0005-0000-0000-000037060000}"/>
    <cellStyle name="Style 29 3" xfId="1644" xr:uid="{00000000-0005-0000-0000-000038060000}"/>
    <cellStyle name="Style 29 3 2" xfId="1645" xr:uid="{00000000-0005-0000-0000-000039060000}"/>
    <cellStyle name="Style 29 4" xfId="1646" xr:uid="{00000000-0005-0000-0000-00003A060000}"/>
    <cellStyle name="Style 29 4 2" xfId="1647" xr:uid="{00000000-0005-0000-0000-00003B060000}"/>
    <cellStyle name="Style 29 5" xfId="1648" xr:uid="{00000000-0005-0000-0000-00003C060000}"/>
    <cellStyle name="Style 29 5 2" xfId="1649" xr:uid="{00000000-0005-0000-0000-00003D060000}"/>
    <cellStyle name="Style 29 6" xfId="1650" xr:uid="{00000000-0005-0000-0000-00003E060000}"/>
    <cellStyle name="Style 30" xfId="1651" xr:uid="{00000000-0005-0000-0000-00003F060000}"/>
    <cellStyle name="Style 30 2" xfId="1652" xr:uid="{00000000-0005-0000-0000-000040060000}"/>
    <cellStyle name="Style 30 2 2" xfId="1653" xr:uid="{00000000-0005-0000-0000-000041060000}"/>
    <cellStyle name="Style 30 3" xfId="1654" xr:uid="{00000000-0005-0000-0000-000042060000}"/>
    <cellStyle name="Style 30 3 2" xfId="1655" xr:uid="{00000000-0005-0000-0000-000043060000}"/>
    <cellStyle name="Style 30 4" xfId="1656" xr:uid="{00000000-0005-0000-0000-000044060000}"/>
    <cellStyle name="Style 30 4 2" xfId="1657" xr:uid="{00000000-0005-0000-0000-000045060000}"/>
    <cellStyle name="Style 30 5" xfId="1658" xr:uid="{00000000-0005-0000-0000-000046060000}"/>
    <cellStyle name="Style 30 5 2" xfId="1659" xr:uid="{00000000-0005-0000-0000-000047060000}"/>
    <cellStyle name="Style 30 6" xfId="1660" xr:uid="{00000000-0005-0000-0000-000048060000}"/>
    <cellStyle name="Style 31" xfId="1661" xr:uid="{00000000-0005-0000-0000-000049060000}"/>
    <cellStyle name="Style 31 2" xfId="1662" xr:uid="{00000000-0005-0000-0000-00004A060000}"/>
    <cellStyle name="Style 31 2 2" xfId="1663" xr:uid="{00000000-0005-0000-0000-00004B060000}"/>
    <cellStyle name="Style 31 3" xfId="1664" xr:uid="{00000000-0005-0000-0000-00004C060000}"/>
    <cellStyle name="Style 31 3 2" xfId="1665" xr:uid="{00000000-0005-0000-0000-00004D060000}"/>
    <cellStyle name="Style 31 4" xfId="1666" xr:uid="{00000000-0005-0000-0000-00004E060000}"/>
    <cellStyle name="Style 31 4 2" xfId="1667" xr:uid="{00000000-0005-0000-0000-00004F060000}"/>
    <cellStyle name="Style 31 5" xfId="1668" xr:uid="{00000000-0005-0000-0000-000050060000}"/>
    <cellStyle name="Style 31 5 2" xfId="1669" xr:uid="{00000000-0005-0000-0000-000051060000}"/>
    <cellStyle name="Style 31 6" xfId="1670" xr:uid="{00000000-0005-0000-0000-000052060000}"/>
    <cellStyle name="Style 32" xfId="1671" xr:uid="{00000000-0005-0000-0000-000053060000}"/>
    <cellStyle name="Style 32 2" xfId="1672" xr:uid="{00000000-0005-0000-0000-000054060000}"/>
    <cellStyle name="Style 32 2 2" xfId="1673" xr:uid="{00000000-0005-0000-0000-000055060000}"/>
    <cellStyle name="Style 32 3" xfId="1674" xr:uid="{00000000-0005-0000-0000-000056060000}"/>
    <cellStyle name="Style 32 3 2" xfId="1675" xr:uid="{00000000-0005-0000-0000-000057060000}"/>
    <cellStyle name="Style 32 4" xfId="1676" xr:uid="{00000000-0005-0000-0000-000058060000}"/>
    <cellStyle name="Style 32 4 2" xfId="1677" xr:uid="{00000000-0005-0000-0000-000059060000}"/>
    <cellStyle name="Style 32 5" xfId="1678" xr:uid="{00000000-0005-0000-0000-00005A060000}"/>
    <cellStyle name="Style 32 5 2" xfId="1679" xr:uid="{00000000-0005-0000-0000-00005B060000}"/>
    <cellStyle name="Style 32 6" xfId="1680" xr:uid="{00000000-0005-0000-0000-00005C060000}"/>
    <cellStyle name="Style 33" xfId="1681" xr:uid="{00000000-0005-0000-0000-00005D060000}"/>
    <cellStyle name="Style 33 2" xfId="1682" xr:uid="{00000000-0005-0000-0000-00005E060000}"/>
    <cellStyle name="Style 33 2 2" xfId="1683" xr:uid="{00000000-0005-0000-0000-00005F060000}"/>
    <cellStyle name="Style 33 3" xfId="1684" xr:uid="{00000000-0005-0000-0000-000060060000}"/>
    <cellStyle name="Style 33 3 2" xfId="1685" xr:uid="{00000000-0005-0000-0000-000061060000}"/>
    <cellStyle name="Style 33 4" xfId="1686" xr:uid="{00000000-0005-0000-0000-000062060000}"/>
    <cellStyle name="Style 33 4 2" xfId="1687" xr:uid="{00000000-0005-0000-0000-000063060000}"/>
    <cellStyle name="Style 33 5" xfId="1688" xr:uid="{00000000-0005-0000-0000-000064060000}"/>
    <cellStyle name="Style 33 5 2" xfId="1689" xr:uid="{00000000-0005-0000-0000-000065060000}"/>
    <cellStyle name="Style 33 6" xfId="1690" xr:uid="{00000000-0005-0000-0000-000066060000}"/>
    <cellStyle name="Style 34" xfId="1691" xr:uid="{00000000-0005-0000-0000-000067060000}"/>
    <cellStyle name="Style 35" xfId="1692" xr:uid="{00000000-0005-0000-0000-000068060000}"/>
    <cellStyle name="Style 35 2" xfId="1693" xr:uid="{00000000-0005-0000-0000-000069060000}"/>
    <cellStyle name="Style 35 3" xfId="1694" xr:uid="{00000000-0005-0000-0000-00006A060000}"/>
    <cellStyle name="Style 35 4" xfId="1695" xr:uid="{00000000-0005-0000-0000-00006B060000}"/>
    <cellStyle name="Style 35 5" xfId="1696" xr:uid="{00000000-0005-0000-0000-00006C060000}"/>
    <cellStyle name="Style 35 6" xfId="1697" xr:uid="{00000000-0005-0000-0000-00006D060000}"/>
    <cellStyle name="Style 36" xfId="1698" xr:uid="{00000000-0005-0000-0000-00006E060000}"/>
    <cellStyle name="Style 36 2" xfId="1699" xr:uid="{00000000-0005-0000-0000-00006F060000}"/>
    <cellStyle name="Style 36 3" xfId="1700" xr:uid="{00000000-0005-0000-0000-000070060000}"/>
    <cellStyle name="Style 36 4" xfId="1701" xr:uid="{00000000-0005-0000-0000-000071060000}"/>
    <cellStyle name="Style 36 5" xfId="1702" xr:uid="{00000000-0005-0000-0000-000072060000}"/>
    <cellStyle name="Style 36 6" xfId="1703" xr:uid="{00000000-0005-0000-0000-000073060000}"/>
    <cellStyle name="Style1" xfId="1704" xr:uid="{00000000-0005-0000-0000-000074060000}"/>
    <cellStyle name="tête chapitre" xfId="1705" xr:uid="{00000000-0005-0000-0000-000075060000}"/>
    <cellStyle name="Text" xfId="1706" xr:uid="{00000000-0005-0000-0000-000076060000}"/>
    <cellStyle name="Text 2" xfId="1707" xr:uid="{00000000-0005-0000-0000-000077060000}"/>
    <cellStyle name="Text 2 2" xfId="1708" xr:uid="{00000000-0005-0000-0000-000078060000}"/>
    <cellStyle name="Text 3" xfId="1709" xr:uid="{00000000-0005-0000-0000-000079060000}"/>
    <cellStyle name="Text 3 2" xfId="1710" xr:uid="{00000000-0005-0000-0000-00007A060000}"/>
    <cellStyle name="Text 4" xfId="1711" xr:uid="{00000000-0005-0000-0000-00007B060000}"/>
    <cellStyle name="Text 4 2" xfId="1712" xr:uid="{00000000-0005-0000-0000-00007C060000}"/>
    <cellStyle name="Text 5" xfId="1713" xr:uid="{00000000-0005-0000-0000-00007D060000}"/>
    <cellStyle name="Text 5 2" xfId="1714" xr:uid="{00000000-0005-0000-0000-00007E060000}"/>
    <cellStyle name="Text 6" xfId="1715" xr:uid="{00000000-0005-0000-0000-00007F060000}"/>
    <cellStyle name="Texto de advertencia" xfId="1716" xr:uid="{00000000-0005-0000-0000-000080060000}"/>
    <cellStyle name="Texto explicativo" xfId="1717" xr:uid="{00000000-0005-0000-0000-000081060000}"/>
    <cellStyle name="Title 2" xfId="1141" xr:uid="{00000000-0005-0000-0000-000082060000}"/>
    <cellStyle name="titre" xfId="1718" xr:uid="{00000000-0005-0000-0000-000083060000}"/>
    <cellStyle name="Título" xfId="1719" xr:uid="{00000000-0005-0000-0000-000084060000}"/>
    <cellStyle name="Título 1" xfId="1720" xr:uid="{00000000-0005-0000-0000-000085060000}"/>
    <cellStyle name="Título 2" xfId="1721" xr:uid="{00000000-0005-0000-0000-000086060000}"/>
    <cellStyle name="Título 3" xfId="1722" xr:uid="{00000000-0005-0000-0000-000087060000}"/>
    <cellStyle name="Título_Andreas three tables for discussion with auth" xfId="1723" xr:uid="{00000000-0005-0000-0000-000088060000}"/>
    <cellStyle name="Titulo1" xfId="1724" xr:uid="{00000000-0005-0000-0000-000089060000}"/>
    <cellStyle name="Titulo2" xfId="1725" xr:uid="{00000000-0005-0000-0000-00008A060000}"/>
    <cellStyle name="TopGrey" xfId="1726" xr:uid="{00000000-0005-0000-0000-00008B060000}"/>
    <cellStyle name="Total 10" xfId="1142" xr:uid="{00000000-0005-0000-0000-00008C060000}"/>
    <cellStyle name="Total 11" xfId="1143" xr:uid="{00000000-0005-0000-0000-00008D060000}"/>
    <cellStyle name="Total 12" xfId="1144" xr:uid="{00000000-0005-0000-0000-00008E060000}"/>
    <cellStyle name="Total 13" xfId="1145" xr:uid="{00000000-0005-0000-0000-00008F060000}"/>
    <cellStyle name="Total 14" xfId="1146" xr:uid="{00000000-0005-0000-0000-000090060000}"/>
    <cellStyle name="Total 15" xfId="1147" xr:uid="{00000000-0005-0000-0000-000091060000}"/>
    <cellStyle name="Total 16" xfId="1148" xr:uid="{00000000-0005-0000-0000-000092060000}"/>
    <cellStyle name="Total 17" xfId="1149" xr:uid="{00000000-0005-0000-0000-000093060000}"/>
    <cellStyle name="Total 18" xfId="1150" xr:uid="{00000000-0005-0000-0000-000094060000}"/>
    <cellStyle name="Total 19" xfId="1151" xr:uid="{00000000-0005-0000-0000-000095060000}"/>
    <cellStyle name="Total 2" xfId="1152" xr:uid="{00000000-0005-0000-0000-000096060000}"/>
    <cellStyle name="Total 20" xfId="1153" xr:uid="{00000000-0005-0000-0000-000097060000}"/>
    <cellStyle name="Total 21" xfId="1154" xr:uid="{00000000-0005-0000-0000-000098060000}"/>
    <cellStyle name="Total 22" xfId="1155" xr:uid="{00000000-0005-0000-0000-000099060000}"/>
    <cellStyle name="Total 23" xfId="1156" xr:uid="{00000000-0005-0000-0000-00009A060000}"/>
    <cellStyle name="Total 24" xfId="1157" xr:uid="{00000000-0005-0000-0000-00009B060000}"/>
    <cellStyle name="Total 25" xfId="1158" xr:uid="{00000000-0005-0000-0000-00009C060000}"/>
    <cellStyle name="Total 26" xfId="1159" xr:uid="{00000000-0005-0000-0000-00009D060000}"/>
    <cellStyle name="Total 27" xfId="1160" xr:uid="{00000000-0005-0000-0000-00009E060000}"/>
    <cellStyle name="Total 28" xfId="1161" xr:uid="{00000000-0005-0000-0000-00009F060000}"/>
    <cellStyle name="Total 29" xfId="1162" xr:uid="{00000000-0005-0000-0000-0000A0060000}"/>
    <cellStyle name="Total 3" xfId="1163" xr:uid="{00000000-0005-0000-0000-0000A1060000}"/>
    <cellStyle name="Total 30" xfId="1164" xr:uid="{00000000-0005-0000-0000-0000A2060000}"/>
    <cellStyle name="Total 4" xfId="1165" xr:uid="{00000000-0005-0000-0000-0000A3060000}"/>
    <cellStyle name="Total 5" xfId="1166" xr:uid="{00000000-0005-0000-0000-0000A4060000}"/>
    <cellStyle name="Total 6" xfId="1167" xr:uid="{00000000-0005-0000-0000-0000A5060000}"/>
    <cellStyle name="Total 7" xfId="1168" xr:uid="{00000000-0005-0000-0000-0000A6060000}"/>
    <cellStyle name="Total 8" xfId="1169" xr:uid="{00000000-0005-0000-0000-0000A7060000}"/>
    <cellStyle name="Total 9" xfId="1170" xr:uid="{00000000-0005-0000-0000-0000A8060000}"/>
    <cellStyle name="USD" xfId="1727" xr:uid="{00000000-0005-0000-0000-0000A9060000}"/>
    <cellStyle name="USD Paren" xfId="1728" xr:uid="{00000000-0005-0000-0000-0000AA060000}"/>
    <cellStyle name="USD_Black Box 10 UNLOCKED" xfId="1729" xr:uid="{00000000-0005-0000-0000-0000AB060000}"/>
    <cellStyle name="V¡rgula" xfId="1730" xr:uid="{00000000-0005-0000-0000-0000AC060000}"/>
    <cellStyle name="V¡rgula0" xfId="1731" xr:uid="{00000000-0005-0000-0000-0000AD060000}"/>
    <cellStyle name="Vírgula" xfId="1732" xr:uid="{00000000-0005-0000-0000-0000AE060000}"/>
    <cellStyle name="Vírgula 2" xfId="1733" xr:uid="{00000000-0005-0000-0000-0000AF060000}"/>
    <cellStyle name="Vírgula 2 2" xfId="1734" xr:uid="{00000000-0005-0000-0000-0000B0060000}"/>
    <cellStyle name="Vírgula 3" xfId="1735" xr:uid="{00000000-0005-0000-0000-0000B1060000}"/>
    <cellStyle name="Vírgula 3 2" xfId="1736" xr:uid="{00000000-0005-0000-0000-0000B2060000}"/>
    <cellStyle name="Vírgula 4" xfId="1737" xr:uid="{00000000-0005-0000-0000-0000B3060000}"/>
    <cellStyle name="Vírgula 4 2" xfId="1738" xr:uid="{00000000-0005-0000-0000-0000B4060000}"/>
    <cellStyle name="Vírgula 5" xfId="1739" xr:uid="{00000000-0005-0000-0000-0000B5060000}"/>
    <cellStyle name="Vírgula 5 2" xfId="1740" xr:uid="{00000000-0005-0000-0000-0000B6060000}"/>
    <cellStyle name="Vírgula 6" xfId="1741" xr:uid="{00000000-0005-0000-0000-0000B7060000}"/>
    <cellStyle name="Warning Text 10" xfId="1171" xr:uid="{00000000-0005-0000-0000-0000B8060000}"/>
    <cellStyle name="Warning Text 11" xfId="1172" xr:uid="{00000000-0005-0000-0000-0000B9060000}"/>
    <cellStyle name="Warning Text 12" xfId="1173" xr:uid="{00000000-0005-0000-0000-0000BA060000}"/>
    <cellStyle name="Warning Text 13" xfId="1174" xr:uid="{00000000-0005-0000-0000-0000BB060000}"/>
    <cellStyle name="Warning Text 14" xfId="1175" xr:uid="{00000000-0005-0000-0000-0000BC060000}"/>
    <cellStyle name="Warning Text 15" xfId="1176" xr:uid="{00000000-0005-0000-0000-0000BD060000}"/>
    <cellStyle name="Warning Text 16" xfId="1177" xr:uid="{00000000-0005-0000-0000-0000BE060000}"/>
    <cellStyle name="Warning Text 17" xfId="1178" xr:uid="{00000000-0005-0000-0000-0000BF060000}"/>
    <cellStyle name="Warning Text 18" xfId="1179" xr:uid="{00000000-0005-0000-0000-0000C0060000}"/>
    <cellStyle name="Warning Text 19" xfId="1180" xr:uid="{00000000-0005-0000-0000-0000C1060000}"/>
    <cellStyle name="Warning Text 2" xfId="1181" xr:uid="{00000000-0005-0000-0000-0000C2060000}"/>
    <cellStyle name="Warning Text 20" xfId="1182" xr:uid="{00000000-0005-0000-0000-0000C3060000}"/>
    <cellStyle name="Warning Text 21" xfId="1183" xr:uid="{00000000-0005-0000-0000-0000C4060000}"/>
    <cellStyle name="Warning Text 22" xfId="1184" xr:uid="{00000000-0005-0000-0000-0000C5060000}"/>
    <cellStyle name="Warning Text 23" xfId="1185" xr:uid="{00000000-0005-0000-0000-0000C6060000}"/>
    <cellStyle name="Warning Text 24" xfId="1186" xr:uid="{00000000-0005-0000-0000-0000C7060000}"/>
    <cellStyle name="Warning Text 25" xfId="1187" xr:uid="{00000000-0005-0000-0000-0000C8060000}"/>
    <cellStyle name="Warning Text 26" xfId="1188" xr:uid="{00000000-0005-0000-0000-0000C9060000}"/>
    <cellStyle name="Warning Text 27" xfId="1189" xr:uid="{00000000-0005-0000-0000-0000CA060000}"/>
    <cellStyle name="Warning Text 28" xfId="1190" xr:uid="{00000000-0005-0000-0000-0000CB060000}"/>
    <cellStyle name="Warning Text 29" xfId="1191" xr:uid="{00000000-0005-0000-0000-0000CC060000}"/>
    <cellStyle name="Warning Text 3" xfId="1192" xr:uid="{00000000-0005-0000-0000-0000CD060000}"/>
    <cellStyle name="Warning Text 30" xfId="1193" xr:uid="{00000000-0005-0000-0000-0000CE060000}"/>
    <cellStyle name="Warning Text 4" xfId="1194" xr:uid="{00000000-0005-0000-0000-0000CF060000}"/>
    <cellStyle name="Warning Text 5" xfId="1195" xr:uid="{00000000-0005-0000-0000-0000D0060000}"/>
    <cellStyle name="Warning Text 6" xfId="1196" xr:uid="{00000000-0005-0000-0000-0000D1060000}"/>
    <cellStyle name="Warning Text 7" xfId="1197" xr:uid="{00000000-0005-0000-0000-0000D2060000}"/>
    <cellStyle name="Warning Text 8" xfId="1198" xr:uid="{00000000-0005-0000-0000-0000D3060000}"/>
    <cellStyle name="Warning Text 9" xfId="1199" xr:uid="{00000000-0005-0000-0000-0000D4060000}"/>
    <cellStyle name="WebAnchor1" xfId="1742" xr:uid="{00000000-0005-0000-0000-0000D5060000}"/>
    <cellStyle name="WebAnchor1 2" xfId="1743" xr:uid="{00000000-0005-0000-0000-0000D6060000}"/>
    <cellStyle name="WebAnchor2" xfId="1744" xr:uid="{00000000-0005-0000-0000-0000D7060000}"/>
    <cellStyle name="WebAnchor2 2" xfId="1745" xr:uid="{00000000-0005-0000-0000-0000D8060000}"/>
    <cellStyle name="WebAnchor3" xfId="1746" xr:uid="{00000000-0005-0000-0000-0000D9060000}"/>
    <cellStyle name="WebAnchor3 2" xfId="1747" xr:uid="{00000000-0005-0000-0000-0000DA060000}"/>
    <cellStyle name="WebAnchor4" xfId="1748" xr:uid="{00000000-0005-0000-0000-0000DB060000}"/>
    <cellStyle name="WebAnchor4 2" xfId="1749" xr:uid="{00000000-0005-0000-0000-0000DC060000}"/>
    <cellStyle name="WebAnchor5" xfId="1750" xr:uid="{00000000-0005-0000-0000-0000DD060000}"/>
    <cellStyle name="WebAnchor5 2" xfId="1751" xr:uid="{00000000-0005-0000-0000-0000DE060000}"/>
    <cellStyle name="WebAnchor6" xfId="1752" xr:uid="{00000000-0005-0000-0000-0000DF060000}"/>
    <cellStyle name="WebAnchor6 2" xfId="1753" xr:uid="{00000000-0005-0000-0000-0000E0060000}"/>
    <cellStyle name="WebAnchor7" xfId="1754" xr:uid="{00000000-0005-0000-0000-0000E1060000}"/>
    <cellStyle name="WebAnchor7 2" xfId="1755" xr:uid="{00000000-0005-0000-0000-0000E2060000}"/>
    <cellStyle name="WebBold" xfId="1756" xr:uid="{00000000-0005-0000-0000-0000E3060000}"/>
    <cellStyle name="WebDate" xfId="1757" xr:uid="{00000000-0005-0000-0000-0000E4060000}"/>
    <cellStyle name="Webexclude" xfId="1758" xr:uid="{00000000-0005-0000-0000-0000E5060000}"/>
    <cellStyle name="WebExclude 2" xfId="1759" xr:uid="{00000000-0005-0000-0000-0000E6060000}"/>
    <cellStyle name="WebFN" xfId="1760" xr:uid="{00000000-0005-0000-0000-0000E7060000}"/>
    <cellStyle name="WebFN 2" xfId="1761" xr:uid="{00000000-0005-0000-0000-0000E8060000}"/>
    <cellStyle name="WebFN1" xfId="1762" xr:uid="{00000000-0005-0000-0000-0000E9060000}"/>
    <cellStyle name="WebFN1 2" xfId="1763" xr:uid="{00000000-0005-0000-0000-0000EA060000}"/>
    <cellStyle name="WebFN2" xfId="1764" xr:uid="{00000000-0005-0000-0000-0000EB060000}"/>
    <cellStyle name="WebFN2 2" xfId="1765" xr:uid="{00000000-0005-0000-0000-0000EC060000}"/>
    <cellStyle name="WebFN3" xfId="1766" xr:uid="{00000000-0005-0000-0000-0000ED060000}"/>
    <cellStyle name="WebFN3 2" xfId="1767" xr:uid="{00000000-0005-0000-0000-0000EE060000}"/>
    <cellStyle name="WebFN4" xfId="1768" xr:uid="{00000000-0005-0000-0000-0000EF060000}"/>
    <cellStyle name="WebFN4 2" xfId="1769" xr:uid="{00000000-0005-0000-0000-0000F0060000}"/>
    <cellStyle name="WebHR" xfId="1770" xr:uid="{00000000-0005-0000-0000-0000F1060000}"/>
    <cellStyle name="WebHR 2" xfId="1771" xr:uid="{00000000-0005-0000-0000-0000F2060000}"/>
    <cellStyle name="WebHR 2 2" xfId="1793" xr:uid="{00000000-0005-0000-0000-0000F3060000}"/>
    <cellStyle name="WebIndent1" xfId="1772" xr:uid="{00000000-0005-0000-0000-0000F4060000}"/>
    <cellStyle name="WebIndent1 2" xfId="1773" xr:uid="{00000000-0005-0000-0000-0000F5060000}"/>
    <cellStyle name="WebIndent1wFN3" xfId="1774" xr:uid="{00000000-0005-0000-0000-0000F6060000}"/>
    <cellStyle name="WebIndent1wFN3 2" xfId="1775" xr:uid="{00000000-0005-0000-0000-0000F7060000}"/>
    <cellStyle name="WebIndent2" xfId="1776" xr:uid="{00000000-0005-0000-0000-0000F8060000}"/>
    <cellStyle name="WebIndent2 2" xfId="1777" xr:uid="{00000000-0005-0000-0000-0000F9060000}"/>
    <cellStyle name="WebNoBR" xfId="1778" xr:uid="{00000000-0005-0000-0000-0000FA060000}"/>
    <cellStyle name="zero" xfId="1779" xr:uid="{00000000-0005-0000-0000-0000FB060000}"/>
    <cellStyle name="ДАТА" xfId="1780" xr:uid="{00000000-0005-0000-0000-0000FC060000}"/>
    <cellStyle name="Денежный [0]_BARNARD" xfId="1781" xr:uid="{00000000-0005-0000-0000-0000FD060000}"/>
    <cellStyle name="Денежный_BARNARD" xfId="1782" xr:uid="{00000000-0005-0000-0000-0000FE060000}"/>
    <cellStyle name="ЗАГОЛОВОК1" xfId="1783" xr:uid="{00000000-0005-0000-0000-0000FF060000}"/>
    <cellStyle name="ЗАГОЛОВОК2" xfId="1784" xr:uid="{00000000-0005-0000-0000-000000070000}"/>
    <cellStyle name="ИТОГОВЫЙ" xfId="1785" xr:uid="{00000000-0005-0000-0000-000001070000}"/>
    <cellStyle name="Обычный_1-Б (6)_1" xfId="1786" xr:uid="{00000000-0005-0000-0000-000002070000}"/>
    <cellStyle name="ПРОЦЕНТНЫЙ_BOPENGC" xfId="1787" xr:uid="{00000000-0005-0000-0000-000003070000}"/>
    <cellStyle name="ТЕКСТ" xfId="1788" xr:uid="{00000000-0005-0000-0000-000004070000}"/>
    <cellStyle name="ФИКСИРОВАННЫЙ" xfId="1789" xr:uid="{00000000-0005-0000-0000-000005070000}"/>
    <cellStyle name="Финансовый [0]_BARNARD" xfId="1790" xr:uid="{00000000-0005-0000-0000-000006070000}"/>
    <cellStyle name="Финансовый_BARNARD" xfId="1791" xr:uid="{00000000-0005-0000-0000-000007070000}"/>
  </cellStyles>
  <dxfs count="1">
    <dxf>
      <fill>
        <patternFill patternType="solid">
          <fgColor rgb="FFB6DDE8"/>
          <bgColor rgb="FF000000"/>
        </patternFill>
      </fill>
    </dxf>
  </dxfs>
  <tableStyles count="0" defaultTableStyle="TableStyleMedium9" defaultPivotStyle="PivotStyleLight16"/>
  <colors>
    <mruColors>
      <color rgb="FFFFBDFF"/>
      <color rgb="FF0000FF"/>
      <color rgb="FFFFC1EF"/>
      <color rgb="FF99CCFF"/>
      <color rgb="FF16AA59"/>
      <color rgb="FFCC00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5.xml"/><Relationship Id="rId68" Type="http://schemas.openxmlformats.org/officeDocument/2006/relationships/externalLink" Target="externalLinks/externalLink20.xml"/><Relationship Id="rId84" Type="http://schemas.openxmlformats.org/officeDocument/2006/relationships/externalLink" Target="externalLinks/externalLink36.xml"/><Relationship Id="rId89" Type="http://schemas.openxmlformats.org/officeDocument/2006/relationships/externalLink" Target="externalLinks/externalLink41.xml"/><Relationship Id="rId112" Type="http://schemas.openxmlformats.org/officeDocument/2006/relationships/externalLink" Target="externalLinks/externalLink64.xml"/><Relationship Id="rId16" Type="http://schemas.openxmlformats.org/officeDocument/2006/relationships/worksheet" Target="worksheets/sheet16.xml"/><Relationship Id="rId107" Type="http://schemas.openxmlformats.org/officeDocument/2006/relationships/externalLink" Target="externalLinks/externalLink5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5.xml"/><Relationship Id="rId58" Type="http://schemas.openxmlformats.org/officeDocument/2006/relationships/externalLink" Target="externalLinks/externalLink10.xml"/><Relationship Id="rId74" Type="http://schemas.openxmlformats.org/officeDocument/2006/relationships/externalLink" Target="externalLinks/externalLink26.xml"/><Relationship Id="rId79" Type="http://schemas.openxmlformats.org/officeDocument/2006/relationships/externalLink" Target="externalLinks/externalLink31.xml"/><Relationship Id="rId102" Type="http://schemas.openxmlformats.org/officeDocument/2006/relationships/externalLink" Target="externalLinks/externalLink54.xml"/><Relationship Id="rId5" Type="http://schemas.openxmlformats.org/officeDocument/2006/relationships/worksheet" Target="worksheets/sheet5.xml"/><Relationship Id="rId90" Type="http://schemas.openxmlformats.org/officeDocument/2006/relationships/externalLink" Target="externalLinks/externalLink42.xml"/><Relationship Id="rId95" Type="http://schemas.openxmlformats.org/officeDocument/2006/relationships/externalLink" Target="externalLinks/externalLink4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6.xml"/><Relationship Id="rId69" Type="http://schemas.openxmlformats.org/officeDocument/2006/relationships/externalLink" Target="externalLinks/externalLink21.xml"/><Relationship Id="rId113" Type="http://schemas.openxmlformats.org/officeDocument/2006/relationships/theme" Target="theme/theme1.xml"/><Relationship Id="rId80" Type="http://schemas.openxmlformats.org/officeDocument/2006/relationships/externalLink" Target="externalLinks/externalLink32.xml"/><Relationship Id="rId85" Type="http://schemas.openxmlformats.org/officeDocument/2006/relationships/externalLink" Target="externalLinks/externalLink3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1.xml"/><Relationship Id="rId103" Type="http://schemas.openxmlformats.org/officeDocument/2006/relationships/externalLink" Target="externalLinks/externalLink55.xml"/><Relationship Id="rId108" Type="http://schemas.openxmlformats.org/officeDocument/2006/relationships/externalLink" Target="externalLinks/externalLink60.xml"/><Relationship Id="rId54" Type="http://schemas.openxmlformats.org/officeDocument/2006/relationships/externalLink" Target="externalLinks/externalLink6.xml"/><Relationship Id="rId70" Type="http://schemas.openxmlformats.org/officeDocument/2006/relationships/externalLink" Target="externalLinks/externalLink22.xml"/><Relationship Id="rId75" Type="http://schemas.openxmlformats.org/officeDocument/2006/relationships/externalLink" Target="externalLinks/externalLink27.xml"/><Relationship Id="rId91" Type="http://schemas.openxmlformats.org/officeDocument/2006/relationships/externalLink" Target="externalLinks/externalLink43.xml"/><Relationship Id="rId96" Type="http://schemas.openxmlformats.org/officeDocument/2006/relationships/externalLink" Target="externalLinks/externalLink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externalLink" Target="externalLinks/externalLink9.xml"/><Relationship Id="rId106" Type="http://schemas.openxmlformats.org/officeDocument/2006/relationships/externalLink" Target="externalLinks/externalLink58.xml"/><Relationship Id="rId114"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openxmlformats.org/officeDocument/2006/relationships/externalLink" Target="externalLinks/externalLink12.xml"/><Relationship Id="rId65" Type="http://schemas.openxmlformats.org/officeDocument/2006/relationships/externalLink" Target="externalLinks/externalLink17.xml"/><Relationship Id="rId73" Type="http://schemas.openxmlformats.org/officeDocument/2006/relationships/externalLink" Target="externalLinks/externalLink25.xml"/><Relationship Id="rId78" Type="http://schemas.openxmlformats.org/officeDocument/2006/relationships/externalLink" Target="externalLinks/externalLink30.xml"/><Relationship Id="rId81" Type="http://schemas.openxmlformats.org/officeDocument/2006/relationships/externalLink" Target="externalLinks/externalLink33.xml"/><Relationship Id="rId86" Type="http://schemas.openxmlformats.org/officeDocument/2006/relationships/externalLink" Target="externalLinks/externalLink38.xml"/><Relationship Id="rId94" Type="http://schemas.openxmlformats.org/officeDocument/2006/relationships/externalLink" Target="externalLinks/externalLink46.xml"/><Relationship Id="rId99" Type="http://schemas.openxmlformats.org/officeDocument/2006/relationships/externalLink" Target="externalLinks/externalLink51.xml"/><Relationship Id="rId101" Type="http://schemas.openxmlformats.org/officeDocument/2006/relationships/externalLink" Target="externalLinks/externalLink5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1.xml"/><Relationship Id="rId34" Type="http://schemas.openxmlformats.org/officeDocument/2006/relationships/worksheet" Target="worksheets/sheet34.xml"/><Relationship Id="rId50" Type="http://schemas.openxmlformats.org/officeDocument/2006/relationships/externalLink" Target="externalLinks/externalLink2.xml"/><Relationship Id="rId55" Type="http://schemas.openxmlformats.org/officeDocument/2006/relationships/externalLink" Target="externalLinks/externalLink7.xml"/><Relationship Id="rId76" Type="http://schemas.openxmlformats.org/officeDocument/2006/relationships/externalLink" Target="externalLinks/externalLink28.xml"/><Relationship Id="rId97" Type="http://schemas.openxmlformats.org/officeDocument/2006/relationships/externalLink" Target="externalLinks/externalLink49.xml"/><Relationship Id="rId104" Type="http://schemas.openxmlformats.org/officeDocument/2006/relationships/externalLink" Target="externalLinks/externalLink56.xml"/><Relationship Id="rId7" Type="http://schemas.openxmlformats.org/officeDocument/2006/relationships/worksheet" Target="worksheets/sheet7.xml"/><Relationship Id="rId71" Type="http://schemas.openxmlformats.org/officeDocument/2006/relationships/externalLink" Target="externalLinks/externalLink23.xml"/><Relationship Id="rId92" Type="http://schemas.openxmlformats.org/officeDocument/2006/relationships/externalLink" Target="externalLinks/externalLink4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8.xml"/><Relationship Id="rId87" Type="http://schemas.openxmlformats.org/officeDocument/2006/relationships/externalLink" Target="externalLinks/externalLink39.xml"/><Relationship Id="rId110" Type="http://schemas.openxmlformats.org/officeDocument/2006/relationships/externalLink" Target="externalLinks/externalLink62.xml"/><Relationship Id="rId115" Type="http://schemas.openxmlformats.org/officeDocument/2006/relationships/sharedStrings" Target="sharedStrings.xml"/><Relationship Id="rId61" Type="http://schemas.openxmlformats.org/officeDocument/2006/relationships/externalLink" Target="externalLinks/externalLink13.xml"/><Relationship Id="rId82" Type="http://schemas.openxmlformats.org/officeDocument/2006/relationships/externalLink" Target="externalLinks/externalLink3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8.xml"/><Relationship Id="rId77" Type="http://schemas.openxmlformats.org/officeDocument/2006/relationships/externalLink" Target="externalLinks/externalLink29.xml"/><Relationship Id="rId100" Type="http://schemas.openxmlformats.org/officeDocument/2006/relationships/externalLink" Target="externalLinks/externalLink52.xml"/><Relationship Id="rId105"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xml"/><Relationship Id="rId72" Type="http://schemas.openxmlformats.org/officeDocument/2006/relationships/externalLink" Target="externalLinks/externalLink24.xml"/><Relationship Id="rId93" Type="http://schemas.openxmlformats.org/officeDocument/2006/relationships/externalLink" Target="externalLinks/externalLink45.xml"/><Relationship Id="rId98" Type="http://schemas.openxmlformats.org/officeDocument/2006/relationships/externalLink" Target="externalLinks/externalLink5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9.xml"/><Relationship Id="rId11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4.xml"/><Relationship Id="rId83" Type="http://schemas.openxmlformats.org/officeDocument/2006/relationships/externalLink" Target="externalLinks/externalLink35.xml"/><Relationship Id="rId88" Type="http://schemas.openxmlformats.org/officeDocument/2006/relationships/externalLink" Target="externalLinks/externalLink40.xml"/><Relationship Id="rId111" Type="http://schemas.openxmlformats.org/officeDocument/2006/relationships/externalLink" Target="externalLinks/externalLink6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1.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4.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6.xml.rels><?xml version="1.0" encoding="UTF-8" standalone="yes"?>
<Relationships xmlns="http://schemas.openxmlformats.org/package/2006/relationships"><Relationship Id="rId2" Type="http://schemas.openxmlformats.org/officeDocument/2006/relationships/chartUserShapes" Target="../drawings/drawing37.xml"/><Relationship Id="rId1" Type="http://schemas.openxmlformats.org/officeDocument/2006/relationships/themeOverride" Target="../theme/themeOverride5.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16885389326336"/>
          <c:y val="0.19481364829396325"/>
          <c:w val="0.69610892388451462"/>
          <c:h val="0.65546154188353578"/>
        </c:manualLayout>
      </c:layout>
      <c:lineChart>
        <c:grouping val="standard"/>
        <c:varyColors val="0"/>
        <c:ser>
          <c:idx val="0"/>
          <c:order val="0"/>
          <c:tx>
            <c:v>LRY</c:v>
          </c:tx>
          <c:marker>
            <c:symbol val="none"/>
          </c:marker>
          <c:cat>
            <c:numRef>
              <c:f>LRY!$B$26:$B$68</c:f>
              <c:numCache>
                <c:formatCode>General</c:formatCode>
                <c:ptCount val="4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numCache>
            </c:numRef>
          </c:cat>
          <c:val>
            <c:numRef>
              <c:f>LRY!$D$26:$D$68</c:f>
              <c:numCache>
                <c:formatCode>0.00</c:formatCode>
                <c:ptCount val="43"/>
                <c:pt idx="0">
                  <c:v>7.656137759605782</c:v>
                </c:pt>
                <c:pt idx="1">
                  <c:v>7.7217242198169602</c:v>
                </c:pt>
                <c:pt idx="2">
                  <c:v>7.8003324698089189</c:v>
                </c:pt>
                <c:pt idx="3">
                  <c:v>7.8745946481955906</c:v>
                </c:pt>
                <c:pt idx="4">
                  <c:v>7.9285609168870526</c:v>
                </c:pt>
                <c:pt idx="5">
                  <c:v>7.9493441519917516</c:v>
                </c:pt>
                <c:pt idx="6">
                  <c:v>8.0030513925478957</c:v>
                </c:pt>
                <c:pt idx="7">
                  <c:v>8.0883523230968901</c:v>
                </c:pt>
                <c:pt idx="8">
                  <c:v>8.1491433953011665</c:v>
                </c:pt>
                <c:pt idx="9">
                  <c:v>8.197374505145115</c:v>
                </c:pt>
                <c:pt idx="10">
                  <c:v>8.2048651760317064</c:v>
                </c:pt>
                <c:pt idx="11">
                  <c:v>8.1819663060231811</c:v>
                </c:pt>
                <c:pt idx="12">
                  <c:v>8.1063113605179229</c:v>
                </c:pt>
                <c:pt idx="13">
                  <c:v>8.147032087507311</c:v>
                </c:pt>
                <c:pt idx="14">
                  <c:v>8.2242566734457121</c:v>
                </c:pt>
                <c:pt idx="15">
                  <c:v>8.2314467798302946</c:v>
                </c:pt>
                <c:pt idx="16">
                  <c:v>8.2853310975735255</c:v>
                </c:pt>
                <c:pt idx="17">
                  <c:v>8.3318762032739215</c:v>
                </c:pt>
                <c:pt idx="18">
                  <c:v>8.3656218342078823</c:v>
                </c:pt>
                <c:pt idx="19">
                  <c:v>8.4207345927513355</c:v>
                </c:pt>
                <c:pt idx="20">
                  <c:v>8.4561017365001856</c:v>
                </c:pt>
                <c:pt idx="21">
                  <c:v>8.4784801381818511</c:v>
                </c:pt>
                <c:pt idx="22">
                  <c:v>8.5660515079299131</c:v>
                </c:pt>
                <c:pt idx="23">
                  <c:v>8.6375689320841307</c:v>
                </c:pt>
                <c:pt idx="24">
                  <c:v>8.6837804992483552</c:v>
                </c:pt>
                <c:pt idx="25">
                  <c:v>8.7222401871826705</c:v>
                </c:pt>
                <c:pt idx="26">
                  <c:v>8.7310670460988469</c:v>
                </c:pt>
                <c:pt idx="27">
                  <c:v>8.785348647898207</c:v>
                </c:pt>
                <c:pt idx="28">
                  <c:v>8.865986682097498</c:v>
                </c:pt>
                <c:pt idx="29">
                  <c:v>8.9450029224912715</c:v>
                </c:pt>
                <c:pt idx="30">
                  <c:v>8.9628397531981641</c:v>
                </c:pt>
                <c:pt idx="31">
                  <c:v>8.9735462596217737</c:v>
                </c:pt>
                <c:pt idx="32">
                  <c:v>9.0021549199040258</c:v>
                </c:pt>
                <c:pt idx="33">
                  <c:v>9.0642326983496293</c:v>
                </c:pt>
                <c:pt idx="34">
                  <c:v>9.1059450828928288</c:v>
                </c:pt>
                <c:pt idx="35">
                  <c:v>9.1119199627489103</c:v>
                </c:pt>
                <c:pt idx="36">
                  <c:v>9.1966574903492369</c:v>
                </c:pt>
                <c:pt idx="37">
                  <c:v>9.2598928950000534</c:v>
                </c:pt>
                <c:pt idx="38">
                  <c:v>9.2836210321445574</c:v>
                </c:pt>
                <c:pt idx="39">
                  <c:v>9.2671814376331891</c:v>
                </c:pt>
                <c:pt idx="40">
                  <c:v>9.3146325696855481</c:v>
                </c:pt>
                <c:pt idx="41">
                  <c:v>9.3696451304058979</c:v>
                </c:pt>
                <c:pt idx="42">
                  <c:v>9.3988815227671783</c:v>
                </c:pt>
              </c:numCache>
            </c:numRef>
          </c:val>
          <c:smooth val="0"/>
          <c:extLst>
            <c:ext xmlns:c16="http://schemas.microsoft.com/office/drawing/2014/chart" uri="{C3380CC4-5D6E-409C-BE32-E72D297353CC}">
              <c16:uniqueId val="{00000000-CAFA-4DF7-A9B9-C1826D8DFA2F}"/>
            </c:ext>
          </c:extLst>
        </c:ser>
        <c:ser>
          <c:idx val="1"/>
          <c:order val="1"/>
          <c:tx>
            <c:strRef>
              <c:f>LRY!$F$25</c:f>
              <c:strCache>
                <c:ptCount val="1"/>
                <c:pt idx="0">
                  <c:v>Ajustado</c:v>
                </c:pt>
              </c:strCache>
            </c:strRef>
          </c:tx>
          <c:marker>
            <c:symbol val="none"/>
          </c:marker>
          <c:val>
            <c:numRef>
              <c:f>LRY!$F$26:$F$68</c:f>
              <c:numCache>
                <c:formatCode>0.00</c:formatCode>
                <c:ptCount val="43"/>
                <c:pt idx="0">
                  <c:v>7.7146406408698081</c:v>
                </c:pt>
                <c:pt idx="1">
                  <c:v>7.7548635527087582</c:v>
                </c:pt>
                <c:pt idx="2">
                  <c:v>7.7950864645477091</c:v>
                </c:pt>
                <c:pt idx="3">
                  <c:v>7.8353093763866593</c:v>
                </c:pt>
                <c:pt idx="4">
                  <c:v>7.8755322882256094</c:v>
                </c:pt>
                <c:pt idx="5">
                  <c:v>7.9157552000645595</c:v>
                </c:pt>
                <c:pt idx="6">
                  <c:v>7.9559781119035105</c:v>
                </c:pt>
                <c:pt idx="7">
                  <c:v>7.9962010237424606</c:v>
                </c:pt>
                <c:pt idx="8">
                  <c:v>8.0364239355814107</c:v>
                </c:pt>
                <c:pt idx="9">
                  <c:v>8.0766468474203617</c:v>
                </c:pt>
                <c:pt idx="10">
                  <c:v>8.1168697592593109</c:v>
                </c:pt>
                <c:pt idx="11">
                  <c:v>8.1570926710982619</c:v>
                </c:pt>
                <c:pt idx="12">
                  <c:v>8.1973155829372111</c:v>
                </c:pt>
                <c:pt idx="13">
                  <c:v>8.2375384947761621</c:v>
                </c:pt>
                <c:pt idx="14">
                  <c:v>8.2777614066151131</c:v>
                </c:pt>
                <c:pt idx="15">
                  <c:v>8.3179843184540623</c:v>
                </c:pt>
                <c:pt idx="16">
                  <c:v>8.3582072302930133</c:v>
                </c:pt>
                <c:pt idx="17">
                  <c:v>8.3984301421319643</c:v>
                </c:pt>
                <c:pt idx="18">
                  <c:v>8.4386530539709135</c:v>
                </c:pt>
                <c:pt idx="19">
                  <c:v>8.4788759658098645</c:v>
                </c:pt>
                <c:pt idx="20">
                  <c:v>8.5190988776488137</c:v>
                </c:pt>
                <c:pt idx="21">
                  <c:v>8.5593217894877647</c:v>
                </c:pt>
                <c:pt idx="22">
                  <c:v>8.5995447013267157</c:v>
                </c:pt>
                <c:pt idx="23">
                  <c:v>8.6397676131656649</c:v>
                </c:pt>
                <c:pt idx="24">
                  <c:v>8.6799905250046159</c:v>
                </c:pt>
                <c:pt idx="25">
                  <c:v>8.7202134368435651</c:v>
                </c:pt>
                <c:pt idx="26">
                  <c:v>8.7604363486825161</c:v>
                </c:pt>
                <c:pt idx="27">
                  <c:v>8.8006592605214671</c:v>
                </c:pt>
                <c:pt idx="28">
                  <c:v>8.8408821723604163</c:v>
                </c:pt>
                <c:pt idx="29">
                  <c:v>8.8811050841993673</c:v>
                </c:pt>
                <c:pt idx="30">
                  <c:v>8.9213279960383183</c:v>
                </c:pt>
                <c:pt idx="31">
                  <c:v>8.9615509078772675</c:v>
                </c:pt>
                <c:pt idx="32">
                  <c:v>9.0017738197162185</c:v>
                </c:pt>
                <c:pt idx="33">
                  <c:v>9.0419967315551695</c:v>
                </c:pt>
                <c:pt idx="34">
                  <c:v>9.0822196433941187</c:v>
                </c:pt>
                <c:pt idx="35">
                  <c:v>9.1224425552330697</c:v>
                </c:pt>
                <c:pt idx="36">
                  <c:v>9.1626654670720189</c:v>
                </c:pt>
                <c:pt idx="37">
                  <c:v>9.2028883789109699</c:v>
                </c:pt>
                <c:pt idx="38">
                  <c:v>9.2431112907499209</c:v>
                </c:pt>
                <c:pt idx="39">
                  <c:v>9.2833342025888701</c:v>
                </c:pt>
                <c:pt idx="40">
                  <c:v>9.3235571144278211</c:v>
                </c:pt>
                <c:pt idx="41">
                  <c:v>9.3637800262667703</c:v>
                </c:pt>
                <c:pt idx="42">
                  <c:v>9.4040029381057213</c:v>
                </c:pt>
              </c:numCache>
            </c:numRef>
          </c:val>
          <c:smooth val="0"/>
          <c:extLst>
            <c:ext xmlns:c16="http://schemas.microsoft.com/office/drawing/2014/chart" uri="{C3380CC4-5D6E-409C-BE32-E72D297353CC}">
              <c16:uniqueId val="{00000001-CAFA-4DF7-A9B9-C1826D8DFA2F}"/>
            </c:ext>
          </c:extLst>
        </c:ser>
        <c:dLbls>
          <c:showLegendKey val="0"/>
          <c:showVal val="0"/>
          <c:showCatName val="0"/>
          <c:showSerName val="0"/>
          <c:showPercent val="0"/>
          <c:showBubbleSize val="0"/>
        </c:dLbls>
        <c:smooth val="0"/>
        <c:axId val="333395840"/>
        <c:axId val="333397376"/>
      </c:lineChart>
      <c:catAx>
        <c:axId val="333395840"/>
        <c:scaling>
          <c:orientation val="minMax"/>
        </c:scaling>
        <c:delete val="0"/>
        <c:axPos val="b"/>
        <c:numFmt formatCode="General" sourceLinked="1"/>
        <c:majorTickMark val="out"/>
        <c:minorTickMark val="none"/>
        <c:tickLblPos val="nextTo"/>
        <c:crossAx val="333397376"/>
        <c:crosses val="autoZero"/>
        <c:auto val="1"/>
        <c:lblAlgn val="ctr"/>
        <c:lblOffset val="100"/>
        <c:noMultiLvlLbl val="0"/>
      </c:catAx>
      <c:valAx>
        <c:axId val="333397376"/>
        <c:scaling>
          <c:orientation val="minMax"/>
          <c:min val="6"/>
        </c:scaling>
        <c:delete val="0"/>
        <c:axPos val="l"/>
        <c:majorGridlines/>
        <c:numFmt formatCode="0.00" sourceLinked="1"/>
        <c:majorTickMark val="out"/>
        <c:minorTickMark val="none"/>
        <c:tickLblPos val="nextTo"/>
        <c:crossAx val="333395840"/>
        <c:crosses val="autoZero"/>
        <c:crossBetween val="between"/>
      </c:valAx>
    </c:plotArea>
    <c:legend>
      <c:legendPos val="r"/>
      <c:layout>
        <c:manualLayout>
          <c:xMode val="edge"/>
          <c:yMode val="edge"/>
          <c:x val="0.42550000000000032"/>
          <c:y val="0.51318439432359164"/>
          <c:w val="0.14950000000000024"/>
          <c:h val="0.16346136393967703"/>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v>residuals</c:v>
          </c:tx>
          <c:marker>
            <c:symbol val="none"/>
          </c:marker>
          <c:cat>
            <c:numRef>
              <c:f>LRY!$B$26:$B$68</c:f>
              <c:numCache>
                <c:formatCode>General</c:formatCode>
                <c:ptCount val="4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numCache>
            </c:numRef>
          </c:cat>
          <c:val>
            <c:numRef>
              <c:f>LRY!$I$26:$I$68</c:f>
              <c:numCache>
                <c:formatCode>0.00</c:formatCode>
                <c:ptCount val="43"/>
                <c:pt idx="0">
                  <c:v>-5.850288126402603E-2</c:v>
                </c:pt>
                <c:pt idx="1">
                  <c:v>-3.3139332891797935E-2</c:v>
                </c:pt>
                <c:pt idx="2">
                  <c:v>5.2460052612097741E-3</c:v>
                </c:pt>
                <c:pt idx="3">
                  <c:v>3.9285271808931377E-2</c:v>
                </c:pt>
                <c:pt idx="4">
                  <c:v>5.30286286614432E-2</c:v>
                </c:pt>
                <c:pt idx="5">
                  <c:v>3.3588951927192134E-2</c:v>
                </c:pt>
                <c:pt idx="6">
                  <c:v>4.7073280644385207E-2</c:v>
                </c:pt>
                <c:pt idx="7">
                  <c:v>9.2151299354429561E-2</c:v>
                </c:pt>
                <c:pt idx="8">
                  <c:v>0.11271945971975583</c:v>
                </c:pt>
                <c:pt idx="9">
                  <c:v>0.12072765772475336</c:v>
                </c:pt>
                <c:pt idx="10">
                  <c:v>8.7995416772395529E-2</c:v>
                </c:pt>
                <c:pt idx="11">
                  <c:v>2.487363492491923E-2</c:v>
                </c:pt>
                <c:pt idx="12">
                  <c:v>-9.1004222419288183E-2</c:v>
                </c:pt>
                <c:pt idx="13">
                  <c:v>-9.0506407268851063E-2</c:v>
                </c:pt>
                <c:pt idx="14">
                  <c:v>-5.3504733169400964E-2</c:v>
                </c:pt>
                <c:pt idx="15">
                  <c:v>-8.6537538623767674E-2</c:v>
                </c:pt>
                <c:pt idx="16">
                  <c:v>-7.2876132719487785E-2</c:v>
                </c:pt>
                <c:pt idx="17">
                  <c:v>-6.6553938858042727E-2</c:v>
                </c:pt>
                <c:pt idx="18">
                  <c:v>-7.3031219763031174E-2</c:v>
                </c:pt>
                <c:pt idx="19">
                  <c:v>-5.8141373058528956E-2</c:v>
                </c:pt>
                <c:pt idx="20">
                  <c:v>-6.2997141148628089E-2</c:v>
                </c:pt>
                <c:pt idx="21">
                  <c:v>-8.0841651305913587E-2</c:v>
                </c:pt>
                <c:pt idx="22">
                  <c:v>-3.3493193396802567E-2</c:v>
                </c:pt>
                <c:pt idx="23">
                  <c:v>-2.1986810815342039E-3</c:v>
                </c:pt>
                <c:pt idx="24">
                  <c:v>3.7899742437392803E-3</c:v>
                </c:pt>
                <c:pt idx="25">
                  <c:v>2.0267503391053765E-3</c:v>
                </c:pt>
                <c:pt idx="26">
                  <c:v>-2.936930258366921E-2</c:v>
                </c:pt>
                <c:pt idx="27">
                  <c:v>-1.5310612623260056E-2</c:v>
                </c:pt>
                <c:pt idx="28">
                  <c:v>2.5104509737081671E-2</c:v>
                </c:pt>
                <c:pt idx="29">
                  <c:v>6.3897838291904208E-2</c:v>
                </c:pt>
                <c:pt idx="30">
                  <c:v>4.1511757159845786E-2</c:v>
                </c:pt>
                <c:pt idx="31">
                  <c:v>1.1995351744506166E-2</c:v>
                </c:pt>
                <c:pt idx="32">
                  <c:v>3.8110018780734833E-4</c:v>
                </c:pt>
                <c:pt idx="33">
                  <c:v>2.2235966794459827E-2</c:v>
                </c:pt>
                <c:pt idx="34">
                  <c:v>2.3725439498710088E-2</c:v>
                </c:pt>
                <c:pt idx="35">
                  <c:v>-1.0522592484159432E-2</c:v>
                </c:pt>
                <c:pt idx="36">
                  <c:v>3.3992023277217953E-2</c:v>
                </c:pt>
                <c:pt idx="37">
                  <c:v>5.7004516089083523E-2</c:v>
                </c:pt>
                <c:pt idx="38">
                  <c:v>4.0509741394636478E-2</c:v>
                </c:pt>
                <c:pt idx="39">
                  <c:v>-1.6152764955680965E-2</c:v>
                </c:pt>
                <c:pt idx="40">
                  <c:v>-8.9245447422729995E-3</c:v>
                </c:pt>
                <c:pt idx="41">
                  <c:v>5.8651041391275527E-3</c:v>
                </c:pt>
                <c:pt idx="42">
                  <c:v>-5.121415338543045E-3</c:v>
                </c:pt>
              </c:numCache>
            </c:numRef>
          </c:val>
          <c:smooth val="0"/>
          <c:extLst>
            <c:ext xmlns:c16="http://schemas.microsoft.com/office/drawing/2014/chart" uri="{C3380CC4-5D6E-409C-BE32-E72D297353CC}">
              <c16:uniqueId val="{00000000-B7A6-42C2-B3BA-1FCA206FBB37}"/>
            </c:ext>
          </c:extLst>
        </c:ser>
        <c:dLbls>
          <c:showLegendKey val="0"/>
          <c:showVal val="0"/>
          <c:showCatName val="0"/>
          <c:showSerName val="0"/>
          <c:showPercent val="0"/>
          <c:showBubbleSize val="0"/>
        </c:dLbls>
        <c:smooth val="0"/>
        <c:axId val="333422592"/>
        <c:axId val="333424128"/>
      </c:lineChart>
      <c:catAx>
        <c:axId val="333422592"/>
        <c:scaling>
          <c:orientation val="minMax"/>
        </c:scaling>
        <c:delete val="0"/>
        <c:axPos val="b"/>
        <c:numFmt formatCode="General" sourceLinked="1"/>
        <c:majorTickMark val="out"/>
        <c:minorTickMark val="none"/>
        <c:tickLblPos val="nextTo"/>
        <c:crossAx val="333424128"/>
        <c:crosses val="autoZero"/>
        <c:auto val="1"/>
        <c:lblAlgn val="ctr"/>
        <c:lblOffset val="100"/>
        <c:noMultiLvlLbl val="0"/>
      </c:catAx>
      <c:valAx>
        <c:axId val="333424128"/>
        <c:scaling>
          <c:orientation val="minMax"/>
        </c:scaling>
        <c:delete val="0"/>
        <c:axPos val="l"/>
        <c:majorGridlines/>
        <c:numFmt formatCode="0.00" sourceLinked="1"/>
        <c:majorTickMark val="out"/>
        <c:minorTickMark val="none"/>
        <c:tickLblPos val="nextTo"/>
        <c:crossAx val="333422592"/>
        <c:crosses val="autoZero"/>
        <c:crossBetween val="between"/>
      </c:valAx>
    </c:plotArea>
    <c:legend>
      <c:legendPos val="r"/>
      <c:layout>
        <c:manualLayout>
          <c:xMode val="edge"/>
          <c:yMode val="edge"/>
          <c:x val="0.38804155730533685"/>
          <c:y val="0.21277085156023176"/>
          <c:w val="0.25344594022521377"/>
          <c:h val="8.3717191601050026E-2"/>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Indicadores del servicio de la deuda, en porcentaje</a:t>
            </a:r>
          </a:p>
        </c:rich>
      </c:tx>
      <c:overlay val="0"/>
    </c:title>
    <c:autoTitleDeleted val="0"/>
    <c:plotArea>
      <c:layout>
        <c:manualLayout>
          <c:layoutTarget val="inner"/>
          <c:xMode val="edge"/>
          <c:yMode val="edge"/>
          <c:x val="0.10671264776114595"/>
          <c:y val="0.11943097549396763"/>
          <c:w val="0.80350443036725649"/>
          <c:h val="0.67809779494820765"/>
        </c:manualLayout>
      </c:layout>
      <c:lineChart>
        <c:grouping val="standard"/>
        <c:varyColors val="0"/>
        <c:ser>
          <c:idx val="1"/>
          <c:order val="0"/>
          <c:tx>
            <c:strRef>
              <c:f>EX_Stock_Ind!$C$11</c:f>
              <c:strCache>
                <c:ptCount val="1"/>
                <c:pt idx="0">
                  <c:v>Servicio de la deuda/PIB</c:v>
                </c:pt>
              </c:strCache>
            </c:strRef>
          </c:tx>
          <c:marker>
            <c:symbol val="none"/>
          </c:marker>
          <c:cat>
            <c:numRef>
              <c:f>EX_Stock_Ind!$D$3:$J$3</c:f>
              <c:numCache>
                <c:formatCode>General</c:formatCode>
                <c:ptCount val="7"/>
                <c:pt idx="0">
                  <c:v>2006</c:v>
                </c:pt>
                <c:pt idx="1">
                  <c:v>2007</c:v>
                </c:pt>
                <c:pt idx="2">
                  <c:v>2008</c:v>
                </c:pt>
                <c:pt idx="3">
                  <c:v>2009</c:v>
                </c:pt>
                <c:pt idx="4">
                  <c:v>2010</c:v>
                </c:pt>
                <c:pt idx="5">
                  <c:v>2011</c:v>
                </c:pt>
                <c:pt idx="6">
                  <c:v>2012</c:v>
                </c:pt>
              </c:numCache>
            </c:numRef>
          </c:cat>
          <c:val>
            <c:numRef>
              <c:f>EX_Stock_Ind!$D$11:$J$11</c:f>
              <c:numCache>
                <c:formatCode>#,##0.0</c:formatCode>
                <c:ptCount val="7"/>
                <c:pt idx="0">
                  <c:v>4.0997339064422444</c:v>
                </c:pt>
                <c:pt idx="1">
                  <c:v>3.7677990222419271</c:v>
                </c:pt>
                <c:pt idx="2">
                  <c:v>4.9408899351857487</c:v>
                </c:pt>
                <c:pt idx="3">
                  <c:v>3.4521049680014153</c:v>
                </c:pt>
                <c:pt idx="4">
                  <c:v>2.8061562812371212</c:v>
                </c:pt>
                <c:pt idx="5">
                  <c:v>3.2960522440506361</c:v>
                </c:pt>
                <c:pt idx="6">
                  <c:v>3.2210736383296261</c:v>
                </c:pt>
              </c:numCache>
            </c:numRef>
          </c:val>
          <c:smooth val="0"/>
          <c:extLst>
            <c:ext xmlns:c16="http://schemas.microsoft.com/office/drawing/2014/chart" uri="{C3380CC4-5D6E-409C-BE32-E72D297353CC}">
              <c16:uniqueId val="{00000000-80BA-42DF-8683-30F28916699F}"/>
            </c:ext>
          </c:extLst>
        </c:ser>
        <c:ser>
          <c:idx val="2"/>
          <c:order val="1"/>
          <c:tx>
            <c:strRef>
              <c:f>EX_Stock_Ind!$C$12</c:f>
              <c:strCache>
                <c:ptCount val="1"/>
                <c:pt idx="0">
                  <c:v>Servicio de la deuda/exportaciones de bienes y servicios.</c:v>
                </c:pt>
              </c:strCache>
            </c:strRef>
          </c:tx>
          <c:marker>
            <c:symbol val="none"/>
          </c:marker>
          <c:val>
            <c:numRef>
              <c:f>EX_Stock_Ind!$D$12:$J$12</c:f>
              <c:numCache>
                <c:formatCode>#,##0.0</c:formatCode>
                <c:ptCount val="7"/>
                <c:pt idx="0">
                  <c:v>7.939462047508786</c:v>
                </c:pt>
                <c:pt idx="1">
                  <c:v>7.3526048677854323</c:v>
                </c:pt>
                <c:pt idx="2">
                  <c:v>10.145351059404371</c:v>
                </c:pt>
                <c:pt idx="3">
                  <c:v>7.6277849026709656</c:v>
                </c:pt>
                <c:pt idx="4">
                  <c:v>6.7995298277852045</c:v>
                </c:pt>
                <c:pt idx="5">
                  <c:v>8.2349725803131513</c:v>
                </c:pt>
                <c:pt idx="6">
                  <c:v>7.8484571125912481</c:v>
                </c:pt>
              </c:numCache>
            </c:numRef>
          </c:val>
          <c:smooth val="0"/>
          <c:extLst>
            <c:ext xmlns:c16="http://schemas.microsoft.com/office/drawing/2014/chart" uri="{C3380CC4-5D6E-409C-BE32-E72D297353CC}">
              <c16:uniqueId val="{00000001-80BA-42DF-8683-30F28916699F}"/>
            </c:ext>
          </c:extLst>
        </c:ser>
        <c:dLbls>
          <c:showLegendKey val="0"/>
          <c:showVal val="0"/>
          <c:showCatName val="0"/>
          <c:showSerName val="0"/>
          <c:showPercent val="0"/>
          <c:showBubbleSize val="0"/>
        </c:dLbls>
        <c:smooth val="0"/>
        <c:axId val="333754752"/>
        <c:axId val="333756288"/>
      </c:lineChart>
      <c:catAx>
        <c:axId val="333754752"/>
        <c:scaling>
          <c:orientation val="minMax"/>
        </c:scaling>
        <c:delete val="0"/>
        <c:axPos val="b"/>
        <c:numFmt formatCode="General" sourceLinked="1"/>
        <c:majorTickMark val="out"/>
        <c:minorTickMark val="none"/>
        <c:tickLblPos val="nextTo"/>
        <c:crossAx val="333756288"/>
        <c:crosses val="autoZero"/>
        <c:auto val="1"/>
        <c:lblAlgn val="ctr"/>
        <c:lblOffset val="100"/>
        <c:noMultiLvlLbl val="0"/>
      </c:catAx>
      <c:valAx>
        <c:axId val="333756288"/>
        <c:scaling>
          <c:orientation val="minMax"/>
        </c:scaling>
        <c:delete val="0"/>
        <c:axPos val="l"/>
        <c:numFmt formatCode="#,##0.0" sourceLinked="1"/>
        <c:majorTickMark val="out"/>
        <c:minorTickMark val="none"/>
        <c:tickLblPos val="nextTo"/>
        <c:crossAx val="333754752"/>
        <c:crosses val="autoZero"/>
        <c:crossBetween val="between"/>
      </c:valAx>
    </c:plotArea>
    <c:legend>
      <c:legendPos val="r"/>
      <c:layout>
        <c:manualLayout>
          <c:xMode val="edge"/>
          <c:yMode val="edge"/>
          <c:x val="1.2393385037396639E-2"/>
          <c:y val="0.84129040003056565"/>
          <c:w val="0.96807017543860063"/>
          <c:h val="0.15870959996944844"/>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Indicadores de la deuda, en porcentaje</a:t>
            </a:r>
          </a:p>
        </c:rich>
      </c:tx>
      <c:overlay val="0"/>
    </c:title>
    <c:autoTitleDeleted val="0"/>
    <c:plotArea>
      <c:layout>
        <c:manualLayout>
          <c:layoutTarget val="inner"/>
          <c:xMode val="edge"/>
          <c:yMode val="edge"/>
          <c:x val="0.10671264776114602"/>
          <c:y val="0.11943097549396763"/>
          <c:w val="0.80350443036725649"/>
          <c:h val="0.67809779494820765"/>
        </c:manualLayout>
      </c:layout>
      <c:lineChart>
        <c:grouping val="standard"/>
        <c:varyColors val="0"/>
        <c:ser>
          <c:idx val="0"/>
          <c:order val="0"/>
          <c:tx>
            <c:strRef>
              <c:f>EX_Stock_Ind!$C$9</c:f>
              <c:strCache>
                <c:ptCount val="1"/>
                <c:pt idx="0">
                  <c:v>Deuda/PIB</c:v>
                </c:pt>
              </c:strCache>
            </c:strRef>
          </c:tx>
          <c:marker>
            <c:symbol val="none"/>
          </c:marker>
          <c:val>
            <c:numRef>
              <c:f>EX_Stock_Ind!$D$9:$K$9</c:f>
              <c:numCache>
                <c:formatCode>#,##0.0</c:formatCode>
                <c:ptCount val="8"/>
                <c:pt idx="0">
                  <c:v>33.789524186737921</c:v>
                </c:pt>
                <c:pt idx="1">
                  <c:v>33.3591925007821</c:v>
                </c:pt>
                <c:pt idx="2">
                  <c:v>32.009727202658425</c:v>
                </c:pt>
                <c:pt idx="3">
                  <c:v>28.683676653703738</c:v>
                </c:pt>
                <c:pt idx="4">
                  <c:v>25.746397661817412</c:v>
                </c:pt>
                <c:pt idx="5">
                  <c:v>25.451046296042652</c:v>
                </c:pt>
                <c:pt idx="6">
                  <c:v>24.712618486507242</c:v>
                </c:pt>
                <c:pt idx="7">
                  <c:v>24.817903509445006</c:v>
                </c:pt>
              </c:numCache>
            </c:numRef>
          </c:val>
          <c:smooth val="0"/>
          <c:extLst>
            <c:ext xmlns:c16="http://schemas.microsoft.com/office/drawing/2014/chart" uri="{C3380CC4-5D6E-409C-BE32-E72D297353CC}">
              <c16:uniqueId val="{00000000-8E7A-454F-B589-5F9D799B4BB2}"/>
            </c:ext>
          </c:extLst>
        </c:ser>
        <c:ser>
          <c:idx val="3"/>
          <c:order val="1"/>
          <c:tx>
            <c:strRef>
              <c:f>EX_Stock_Ind!$C$10</c:f>
              <c:strCache>
                <c:ptCount val="1"/>
                <c:pt idx="0">
                  <c:v>Deuda/exportaciones de bienes y servicios.</c:v>
                </c:pt>
              </c:strCache>
            </c:strRef>
          </c:tx>
          <c:marker>
            <c:symbol val="none"/>
          </c:marker>
          <c:cat>
            <c:numRef>
              <c:f>EX_Stock_Ind!$D$3:$K$3</c:f>
              <c:numCache>
                <c:formatCode>General</c:formatCode>
                <c:ptCount val="8"/>
                <c:pt idx="0">
                  <c:v>2006</c:v>
                </c:pt>
                <c:pt idx="1">
                  <c:v>2007</c:v>
                </c:pt>
                <c:pt idx="2">
                  <c:v>2008</c:v>
                </c:pt>
                <c:pt idx="3">
                  <c:v>2009</c:v>
                </c:pt>
                <c:pt idx="4">
                  <c:v>2010</c:v>
                </c:pt>
                <c:pt idx="5">
                  <c:v>2011</c:v>
                </c:pt>
                <c:pt idx="6">
                  <c:v>2012</c:v>
                </c:pt>
                <c:pt idx="7">
                  <c:v>2013</c:v>
                </c:pt>
              </c:numCache>
            </c:numRef>
          </c:cat>
          <c:val>
            <c:numRef>
              <c:f>EX_Stock_Ind!$D$10:$K$10</c:f>
              <c:numCache>
                <c:formatCode>#,##0.0</c:formatCode>
                <c:ptCount val="8"/>
                <c:pt idx="0">
                  <c:v>65.43611146626624</c:v>
                </c:pt>
                <c:pt idx="1">
                  <c:v>65.098207128016156</c:v>
                </c:pt>
                <c:pt idx="2">
                  <c:v>65.727009515852913</c:v>
                </c:pt>
                <c:pt idx="3">
                  <c:v>63.379566311069155</c:v>
                </c:pt>
                <c:pt idx="4">
                  <c:v>62.385477255874108</c:v>
                </c:pt>
                <c:pt idx="5">
                  <c:v>63.587787106984948</c:v>
                </c:pt>
                <c:pt idx="6">
                  <c:v>60.214682465863397</c:v>
                </c:pt>
                <c:pt idx="7">
                  <c:v>61.873741273235183</c:v>
                </c:pt>
              </c:numCache>
            </c:numRef>
          </c:val>
          <c:smooth val="0"/>
          <c:extLst>
            <c:ext xmlns:c16="http://schemas.microsoft.com/office/drawing/2014/chart" uri="{C3380CC4-5D6E-409C-BE32-E72D297353CC}">
              <c16:uniqueId val="{00000001-8E7A-454F-B589-5F9D799B4BB2}"/>
            </c:ext>
          </c:extLst>
        </c:ser>
        <c:dLbls>
          <c:showLegendKey val="0"/>
          <c:showVal val="0"/>
          <c:showCatName val="0"/>
          <c:showSerName val="0"/>
          <c:showPercent val="0"/>
          <c:showBubbleSize val="0"/>
        </c:dLbls>
        <c:smooth val="0"/>
        <c:axId val="333773824"/>
        <c:axId val="333792000"/>
      </c:lineChart>
      <c:catAx>
        <c:axId val="333773824"/>
        <c:scaling>
          <c:orientation val="minMax"/>
        </c:scaling>
        <c:delete val="0"/>
        <c:axPos val="b"/>
        <c:numFmt formatCode="General" sourceLinked="1"/>
        <c:majorTickMark val="out"/>
        <c:minorTickMark val="none"/>
        <c:tickLblPos val="nextTo"/>
        <c:crossAx val="333792000"/>
        <c:crosses val="autoZero"/>
        <c:auto val="1"/>
        <c:lblAlgn val="ctr"/>
        <c:lblOffset val="100"/>
        <c:noMultiLvlLbl val="0"/>
      </c:catAx>
      <c:valAx>
        <c:axId val="333792000"/>
        <c:scaling>
          <c:orientation val="minMax"/>
        </c:scaling>
        <c:delete val="0"/>
        <c:axPos val="l"/>
        <c:numFmt formatCode="#,##0.0" sourceLinked="1"/>
        <c:majorTickMark val="out"/>
        <c:minorTickMark val="none"/>
        <c:tickLblPos val="nextTo"/>
        <c:crossAx val="333773824"/>
        <c:crosses val="autoZero"/>
        <c:crossBetween val="between"/>
      </c:valAx>
    </c:plotArea>
    <c:legend>
      <c:legendPos val="r"/>
      <c:layout>
        <c:manualLayout>
          <c:xMode val="edge"/>
          <c:yMode val="edge"/>
          <c:x val="1.2393385037396639E-2"/>
          <c:y val="0.84960640834656664"/>
          <c:w val="0.96807017543860063"/>
          <c:h val="0.15039359165343424"/>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Activos de reserva</a:t>
            </a:r>
          </a:p>
        </c:rich>
      </c:tx>
      <c:overlay val="0"/>
    </c:title>
    <c:autoTitleDeleted val="0"/>
    <c:plotArea>
      <c:layout>
        <c:manualLayout>
          <c:layoutTarget val="inner"/>
          <c:xMode val="edge"/>
          <c:yMode val="edge"/>
          <c:x val="0.10671264776114602"/>
          <c:y val="0.11943097549396763"/>
          <c:w val="0.80350443036725649"/>
          <c:h val="0.67809779494820765"/>
        </c:manualLayout>
      </c:layout>
      <c:lineChart>
        <c:grouping val="standard"/>
        <c:varyColors val="0"/>
        <c:ser>
          <c:idx val="3"/>
          <c:order val="1"/>
          <c:tx>
            <c:strRef>
              <c:f>EX_Stock_Ind!$C$13</c:f>
              <c:strCache>
                <c:ptCount val="1"/>
                <c:pt idx="0">
                  <c:v>Reservas, en meses de importaciones de bienes y servicios</c:v>
                </c:pt>
              </c:strCache>
            </c:strRef>
          </c:tx>
          <c:marker>
            <c:symbol val="none"/>
          </c:marker>
          <c:cat>
            <c:numRef>
              <c:f>EX_Stock_Ind!$D$3:$I$3</c:f>
              <c:numCache>
                <c:formatCode>General</c:formatCode>
                <c:ptCount val="6"/>
                <c:pt idx="0">
                  <c:v>2006</c:v>
                </c:pt>
                <c:pt idx="1">
                  <c:v>2007</c:v>
                </c:pt>
                <c:pt idx="2">
                  <c:v>2008</c:v>
                </c:pt>
                <c:pt idx="3">
                  <c:v>2009</c:v>
                </c:pt>
                <c:pt idx="4">
                  <c:v>2010</c:v>
                </c:pt>
                <c:pt idx="5">
                  <c:v>2011</c:v>
                </c:pt>
              </c:numCache>
            </c:numRef>
          </c:cat>
          <c:val>
            <c:numRef>
              <c:f>EX_Stock_Ind!$D$13:$I$13</c:f>
              <c:numCache>
                <c:formatCode>#,##0.0</c:formatCode>
                <c:ptCount val="6"/>
                <c:pt idx="0">
                  <c:v>2.6501515650365697</c:v>
                </c:pt>
                <c:pt idx="1">
                  <c:v>3.0006027486830478</c:v>
                </c:pt>
                <c:pt idx="2">
                  <c:v>3.7114513676672645</c:v>
                </c:pt>
                <c:pt idx="3">
                  <c:v>3.3106332331640043</c:v>
                </c:pt>
                <c:pt idx="4">
                  <c:v>3.2169384372995697</c:v>
                </c:pt>
                <c:pt idx="5">
                  <c:v>2.9821837688561987</c:v>
                </c:pt>
              </c:numCache>
            </c:numRef>
          </c:val>
          <c:smooth val="0"/>
          <c:extLst>
            <c:ext xmlns:c16="http://schemas.microsoft.com/office/drawing/2014/chart" uri="{C3380CC4-5D6E-409C-BE32-E72D297353CC}">
              <c16:uniqueId val="{00000000-E70D-4ED8-AD02-224455032E99}"/>
            </c:ext>
          </c:extLst>
        </c:ser>
        <c:dLbls>
          <c:showLegendKey val="0"/>
          <c:showVal val="0"/>
          <c:showCatName val="0"/>
          <c:showSerName val="0"/>
          <c:showPercent val="0"/>
          <c:showBubbleSize val="0"/>
        </c:dLbls>
        <c:marker val="1"/>
        <c:smooth val="0"/>
        <c:axId val="333806592"/>
        <c:axId val="333816576"/>
      </c:lineChart>
      <c:lineChart>
        <c:grouping val="standard"/>
        <c:varyColors val="0"/>
        <c:ser>
          <c:idx val="0"/>
          <c:order val="0"/>
          <c:tx>
            <c:v>Reserves to short-term debt at rem. mat. (right axis)</c:v>
          </c:tx>
          <c:marker>
            <c:symbol val="none"/>
          </c:marker>
          <c:val>
            <c:numRef>
              <c:f>EX_Stock_Ind!$D$14:$I$14</c:f>
              <c:numCache>
                <c:formatCode>#,##0.0</c:formatCode>
                <c:ptCount val="6"/>
                <c:pt idx="0">
                  <c:v>106.71720053282398</c:v>
                </c:pt>
                <c:pt idx="1">
                  <c:v>99.731281572617874</c:v>
                </c:pt>
                <c:pt idx="2">
                  <c:v>89.053244355380826</c:v>
                </c:pt>
                <c:pt idx="3">
                  <c:v>139.0533429416657</c:v>
                </c:pt>
                <c:pt idx="4">
                  <c:v>145.35805614371108</c:v>
                </c:pt>
                <c:pt idx="5">
                  <c:v>172.56397382454568</c:v>
                </c:pt>
              </c:numCache>
            </c:numRef>
          </c:val>
          <c:smooth val="0"/>
          <c:extLst>
            <c:ext xmlns:c16="http://schemas.microsoft.com/office/drawing/2014/chart" uri="{C3380CC4-5D6E-409C-BE32-E72D297353CC}">
              <c16:uniqueId val="{00000001-E70D-4ED8-AD02-224455032E99}"/>
            </c:ext>
          </c:extLst>
        </c:ser>
        <c:dLbls>
          <c:showLegendKey val="0"/>
          <c:showVal val="0"/>
          <c:showCatName val="0"/>
          <c:showSerName val="0"/>
          <c:showPercent val="0"/>
          <c:showBubbleSize val="0"/>
        </c:dLbls>
        <c:marker val="1"/>
        <c:smooth val="0"/>
        <c:axId val="333840384"/>
        <c:axId val="333818112"/>
      </c:lineChart>
      <c:catAx>
        <c:axId val="333806592"/>
        <c:scaling>
          <c:orientation val="minMax"/>
        </c:scaling>
        <c:delete val="0"/>
        <c:axPos val="b"/>
        <c:numFmt formatCode="General" sourceLinked="1"/>
        <c:majorTickMark val="out"/>
        <c:minorTickMark val="none"/>
        <c:tickLblPos val="nextTo"/>
        <c:crossAx val="333816576"/>
        <c:crosses val="autoZero"/>
        <c:auto val="1"/>
        <c:lblAlgn val="ctr"/>
        <c:lblOffset val="100"/>
        <c:noMultiLvlLbl val="0"/>
      </c:catAx>
      <c:valAx>
        <c:axId val="333816576"/>
        <c:scaling>
          <c:orientation val="minMax"/>
          <c:max val="4"/>
          <c:min val="2"/>
        </c:scaling>
        <c:delete val="0"/>
        <c:axPos val="l"/>
        <c:numFmt formatCode="#,##0.0" sourceLinked="1"/>
        <c:majorTickMark val="out"/>
        <c:minorTickMark val="none"/>
        <c:tickLblPos val="nextTo"/>
        <c:crossAx val="333806592"/>
        <c:crosses val="autoZero"/>
        <c:crossBetween val="between"/>
        <c:majorUnit val="0.5"/>
      </c:valAx>
      <c:valAx>
        <c:axId val="333818112"/>
        <c:scaling>
          <c:orientation val="minMax"/>
          <c:min val="60"/>
        </c:scaling>
        <c:delete val="0"/>
        <c:axPos val="r"/>
        <c:numFmt formatCode="#,##0" sourceLinked="0"/>
        <c:majorTickMark val="out"/>
        <c:minorTickMark val="none"/>
        <c:tickLblPos val="nextTo"/>
        <c:crossAx val="333840384"/>
        <c:crosses val="max"/>
        <c:crossBetween val="between"/>
      </c:valAx>
      <c:catAx>
        <c:axId val="333840384"/>
        <c:scaling>
          <c:orientation val="minMax"/>
        </c:scaling>
        <c:delete val="1"/>
        <c:axPos val="b"/>
        <c:majorTickMark val="out"/>
        <c:minorTickMark val="none"/>
        <c:tickLblPos val="none"/>
        <c:crossAx val="333818112"/>
        <c:crosses val="autoZero"/>
        <c:auto val="1"/>
        <c:lblAlgn val="ctr"/>
        <c:lblOffset val="100"/>
        <c:noMultiLvlLbl val="0"/>
      </c:catAx>
    </c:plotArea>
    <c:legend>
      <c:legendPos val="r"/>
      <c:layout>
        <c:manualLayout>
          <c:xMode val="edge"/>
          <c:yMode val="edge"/>
          <c:x val="1.2393385037396639E-2"/>
          <c:y val="0.85792241666263203"/>
          <c:w val="0.96807017543860063"/>
          <c:h val="0.14207758333743647"/>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Otros indicadores</a:t>
            </a:r>
          </a:p>
        </c:rich>
      </c:tx>
      <c:overlay val="0"/>
    </c:title>
    <c:autoTitleDeleted val="0"/>
    <c:plotArea>
      <c:layout>
        <c:manualLayout>
          <c:layoutTarget val="inner"/>
          <c:xMode val="edge"/>
          <c:yMode val="edge"/>
          <c:x val="0.10671264776114607"/>
          <c:y val="0.11943097549396763"/>
          <c:w val="0.80350443036725649"/>
          <c:h val="0.57830569515608965"/>
        </c:manualLayout>
      </c:layout>
      <c:lineChart>
        <c:grouping val="standard"/>
        <c:varyColors val="0"/>
        <c:ser>
          <c:idx val="0"/>
          <c:order val="0"/>
          <c:tx>
            <c:strRef>
              <c:f>EX_Stock_Ind!$C$18</c:f>
              <c:strCache>
                <c:ptCount val="1"/>
                <c:pt idx="0">
                  <c:v>Vencimiento medio implícito de la deuda externa a largo plazo</c:v>
                </c:pt>
              </c:strCache>
            </c:strRef>
          </c:tx>
          <c:marker>
            <c:symbol val="none"/>
          </c:marker>
          <c:val>
            <c:numRef>
              <c:f>EX_Stock_Ind!$E$18:$J$18</c:f>
              <c:numCache>
                <c:formatCode>#,##0.0</c:formatCode>
                <c:ptCount val="6"/>
                <c:pt idx="0">
                  <c:v>9.5399132220417062</c:v>
                </c:pt>
                <c:pt idx="1">
                  <c:v>5.1136136577052191</c:v>
                </c:pt>
                <c:pt idx="2">
                  <c:v>8.3391138133025891</c:v>
                </c:pt>
                <c:pt idx="3">
                  <c:v>8.8123744929635297</c:v>
                </c:pt>
                <c:pt idx="4">
                  <c:v>6.5555557440789238</c:v>
                </c:pt>
                <c:pt idx="5">
                  <c:v>7.6843720198985839</c:v>
                </c:pt>
              </c:numCache>
            </c:numRef>
          </c:val>
          <c:smooth val="0"/>
          <c:extLst>
            <c:ext xmlns:c16="http://schemas.microsoft.com/office/drawing/2014/chart" uri="{C3380CC4-5D6E-409C-BE32-E72D297353CC}">
              <c16:uniqueId val="{00000000-E633-40D7-8D51-386BD417C5E4}"/>
            </c:ext>
          </c:extLst>
        </c:ser>
        <c:ser>
          <c:idx val="3"/>
          <c:order val="1"/>
          <c:tx>
            <c:strRef>
              <c:f>EX_Stock_Ind!$C$17</c:f>
              <c:strCache>
                <c:ptCount val="1"/>
                <c:pt idx="0">
                  <c:v>Tasa de interés implícita promedio de la deuda externa</c:v>
                </c:pt>
              </c:strCache>
            </c:strRef>
          </c:tx>
          <c:marker>
            <c:symbol val="none"/>
          </c:marker>
          <c:cat>
            <c:numRef>
              <c:f>EX_Stock_Ind!$E$3:$J$3</c:f>
              <c:numCache>
                <c:formatCode>General</c:formatCode>
                <c:ptCount val="6"/>
                <c:pt idx="0">
                  <c:v>2007</c:v>
                </c:pt>
                <c:pt idx="1">
                  <c:v>2008</c:v>
                </c:pt>
                <c:pt idx="2">
                  <c:v>2009</c:v>
                </c:pt>
                <c:pt idx="3">
                  <c:v>2010</c:v>
                </c:pt>
                <c:pt idx="4">
                  <c:v>2011</c:v>
                </c:pt>
                <c:pt idx="5">
                  <c:v>2012</c:v>
                </c:pt>
              </c:numCache>
            </c:numRef>
          </c:cat>
          <c:val>
            <c:numRef>
              <c:f>EX_Stock_Ind!$E$17:$J$17</c:f>
              <c:numCache>
                <c:formatCode>#,##0.0</c:formatCode>
                <c:ptCount val="6"/>
                <c:pt idx="0">
                  <c:v>5.6135586272274249</c:v>
                </c:pt>
                <c:pt idx="1">
                  <c:v>4.0691266841695279</c:v>
                </c:pt>
                <c:pt idx="2">
                  <c:v>3.6572839916642423</c:v>
                </c:pt>
                <c:pt idx="3">
                  <c:v>3.7139776870616452</c:v>
                </c:pt>
                <c:pt idx="4">
                  <c:v>3.088714938030007</c:v>
                </c:pt>
                <c:pt idx="5">
                  <c:v>2.8595379779394254</c:v>
                </c:pt>
              </c:numCache>
            </c:numRef>
          </c:val>
          <c:smooth val="0"/>
          <c:extLst>
            <c:ext xmlns:c16="http://schemas.microsoft.com/office/drawing/2014/chart" uri="{C3380CC4-5D6E-409C-BE32-E72D297353CC}">
              <c16:uniqueId val="{00000001-E633-40D7-8D51-386BD417C5E4}"/>
            </c:ext>
          </c:extLst>
        </c:ser>
        <c:dLbls>
          <c:showLegendKey val="0"/>
          <c:showVal val="0"/>
          <c:showCatName val="0"/>
          <c:showSerName val="0"/>
          <c:showPercent val="0"/>
          <c:showBubbleSize val="0"/>
        </c:dLbls>
        <c:marker val="1"/>
        <c:smooth val="0"/>
        <c:axId val="333888896"/>
        <c:axId val="333898880"/>
      </c:lineChart>
      <c:lineChart>
        <c:grouping val="standard"/>
        <c:varyColors val="0"/>
        <c:ser>
          <c:idx val="1"/>
          <c:order val="2"/>
          <c:tx>
            <c:v>Roll over rates, long term debt (right axis)</c:v>
          </c:tx>
          <c:marker>
            <c:symbol val="none"/>
          </c:marker>
          <c:val>
            <c:numRef>
              <c:f>EX_Stock_Ind!$E$19:$J$19</c:f>
              <c:numCache>
                <c:formatCode>#,##0</c:formatCode>
                <c:ptCount val="6"/>
                <c:pt idx="0">
                  <c:v>186.52147587007141</c:v>
                </c:pt>
                <c:pt idx="1">
                  <c:v>106.42631647318946</c:v>
                </c:pt>
                <c:pt idx="2">
                  <c:v>139.03769652286229</c:v>
                </c:pt>
                <c:pt idx="3">
                  <c:v>232.19663304577725</c:v>
                </c:pt>
                <c:pt idx="4">
                  <c:v>266.03478799416916</c:v>
                </c:pt>
                <c:pt idx="5">
                  <c:v>64.228661850569381</c:v>
                </c:pt>
              </c:numCache>
            </c:numRef>
          </c:val>
          <c:smooth val="0"/>
          <c:extLst>
            <c:ext xmlns:c16="http://schemas.microsoft.com/office/drawing/2014/chart" uri="{C3380CC4-5D6E-409C-BE32-E72D297353CC}">
              <c16:uniqueId val="{00000002-E633-40D7-8D51-386BD417C5E4}"/>
            </c:ext>
          </c:extLst>
        </c:ser>
        <c:dLbls>
          <c:showLegendKey val="0"/>
          <c:showVal val="0"/>
          <c:showCatName val="0"/>
          <c:showSerName val="0"/>
          <c:showPercent val="0"/>
          <c:showBubbleSize val="0"/>
        </c:dLbls>
        <c:marker val="1"/>
        <c:smooth val="0"/>
        <c:axId val="333910400"/>
        <c:axId val="333900416"/>
      </c:lineChart>
      <c:catAx>
        <c:axId val="333888896"/>
        <c:scaling>
          <c:orientation val="minMax"/>
        </c:scaling>
        <c:delete val="0"/>
        <c:axPos val="b"/>
        <c:numFmt formatCode="General" sourceLinked="1"/>
        <c:majorTickMark val="out"/>
        <c:minorTickMark val="none"/>
        <c:tickLblPos val="nextTo"/>
        <c:crossAx val="333898880"/>
        <c:crosses val="autoZero"/>
        <c:auto val="1"/>
        <c:lblAlgn val="ctr"/>
        <c:lblOffset val="100"/>
        <c:noMultiLvlLbl val="0"/>
      </c:catAx>
      <c:valAx>
        <c:axId val="333898880"/>
        <c:scaling>
          <c:orientation val="minMax"/>
        </c:scaling>
        <c:delete val="0"/>
        <c:axPos val="l"/>
        <c:numFmt formatCode="#,##0.0" sourceLinked="1"/>
        <c:majorTickMark val="out"/>
        <c:minorTickMark val="none"/>
        <c:tickLblPos val="nextTo"/>
        <c:crossAx val="333888896"/>
        <c:crosses val="autoZero"/>
        <c:crossBetween val="between"/>
      </c:valAx>
      <c:valAx>
        <c:axId val="333900416"/>
        <c:scaling>
          <c:orientation val="minMax"/>
        </c:scaling>
        <c:delete val="0"/>
        <c:axPos val="r"/>
        <c:numFmt formatCode="#,##0" sourceLinked="1"/>
        <c:majorTickMark val="out"/>
        <c:minorTickMark val="none"/>
        <c:tickLblPos val="nextTo"/>
        <c:crossAx val="333910400"/>
        <c:crosses val="max"/>
        <c:crossBetween val="between"/>
      </c:valAx>
      <c:catAx>
        <c:axId val="333910400"/>
        <c:scaling>
          <c:orientation val="minMax"/>
        </c:scaling>
        <c:delete val="1"/>
        <c:axPos val="b"/>
        <c:majorTickMark val="out"/>
        <c:minorTickMark val="none"/>
        <c:tickLblPos val="none"/>
        <c:crossAx val="333900416"/>
        <c:crosses val="autoZero"/>
        <c:auto val="1"/>
        <c:lblAlgn val="ctr"/>
        <c:lblOffset val="100"/>
        <c:noMultiLvlLbl val="0"/>
      </c:catAx>
    </c:plotArea>
    <c:legend>
      <c:legendPos val="r"/>
      <c:layout>
        <c:manualLayout>
          <c:xMode val="edge"/>
          <c:yMode val="edge"/>
          <c:x val="2.9937244686522518E-2"/>
          <c:y val="0.77753433627454638"/>
          <c:w val="0.9354261638347835"/>
          <c:h val="0.22246566372550625"/>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50218722659669"/>
          <c:y val="0.23658573928258966"/>
          <c:w val="0.76735898226244847"/>
          <c:h val="0.60210322652266657"/>
        </c:manualLayout>
      </c:layout>
      <c:lineChart>
        <c:grouping val="standard"/>
        <c:varyColors val="0"/>
        <c:ser>
          <c:idx val="0"/>
          <c:order val="0"/>
          <c:tx>
            <c:strRef>
              <c:f>'TC nominal'!$B$22</c:f>
              <c:strCache>
                <c:ptCount val="1"/>
                <c:pt idx="0">
                  <c:v>Índice de tipo de cambio real (2012=100)1/ </c:v>
                </c:pt>
              </c:strCache>
            </c:strRef>
          </c:tx>
          <c:marker>
            <c:symbol val="none"/>
          </c:marker>
          <c:cat>
            <c:numRef>
              <c:f>'TC nominal'!$D$10:$I$10</c:f>
              <c:numCache>
                <c:formatCode>0</c:formatCode>
                <c:ptCount val="6"/>
                <c:pt idx="0">
                  <c:v>2009</c:v>
                </c:pt>
                <c:pt idx="1">
                  <c:v>2010</c:v>
                </c:pt>
                <c:pt idx="2">
                  <c:v>2011</c:v>
                </c:pt>
                <c:pt idx="3">
                  <c:v>2012</c:v>
                </c:pt>
                <c:pt idx="4">
                  <c:v>2013</c:v>
                </c:pt>
                <c:pt idx="5">
                  <c:v>2014</c:v>
                </c:pt>
              </c:numCache>
            </c:numRef>
          </c:cat>
          <c:val>
            <c:numRef>
              <c:f>'TC nominal'!$D$22:$I$22</c:f>
              <c:numCache>
                <c:formatCode>0.0</c:formatCode>
                <c:ptCount val="6"/>
                <c:pt idx="0">
                  <c:v>122.20505458470026</c:v>
                </c:pt>
                <c:pt idx="1">
                  <c:v>107.6901181007282</c:v>
                </c:pt>
                <c:pt idx="2">
                  <c:v>101.7227415353677</c:v>
                </c:pt>
                <c:pt idx="3">
                  <c:v>100</c:v>
                </c:pt>
                <c:pt idx="4">
                  <c:v>99.269809863715537</c:v>
                </c:pt>
                <c:pt idx="5" formatCode="#,##0.0">
                  <c:v>99.683978681011283</c:v>
                </c:pt>
              </c:numCache>
            </c:numRef>
          </c:val>
          <c:smooth val="0"/>
          <c:extLst>
            <c:ext xmlns:c16="http://schemas.microsoft.com/office/drawing/2014/chart" uri="{C3380CC4-5D6E-409C-BE32-E72D297353CC}">
              <c16:uniqueId val="{00000000-CE34-476D-B7A2-1D2FA1866000}"/>
            </c:ext>
          </c:extLst>
        </c:ser>
        <c:dLbls>
          <c:showLegendKey val="0"/>
          <c:showVal val="0"/>
          <c:showCatName val="0"/>
          <c:showSerName val="0"/>
          <c:showPercent val="0"/>
          <c:showBubbleSize val="0"/>
        </c:dLbls>
        <c:smooth val="0"/>
        <c:axId val="334065024"/>
        <c:axId val="334177408"/>
      </c:lineChart>
      <c:catAx>
        <c:axId val="334065024"/>
        <c:scaling>
          <c:orientation val="minMax"/>
        </c:scaling>
        <c:delete val="0"/>
        <c:axPos val="b"/>
        <c:numFmt formatCode="0" sourceLinked="1"/>
        <c:majorTickMark val="out"/>
        <c:minorTickMark val="none"/>
        <c:tickLblPos val="nextTo"/>
        <c:crossAx val="334177408"/>
        <c:crosses val="autoZero"/>
        <c:auto val="1"/>
        <c:lblAlgn val="ctr"/>
        <c:lblOffset val="100"/>
        <c:noMultiLvlLbl val="0"/>
      </c:catAx>
      <c:valAx>
        <c:axId val="334177408"/>
        <c:scaling>
          <c:orientation val="minMax"/>
          <c:min val="80"/>
        </c:scaling>
        <c:delete val="0"/>
        <c:axPos val="l"/>
        <c:numFmt formatCode="0.0" sourceLinked="1"/>
        <c:majorTickMark val="out"/>
        <c:minorTickMark val="none"/>
        <c:tickLblPos val="nextTo"/>
        <c:crossAx val="334065024"/>
        <c:crosses val="autoZero"/>
        <c:crossBetween val="between"/>
      </c:valAx>
    </c:plotArea>
    <c:legend>
      <c:legendPos val="r"/>
      <c:layout>
        <c:manualLayout>
          <c:xMode val="edge"/>
          <c:yMode val="edge"/>
          <c:x val="0.67164966541344495"/>
          <c:y val="0.36149310918128802"/>
          <c:w val="0.32623828647925912"/>
          <c:h val="0.20029133014321762"/>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Saldos del gobierno general, porcentaje del PIB</a:t>
            </a:r>
          </a:p>
        </c:rich>
      </c:tx>
      <c:overlay val="0"/>
    </c:title>
    <c:autoTitleDeleted val="0"/>
    <c:plotArea>
      <c:layout>
        <c:manualLayout>
          <c:layoutTarget val="inner"/>
          <c:xMode val="edge"/>
          <c:yMode val="edge"/>
          <c:x val="0.10671264776114577"/>
          <c:y val="0.11943097549396763"/>
          <c:w val="0.80350443036725649"/>
          <c:h val="0.67809779494820765"/>
        </c:manualLayout>
      </c:layout>
      <c:barChart>
        <c:barDir val="col"/>
        <c:grouping val="clustered"/>
        <c:varyColors val="0"/>
        <c:ser>
          <c:idx val="2"/>
          <c:order val="1"/>
          <c:tx>
            <c:strRef>
              <c:f>Gob_EOG_Ind!$C$13</c:f>
              <c:strCache>
                <c:ptCount val="1"/>
                <c:pt idx="0">
                  <c:v>Saldo global</c:v>
                </c:pt>
              </c:strCache>
            </c:strRef>
          </c:tx>
          <c:invertIfNegative val="0"/>
          <c:cat>
            <c:numRef>
              <c:f>Gob_EOG_Ind!$D$3:$L$3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Gob_EOG_Ind!$D$13:$L$13</c:f>
              <c:numCache>
                <c:formatCode>0.0</c:formatCode>
                <c:ptCount val="9"/>
                <c:pt idx="0">
                  <c:v>-4.5515284051391189</c:v>
                </c:pt>
                <c:pt idx="1">
                  <c:v>-2.1644320752892678</c:v>
                </c:pt>
                <c:pt idx="2">
                  <c:v>0.58018797084768414</c:v>
                </c:pt>
                <c:pt idx="3">
                  <c:v>-3.7216019803554099</c:v>
                </c:pt>
                <c:pt idx="4">
                  <c:v>-6.0934293182809816</c:v>
                </c:pt>
                <c:pt idx="5">
                  <c:v>-4.8895819241349576</c:v>
                </c:pt>
                <c:pt idx="6">
                  <c:v>-5.8664380659015212</c:v>
                </c:pt>
                <c:pt idx="7">
                  <c:v>-7.9498542245962298</c:v>
                </c:pt>
                <c:pt idx="8">
                  <c:v>-12.550357247951416</c:v>
                </c:pt>
              </c:numCache>
            </c:numRef>
          </c:val>
          <c:extLst>
            <c:ext xmlns:c16="http://schemas.microsoft.com/office/drawing/2014/chart" uri="{C3380CC4-5D6E-409C-BE32-E72D297353CC}">
              <c16:uniqueId val="{00000000-4535-45BB-8E5B-1DE4206B3572}"/>
            </c:ext>
          </c:extLst>
        </c:ser>
        <c:dLbls>
          <c:showLegendKey val="0"/>
          <c:showVal val="0"/>
          <c:showCatName val="0"/>
          <c:showSerName val="0"/>
          <c:showPercent val="0"/>
          <c:showBubbleSize val="0"/>
        </c:dLbls>
        <c:gapWidth val="150"/>
        <c:axId val="335067392"/>
        <c:axId val="335097856"/>
      </c:barChart>
      <c:lineChart>
        <c:grouping val="standard"/>
        <c:varyColors val="0"/>
        <c:ser>
          <c:idx val="1"/>
          <c:order val="0"/>
          <c:tx>
            <c:strRef>
              <c:f>Gob_EOG_Ind!$C$9</c:f>
              <c:strCache>
                <c:ptCount val="1"/>
                <c:pt idx="0">
                  <c:v>Resultado operativo neto</c:v>
                </c:pt>
              </c:strCache>
            </c:strRef>
          </c:tx>
          <c:marker>
            <c:symbol val="none"/>
          </c:marker>
          <c:cat>
            <c:numRef>
              <c:f>Gob_EOG_Ind!$D$3:$K$3</c:f>
              <c:numCache>
                <c:formatCode>General</c:formatCode>
                <c:ptCount val="8"/>
                <c:pt idx="0">
                  <c:v>2006</c:v>
                </c:pt>
                <c:pt idx="1">
                  <c:v>2007</c:v>
                </c:pt>
                <c:pt idx="2">
                  <c:v>2008</c:v>
                </c:pt>
                <c:pt idx="3">
                  <c:v>2009</c:v>
                </c:pt>
                <c:pt idx="4">
                  <c:v>2010</c:v>
                </c:pt>
                <c:pt idx="5">
                  <c:v>2011</c:v>
                </c:pt>
                <c:pt idx="6">
                  <c:v>2012</c:v>
                </c:pt>
                <c:pt idx="7">
                  <c:v>2013</c:v>
                </c:pt>
              </c:numCache>
            </c:numRef>
          </c:cat>
          <c:val>
            <c:numRef>
              <c:f>Gob_EOG_Ind!$D$9:$L$9</c:f>
              <c:numCache>
                <c:formatCode>#,##0.0</c:formatCode>
                <c:ptCount val="9"/>
                <c:pt idx="0">
                  <c:v>-0.96455598725172642</c:v>
                </c:pt>
                <c:pt idx="1">
                  <c:v>0.81615299216773884</c:v>
                </c:pt>
                <c:pt idx="2">
                  <c:v>0.99716988515035787</c:v>
                </c:pt>
                <c:pt idx="3">
                  <c:v>-3.1874078370331755</c:v>
                </c:pt>
                <c:pt idx="4">
                  <c:v>-5.3311336331346784</c:v>
                </c:pt>
                <c:pt idx="5">
                  <c:v>-4.0502929282699931</c:v>
                </c:pt>
                <c:pt idx="6">
                  <c:v>-4.5548284104330357</c:v>
                </c:pt>
                <c:pt idx="7">
                  <c:v>-7.8193786419587497</c:v>
                </c:pt>
                <c:pt idx="8">
                  <c:v>-12.427801851373166</c:v>
                </c:pt>
              </c:numCache>
            </c:numRef>
          </c:val>
          <c:smooth val="0"/>
          <c:extLst>
            <c:ext xmlns:c16="http://schemas.microsoft.com/office/drawing/2014/chart" uri="{C3380CC4-5D6E-409C-BE32-E72D297353CC}">
              <c16:uniqueId val="{00000001-4535-45BB-8E5B-1DE4206B3572}"/>
            </c:ext>
          </c:extLst>
        </c:ser>
        <c:ser>
          <c:idx val="3"/>
          <c:order val="2"/>
          <c:tx>
            <c:strRef>
              <c:f>Gob_EOG_Ind!$C$10</c:f>
              <c:strCache>
                <c:ptCount val="1"/>
                <c:pt idx="0">
                  <c:v>Resultado operativo neto primario</c:v>
                </c:pt>
              </c:strCache>
            </c:strRef>
          </c:tx>
          <c:spPr>
            <a:ln>
              <a:solidFill>
                <a:srgbClr val="FF0000"/>
              </a:solidFill>
            </a:ln>
          </c:spPr>
          <c:marker>
            <c:symbol val="none"/>
          </c:marker>
          <c:cat>
            <c:numRef>
              <c:f>Gob_EOG_Ind!$D$3:$K$3</c:f>
              <c:numCache>
                <c:formatCode>General</c:formatCode>
                <c:ptCount val="8"/>
                <c:pt idx="0">
                  <c:v>2006</c:v>
                </c:pt>
                <c:pt idx="1">
                  <c:v>2007</c:v>
                </c:pt>
                <c:pt idx="2">
                  <c:v>2008</c:v>
                </c:pt>
                <c:pt idx="3">
                  <c:v>2009</c:v>
                </c:pt>
                <c:pt idx="4">
                  <c:v>2010</c:v>
                </c:pt>
                <c:pt idx="5">
                  <c:v>2011</c:v>
                </c:pt>
                <c:pt idx="6">
                  <c:v>2012</c:v>
                </c:pt>
                <c:pt idx="7">
                  <c:v>2013</c:v>
                </c:pt>
              </c:numCache>
            </c:numRef>
          </c:cat>
          <c:val>
            <c:numRef>
              <c:f>Gob_EOG_Ind!$D$10:$L$10</c:f>
              <c:numCache>
                <c:formatCode>#,##0.0</c:formatCode>
                <c:ptCount val="9"/>
                <c:pt idx="0">
                  <c:v>3.018273281690476</c:v>
                </c:pt>
                <c:pt idx="1">
                  <c:v>4.0550528799730703</c:v>
                </c:pt>
                <c:pt idx="2">
                  <c:v>3.3048411165813167</c:v>
                </c:pt>
                <c:pt idx="3">
                  <c:v>-0.90058181656831238</c:v>
                </c:pt>
                <c:pt idx="4">
                  <c:v>-3.0534132511379237</c:v>
                </c:pt>
                <c:pt idx="5">
                  <c:v>-1.7372314222536076</c:v>
                </c:pt>
                <c:pt idx="6">
                  <c:v>-2.325873617862527</c:v>
                </c:pt>
                <c:pt idx="7">
                  <c:v>-4.3562296701685881</c:v>
                </c:pt>
                <c:pt idx="8">
                  <c:v>-7.1758577024980195</c:v>
                </c:pt>
              </c:numCache>
            </c:numRef>
          </c:val>
          <c:smooth val="0"/>
          <c:extLst>
            <c:ext xmlns:c16="http://schemas.microsoft.com/office/drawing/2014/chart" uri="{C3380CC4-5D6E-409C-BE32-E72D297353CC}">
              <c16:uniqueId val="{00000002-4535-45BB-8E5B-1DE4206B3572}"/>
            </c:ext>
          </c:extLst>
        </c:ser>
        <c:dLbls>
          <c:showLegendKey val="0"/>
          <c:showVal val="0"/>
          <c:showCatName val="0"/>
          <c:showSerName val="0"/>
          <c:showPercent val="0"/>
          <c:showBubbleSize val="0"/>
        </c:dLbls>
        <c:marker val="1"/>
        <c:smooth val="0"/>
        <c:axId val="335067392"/>
        <c:axId val="335097856"/>
      </c:lineChart>
      <c:catAx>
        <c:axId val="335067392"/>
        <c:scaling>
          <c:orientation val="minMax"/>
        </c:scaling>
        <c:delete val="0"/>
        <c:axPos val="b"/>
        <c:numFmt formatCode="General" sourceLinked="1"/>
        <c:majorTickMark val="out"/>
        <c:minorTickMark val="none"/>
        <c:tickLblPos val="nextTo"/>
        <c:crossAx val="335097856"/>
        <c:crosses val="autoZero"/>
        <c:auto val="1"/>
        <c:lblAlgn val="ctr"/>
        <c:lblOffset val="100"/>
        <c:noMultiLvlLbl val="0"/>
      </c:catAx>
      <c:valAx>
        <c:axId val="335097856"/>
        <c:scaling>
          <c:orientation val="minMax"/>
        </c:scaling>
        <c:delete val="0"/>
        <c:axPos val="l"/>
        <c:numFmt formatCode="0.0" sourceLinked="1"/>
        <c:majorTickMark val="out"/>
        <c:minorTickMark val="none"/>
        <c:tickLblPos val="nextTo"/>
        <c:crossAx val="335067392"/>
        <c:crosses val="autoZero"/>
        <c:crossBetween val="between"/>
      </c:valAx>
    </c:plotArea>
    <c:legend>
      <c:legendPos val="r"/>
      <c:layout>
        <c:manualLayout>
          <c:xMode val="edge"/>
          <c:yMode val="edge"/>
          <c:x val="2.4924713358198573E-2"/>
          <c:y val="0.81079836953856521"/>
          <c:w val="0.90961162749393165"/>
          <c:h val="0.18920163046149105"/>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Ajuste cíclico, en porcentaje</a:t>
            </a:r>
          </a:p>
        </c:rich>
      </c:tx>
      <c:overlay val="0"/>
    </c:title>
    <c:autoTitleDeleted val="0"/>
    <c:plotArea>
      <c:layout>
        <c:manualLayout>
          <c:layoutTarget val="inner"/>
          <c:xMode val="edge"/>
          <c:yMode val="edge"/>
          <c:x val="0.10671264776114581"/>
          <c:y val="0.11943097549396763"/>
          <c:w val="0.79849189903893592"/>
          <c:h val="0.67809779494820765"/>
        </c:manualLayout>
      </c:layout>
      <c:barChart>
        <c:barDir val="col"/>
        <c:grouping val="clustered"/>
        <c:varyColors val="0"/>
        <c:ser>
          <c:idx val="1"/>
          <c:order val="1"/>
          <c:tx>
            <c:strRef>
              <c:f>Gob_EOG_Ind!$C$21</c:f>
              <c:strCache>
                <c:ptCount val="1"/>
                <c:pt idx="0">
                  <c:v>Brecha del producto: PIB real/PIB potencial</c:v>
                </c:pt>
              </c:strCache>
            </c:strRef>
          </c:tx>
          <c:spPr>
            <a:ln>
              <a:solidFill>
                <a:schemeClr val="tx1"/>
              </a:solidFill>
            </a:ln>
          </c:spPr>
          <c:invertIfNegative val="0"/>
          <c:cat>
            <c:numRef>
              <c:f>Gob_EOG_Ind!$D$3:$L$3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Gob_EOG_Ind!$D$21:$L$21</c:f>
              <c:numCache>
                <c:formatCode>#,##0.0</c:formatCode>
                <c:ptCount val="9"/>
                <c:pt idx="0">
                  <c:v>1.0221965940948992</c:v>
                </c:pt>
                <c:pt idx="1">
                  <c:v>1.0549051792942195</c:v>
                </c:pt>
                <c:pt idx="2">
                  <c:v>1.0375277125980797</c:v>
                </c:pt>
                <c:pt idx="3">
                  <c:v>0.98420258043358866</c:v>
                </c:pt>
                <c:pt idx="4">
                  <c:v>0.98773719201585763</c:v>
                </c:pt>
                <c:pt idx="5">
                  <c:v>0.98643847770132209</c:v>
                </c:pt>
                <c:pt idx="6">
                  <c:v>1.0027332419190744</c:v>
                </c:pt>
                <c:pt idx="7">
                  <c:v>1.008113223736494</c:v>
                </c:pt>
                <c:pt idx="8">
                  <c:v>1.0124917512164868</c:v>
                </c:pt>
              </c:numCache>
            </c:numRef>
          </c:val>
          <c:extLst>
            <c:ext xmlns:c16="http://schemas.microsoft.com/office/drawing/2014/chart" uri="{C3380CC4-5D6E-409C-BE32-E72D297353CC}">
              <c16:uniqueId val="{00000000-E107-43DF-971A-ED388FF0CCC0}"/>
            </c:ext>
          </c:extLst>
        </c:ser>
        <c:dLbls>
          <c:showLegendKey val="0"/>
          <c:showVal val="0"/>
          <c:showCatName val="0"/>
          <c:showSerName val="0"/>
          <c:showPercent val="0"/>
          <c:showBubbleSize val="0"/>
        </c:dLbls>
        <c:gapWidth val="150"/>
        <c:axId val="335121024"/>
        <c:axId val="335131008"/>
      </c:barChart>
      <c:lineChart>
        <c:grouping val="standard"/>
        <c:varyColors val="0"/>
        <c:ser>
          <c:idx val="2"/>
          <c:order val="0"/>
          <c:tx>
            <c:strRef>
              <c:f>Gob_EOG_Ind!$C$10</c:f>
              <c:strCache>
                <c:ptCount val="1"/>
                <c:pt idx="0">
                  <c:v>Resultado operativo neto primario</c:v>
                </c:pt>
              </c:strCache>
            </c:strRef>
          </c:tx>
          <c:spPr>
            <a:ln>
              <a:solidFill>
                <a:srgbClr val="FF0000"/>
              </a:solidFill>
            </a:ln>
          </c:spPr>
          <c:marker>
            <c:symbol val="none"/>
          </c:marker>
          <c:cat>
            <c:numRef>
              <c:f>Gob_EOG_Ind!$D$3:$L$3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Gob_EOG_Ind!$D$10:$L$10</c:f>
              <c:numCache>
                <c:formatCode>#,##0.0</c:formatCode>
                <c:ptCount val="9"/>
                <c:pt idx="0">
                  <c:v>3.018273281690476</c:v>
                </c:pt>
                <c:pt idx="1">
                  <c:v>4.0550528799730703</c:v>
                </c:pt>
                <c:pt idx="2">
                  <c:v>3.3048411165813167</c:v>
                </c:pt>
                <c:pt idx="3">
                  <c:v>-0.90058181656831238</c:v>
                </c:pt>
                <c:pt idx="4">
                  <c:v>-3.0534132511379237</c:v>
                </c:pt>
                <c:pt idx="5">
                  <c:v>-1.7372314222536076</c:v>
                </c:pt>
                <c:pt idx="6">
                  <c:v>-2.325873617862527</c:v>
                </c:pt>
                <c:pt idx="7">
                  <c:v>-4.3562296701685881</c:v>
                </c:pt>
                <c:pt idx="8">
                  <c:v>-7.1758577024980195</c:v>
                </c:pt>
              </c:numCache>
            </c:numRef>
          </c:val>
          <c:smooth val="0"/>
          <c:extLst>
            <c:ext xmlns:c16="http://schemas.microsoft.com/office/drawing/2014/chart" uri="{C3380CC4-5D6E-409C-BE32-E72D297353CC}">
              <c16:uniqueId val="{00000001-E107-43DF-971A-ED388FF0CCC0}"/>
            </c:ext>
          </c:extLst>
        </c:ser>
        <c:ser>
          <c:idx val="0"/>
          <c:order val="2"/>
          <c:tx>
            <c:strRef>
              <c:f>Gob_EOG_Ind!$C$26</c:f>
              <c:strCache>
                <c:ptCount val="1"/>
                <c:pt idx="0">
                  <c:v>Resultado operativo neto primario ajustado, en porcentaje del producto potencial</c:v>
                </c:pt>
              </c:strCache>
            </c:strRef>
          </c:tx>
          <c:spPr>
            <a:ln>
              <a:solidFill>
                <a:srgbClr val="FF0000"/>
              </a:solidFill>
              <a:prstDash val="sysDash"/>
            </a:ln>
          </c:spPr>
          <c:marker>
            <c:symbol val="none"/>
          </c:marker>
          <c:cat>
            <c:numRef>
              <c:f>Gob_EOG_Ind!$D$3:$L$3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Gob_EOG_Ind!$D$26:$L$26</c:f>
              <c:numCache>
                <c:formatCode>#,##0.0</c:formatCode>
                <c:ptCount val="9"/>
                <c:pt idx="0">
                  <c:v>2.704478527751101</c:v>
                </c:pt>
                <c:pt idx="1">
                  <c:v>3.2560615275822227</c:v>
                </c:pt>
                <c:pt idx="2">
                  <c:v>2.7016740764359723</c:v>
                </c:pt>
                <c:pt idx="3">
                  <c:v>-0.6133827203376917</c:v>
                </c:pt>
                <c:pt idx="4">
                  <c:v>-2.7973698415836901</c:v>
                </c:pt>
                <c:pt idx="5">
                  <c:v>-1.4706820309713426</c:v>
                </c:pt>
                <c:pt idx="6">
                  <c:v>-2.3808241986366676</c:v>
                </c:pt>
                <c:pt idx="7">
                  <c:v>-4.5345448267265649</c:v>
                </c:pt>
                <c:pt idx="8">
                  <c:v>-7.4848507560109168</c:v>
                </c:pt>
              </c:numCache>
            </c:numRef>
          </c:val>
          <c:smooth val="0"/>
          <c:extLst>
            <c:ext xmlns:c16="http://schemas.microsoft.com/office/drawing/2014/chart" uri="{C3380CC4-5D6E-409C-BE32-E72D297353CC}">
              <c16:uniqueId val="{00000002-E107-43DF-971A-ED388FF0CCC0}"/>
            </c:ext>
          </c:extLst>
        </c:ser>
        <c:dLbls>
          <c:showLegendKey val="0"/>
          <c:showVal val="0"/>
          <c:showCatName val="0"/>
          <c:showSerName val="0"/>
          <c:showPercent val="0"/>
          <c:showBubbleSize val="0"/>
        </c:dLbls>
        <c:marker val="1"/>
        <c:smooth val="0"/>
        <c:axId val="335121024"/>
        <c:axId val="335131008"/>
      </c:lineChart>
      <c:catAx>
        <c:axId val="335121024"/>
        <c:scaling>
          <c:orientation val="minMax"/>
        </c:scaling>
        <c:delete val="0"/>
        <c:axPos val="b"/>
        <c:numFmt formatCode="General" sourceLinked="1"/>
        <c:majorTickMark val="out"/>
        <c:minorTickMark val="none"/>
        <c:tickLblPos val="nextTo"/>
        <c:crossAx val="335131008"/>
        <c:crosses val="autoZero"/>
        <c:auto val="1"/>
        <c:lblAlgn val="ctr"/>
        <c:lblOffset val="100"/>
        <c:tickLblSkip val="1"/>
        <c:noMultiLvlLbl val="0"/>
      </c:catAx>
      <c:valAx>
        <c:axId val="335131008"/>
        <c:scaling>
          <c:orientation val="minMax"/>
        </c:scaling>
        <c:delete val="0"/>
        <c:axPos val="l"/>
        <c:numFmt formatCode="#,##0.0" sourceLinked="1"/>
        <c:majorTickMark val="out"/>
        <c:minorTickMark val="none"/>
        <c:tickLblPos val="nextTo"/>
        <c:crossAx val="335121024"/>
        <c:crosses val="autoZero"/>
        <c:crossBetween val="between"/>
      </c:valAx>
    </c:plotArea>
    <c:legend>
      <c:legendPos val="r"/>
      <c:layout>
        <c:manualLayout>
          <c:xMode val="edge"/>
          <c:yMode val="edge"/>
          <c:x val="2.4924713358198573E-2"/>
          <c:y val="0.81079836953856543"/>
          <c:w val="0.90961162749393165"/>
          <c:h val="0.18920163046149122"/>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Patrimonio neto del gobierno general, en porcentaje del PIB</a:t>
            </a:r>
          </a:p>
        </c:rich>
      </c:tx>
      <c:overlay val="0"/>
    </c:title>
    <c:autoTitleDeleted val="0"/>
    <c:plotArea>
      <c:layout>
        <c:manualLayout>
          <c:layoutTarget val="inner"/>
          <c:xMode val="edge"/>
          <c:yMode val="edge"/>
          <c:x val="0.10671264776114581"/>
          <c:y val="0.11943097549396763"/>
          <c:w val="0.80350443036725649"/>
          <c:h val="0.67809779494820765"/>
        </c:manualLayout>
      </c:layout>
      <c:lineChart>
        <c:grouping val="standard"/>
        <c:varyColors val="0"/>
        <c:ser>
          <c:idx val="1"/>
          <c:order val="0"/>
          <c:tx>
            <c:strRef>
              <c:f>Gob_Stock_Ind!$C$6</c:f>
              <c:strCache>
                <c:ptCount val="1"/>
                <c:pt idx="0">
                  <c:v>Assets-to-GDP</c:v>
                </c:pt>
              </c:strCache>
            </c:strRef>
          </c:tx>
          <c:marker>
            <c:symbol val="none"/>
          </c:marker>
          <c:cat>
            <c:numRef>
              <c:f>Gob_Stock_Ind!$D$3:$K$3</c:f>
              <c:numCache>
                <c:formatCode>General</c:formatCode>
                <c:ptCount val="2"/>
                <c:pt idx="0">
                  <c:v>2012</c:v>
                </c:pt>
                <c:pt idx="1">
                  <c:v>2013</c:v>
                </c:pt>
              </c:numCache>
            </c:numRef>
          </c:cat>
          <c:val>
            <c:numRef>
              <c:f>Gob_Stock_Ind!$D$6:$K$6</c:f>
            </c:numRef>
          </c:val>
          <c:smooth val="0"/>
          <c:extLst>
            <c:ext xmlns:c16="http://schemas.microsoft.com/office/drawing/2014/chart" uri="{C3380CC4-5D6E-409C-BE32-E72D297353CC}">
              <c16:uniqueId val="{00000000-3354-49CC-A89B-E768BE6A46ED}"/>
            </c:ext>
          </c:extLst>
        </c:ser>
        <c:ser>
          <c:idx val="0"/>
          <c:order val="1"/>
          <c:tx>
            <c:strRef>
              <c:f>Gob_Stock_Ind!$C$7</c:f>
              <c:strCache>
                <c:ptCount val="1"/>
                <c:pt idx="0">
                  <c:v>Liabilities-to-GDP</c:v>
                </c:pt>
              </c:strCache>
            </c:strRef>
          </c:tx>
          <c:marker>
            <c:symbol val="none"/>
          </c:marker>
          <c:val>
            <c:numRef>
              <c:f>Gob_Stock_Ind!$D$7:$K$7</c:f>
            </c:numRef>
          </c:val>
          <c:smooth val="0"/>
          <c:extLst>
            <c:ext xmlns:c16="http://schemas.microsoft.com/office/drawing/2014/chart" uri="{C3380CC4-5D6E-409C-BE32-E72D297353CC}">
              <c16:uniqueId val="{00000001-3354-49CC-A89B-E768BE6A46ED}"/>
            </c:ext>
          </c:extLst>
        </c:ser>
        <c:ser>
          <c:idx val="2"/>
          <c:order val="2"/>
          <c:tx>
            <c:strRef>
              <c:f>Gob_Stock_Ind!$C$9</c:f>
              <c:strCache>
                <c:ptCount val="1"/>
                <c:pt idx="0">
                  <c:v>Net financial worth-to-GDP</c:v>
                </c:pt>
              </c:strCache>
            </c:strRef>
          </c:tx>
          <c:marker>
            <c:symbol val="none"/>
          </c:marker>
          <c:val>
            <c:numRef>
              <c:f>Gob_Stock_Ind!$D$9:$K$9</c:f>
            </c:numRef>
          </c:val>
          <c:smooth val="0"/>
          <c:extLst>
            <c:ext xmlns:c16="http://schemas.microsoft.com/office/drawing/2014/chart" uri="{C3380CC4-5D6E-409C-BE32-E72D297353CC}">
              <c16:uniqueId val="{00000002-3354-49CC-A89B-E768BE6A46ED}"/>
            </c:ext>
          </c:extLst>
        </c:ser>
        <c:ser>
          <c:idx val="3"/>
          <c:order val="3"/>
          <c:tx>
            <c:strRef>
              <c:f>Gob_Stock_Ind!$C$8</c:f>
              <c:strCache>
                <c:ptCount val="1"/>
                <c:pt idx="0">
                  <c:v>Net worth-to-GDP</c:v>
                </c:pt>
              </c:strCache>
            </c:strRef>
          </c:tx>
          <c:marker>
            <c:symbol val="none"/>
          </c:marker>
          <c:val>
            <c:numRef>
              <c:f>Gob_Stock_Ind!$D$8:$K$8</c:f>
            </c:numRef>
          </c:val>
          <c:smooth val="0"/>
          <c:extLst>
            <c:ext xmlns:c16="http://schemas.microsoft.com/office/drawing/2014/chart" uri="{C3380CC4-5D6E-409C-BE32-E72D297353CC}">
              <c16:uniqueId val="{00000003-3354-49CC-A89B-E768BE6A46ED}"/>
            </c:ext>
          </c:extLst>
        </c:ser>
        <c:dLbls>
          <c:showLegendKey val="0"/>
          <c:showVal val="0"/>
          <c:showCatName val="0"/>
          <c:showSerName val="0"/>
          <c:showPercent val="0"/>
          <c:showBubbleSize val="0"/>
        </c:dLbls>
        <c:marker val="1"/>
        <c:smooth val="0"/>
        <c:axId val="334918400"/>
        <c:axId val="334919936"/>
      </c:lineChart>
      <c:catAx>
        <c:axId val="334918400"/>
        <c:scaling>
          <c:orientation val="minMax"/>
        </c:scaling>
        <c:delete val="0"/>
        <c:axPos val="b"/>
        <c:numFmt formatCode="General" sourceLinked="1"/>
        <c:majorTickMark val="out"/>
        <c:minorTickMark val="none"/>
        <c:tickLblPos val="nextTo"/>
        <c:crossAx val="334919936"/>
        <c:crosses val="autoZero"/>
        <c:auto val="1"/>
        <c:lblAlgn val="ctr"/>
        <c:lblOffset val="100"/>
        <c:noMultiLvlLbl val="0"/>
      </c:catAx>
      <c:valAx>
        <c:axId val="334919936"/>
        <c:scaling>
          <c:orientation val="minMax"/>
        </c:scaling>
        <c:delete val="0"/>
        <c:axPos val="l"/>
        <c:numFmt formatCode="#,##0.0" sourceLinked="1"/>
        <c:majorTickMark val="out"/>
        <c:minorTickMark val="none"/>
        <c:tickLblPos val="nextTo"/>
        <c:crossAx val="334918400"/>
        <c:crosses val="autoZero"/>
        <c:crossBetween val="between"/>
      </c:valAx>
    </c:plotArea>
    <c:legend>
      <c:legendPos val="r"/>
      <c:layout>
        <c:manualLayout>
          <c:xMode val="edge"/>
          <c:yMode val="edge"/>
          <c:x val="2.4924713358198573E-2"/>
          <c:y val="0.81079836953856543"/>
          <c:w val="0.90961162749393165"/>
          <c:h val="0.18920163046149122"/>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671264776114589"/>
          <c:y val="0.11943097549396763"/>
          <c:w val="0.80350443036725649"/>
          <c:h val="0.64206175891215267"/>
        </c:manualLayout>
      </c:layout>
      <c:lineChart>
        <c:grouping val="standard"/>
        <c:varyColors val="0"/>
        <c:ser>
          <c:idx val="1"/>
          <c:order val="0"/>
          <c:tx>
            <c:strRef>
              <c:f>Gob_Stock_Ind!$C$7</c:f>
              <c:strCache>
                <c:ptCount val="1"/>
                <c:pt idx="0">
                  <c:v>Liabilities-to-GDP</c:v>
                </c:pt>
              </c:strCache>
            </c:strRef>
          </c:tx>
          <c:marker>
            <c:symbol val="none"/>
          </c:marker>
          <c:cat>
            <c:numRef>
              <c:f>Gob_Stock_Ind!$D$3:$L$3</c:f>
              <c:numCache>
                <c:formatCode>General</c:formatCode>
                <c:ptCount val="3"/>
                <c:pt idx="0">
                  <c:v>2012</c:v>
                </c:pt>
                <c:pt idx="1">
                  <c:v>2013</c:v>
                </c:pt>
                <c:pt idx="2">
                  <c:v>2014</c:v>
                </c:pt>
              </c:numCache>
            </c:numRef>
          </c:cat>
          <c:val>
            <c:numRef>
              <c:f>Gob_Stock_Ind!$D$7:$L$7</c:f>
            </c:numRef>
          </c:val>
          <c:smooth val="0"/>
          <c:extLst>
            <c:ext xmlns:c16="http://schemas.microsoft.com/office/drawing/2014/chart" uri="{C3380CC4-5D6E-409C-BE32-E72D297353CC}">
              <c16:uniqueId val="{00000000-0AEA-4345-B1E0-24D0DBEE8F3F}"/>
            </c:ext>
          </c:extLst>
        </c:ser>
        <c:dLbls>
          <c:showLegendKey val="0"/>
          <c:showVal val="0"/>
          <c:showCatName val="0"/>
          <c:showSerName val="0"/>
          <c:showPercent val="0"/>
          <c:showBubbleSize val="0"/>
        </c:dLbls>
        <c:marker val="1"/>
        <c:smooth val="0"/>
        <c:axId val="335172352"/>
        <c:axId val="335173888"/>
      </c:lineChart>
      <c:lineChart>
        <c:grouping val="standard"/>
        <c:varyColors val="0"/>
        <c:ser>
          <c:idx val="0"/>
          <c:order val="1"/>
          <c:tx>
            <c:v>General Government liabilities-to-revenues (right axis)</c:v>
          </c:tx>
          <c:marker>
            <c:symbol val="none"/>
          </c:marker>
          <c:val>
            <c:numRef>
              <c:f>Gob_Stock_Ind!$D$11:$L$11</c:f>
            </c:numRef>
          </c:val>
          <c:smooth val="0"/>
          <c:extLst>
            <c:ext xmlns:c16="http://schemas.microsoft.com/office/drawing/2014/chart" uri="{C3380CC4-5D6E-409C-BE32-E72D297353CC}">
              <c16:uniqueId val="{00000001-0AEA-4345-B1E0-24D0DBEE8F3F}"/>
            </c:ext>
          </c:extLst>
        </c:ser>
        <c:dLbls>
          <c:showLegendKey val="0"/>
          <c:showVal val="0"/>
          <c:showCatName val="0"/>
          <c:showSerName val="0"/>
          <c:showPercent val="0"/>
          <c:showBubbleSize val="0"/>
        </c:dLbls>
        <c:marker val="1"/>
        <c:smooth val="0"/>
        <c:axId val="335193600"/>
        <c:axId val="335192064"/>
      </c:lineChart>
      <c:catAx>
        <c:axId val="335172352"/>
        <c:scaling>
          <c:orientation val="minMax"/>
        </c:scaling>
        <c:delete val="0"/>
        <c:axPos val="b"/>
        <c:numFmt formatCode="General" sourceLinked="1"/>
        <c:majorTickMark val="out"/>
        <c:minorTickMark val="none"/>
        <c:tickLblPos val="nextTo"/>
        <c:crossAx val="335173888"/>
        <c:crosses val="autoZero"/>
        <c:auto val="1"/>
        <c:lblAlgn val="ctr"/>
        <c:lblOffset val="100"/>
        <c:noMultiLvlLbl val="0"/>
      </c:catAx>
      <c:valAx>
        <c:axId val="335173888"/>
        <c:scaling>
          <c:orientation val="minMax"/>
        </c:scaling>
        <c:delete val="0"/>
        <c:axPos val="l"/>
        <c:numFmt formatCode="#,##0.0" sourceLinked="1"/>
        <c:majorTickMark val="out"/>
        <c:minorTickMark val="none"/>
        <c:tickLblPos val="nextTo"/>
        <c:crossAx val="335172352"/>
        <c:crosses val="autoZero"/>
        <c:crossBetween val="between"/>
      </c:valAx>
      <c:valAx>
        <c:axId val="335192064"/>
        <c:scaling>
          <c:orientation val="minMax"/>
          <c:min val="200"/>
        </c:scaling>
        <c:delete val="0"/>
        <c:axPos val="r"/>
        <c:numFmt formatCode="#,##0.0" sourceLinked="1"/>
        <c:majorTickMark val="out"/>
        <c:minorTickMark val="none"/>
        <c:tickLblPos val="nextTo"/>
        <c:crossAx val="335193600"/>
        <c:crosses val="max"/>
        <c:crossBetween val="between"/>
      </c:valAx>
      <c:catAx>
        <c:axId val="335193600"/>
        <c:scaling>
          <c:orientation val="minMax"/>
        </c:scaling>
        <c:delete val="1"/>
        <c:axPos val="b"/>
        <c:majorTickMark val="out"/>
        <c:minorTickMark val="none"/>
        <c:tickLblPos val="none"/>
        <c:crossAx val="335192064"/>
        <c:crosses val="autoZero"/>
        <c:auto val="1"/>
        <c:lblAlgn val="ctr"/>
        <c:lblOffset val="100"/>
        <c:noMultiLvlLbl val="0"/>
      </c:catAx>
    </c:plotArea>
    <c:legend>
      <c:legendPos val="r"/>
      <c:layout>
        <c:manualLayout>
          <c:xMode val="edge"/>
          <c:yMode val="edge"/>
          <c:x val="2.4924674922999598E-2"/>
          <c:y val="0.83574639448655264"/>
          <c:w val="0.90961162749393165"/>
          <c:h val="0.12821756947741444"/>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Indicadores de deuda del gobierno general, en porcentaje</a:t>
            </a:r>
          </a:p>
        </c:rich>
      </c:tx>
      <c:overlay val="0"/>
    </c:title>
    <c:autoTitleDeleted val="0"/>
    <c:plotArea>
      <c:layout>
        <c:manualLayout>
          <c:layoutTarget val="inner"/>
          <c:xMode val="edge"/>
          <c:yMode val="edge"/>
          <c:x val="0.10671264776114589"/>
          <c:y val="0.11943097549396763"/>
          <c:w val="0.80350443036725649"/>
          <c:h val="0.63928975614020622"/>
        </c:manualLayout>
      </c:layout>
      <c:lineChart>
        <c:grouping val="standard"/>
        <c:varyColors val="0"/>
        <c:ser>
          <c:idx val="1"/>
          <c:order val="0"/>
          <c:tx>
            <c:strRef>
              <c:f>Gob_Stock_Ind!$C$15</c:f>
              <c:strCache>
                <c:ptCount val="1"/>
                <c:pt idx="0">
                  <c:v>Pagos de intereses/PIB</c:v>
                </c:pt>
              </c:strCache>
            </c:strRef>
          </c:tx>
          <c:marker>
            <c:symbol val="none"/>
          </c:marker>
          <c:cat>
            <c:numRef>
              <c:f>Gob_Stock_Ind!$D$3:$K$3</c:f>
              <c:numCache>
                <c:formatCode>General</c:formatCode>
                <c:ptCount val="2"/>
                <c:pt idx="0">
                  <c:v>2012</c:v>
                </c:pt>
                <c:pt idx="1">
                  <c:v>2013</c:v>
                </c:pt>
              </c:numCache>
            </c:numRef>
          </c:cat>
          <c:val>
            <c:numRef>
              <c:f>Gob_Stock_Ind!$D$15:$K$15</c:f>
              <c:numCache>
                <c:formatCode>#,##0.0</c:formatCode>
                <c:ptCount val="2"/>
                <c:pt idx="0">
                  <c:v>2.22895479257051</c:v>
                </c:pt>
                <c:pt idx="1">
                  <c:v>3.463148971790158</c:v>
                </c:pt>
              </c:numCache>
            </c:numRef>
          </c:val>
          <c:smooth val="0"/>
          <c:extLst>
            <c:ext xmlns:c16="http://schemas.microsoft.com/office/drawing/2014/chart" uri="{C3380CC4-5D6E-409C-BE32-E72D297353CC}">
              <c16:uniqueId val="{00000000-346E-4924-8C5C-41CBCA6095A5}"/>
            </c:ext>
          </c:extLst>
        </c:ser>
        <c:ser>
          <c:idx val="3"/>
          <c:order val="3"/>
          <c:tx>
            <c:strRef>
              <c:f>Gob_Stock_Ind!$C$18</c:f>
              <c:strCache>
                <c:ptCount val="1"/>
                <c:pt idx="0">
                  <c:v>Tasa de interés implícita media</c:v>
                </c:pt>
              </c:strCache>
            </c:strRef>
          </c:tx>
          <c:marker>
            <c:symbol val="none"/>
          </c:marker>
          <c:dPt>
            <c:idx val="1"/>
            <c:bubble3D val="0"/>
            <c:spPr>
              <a:ln>
                <a:noFill/>
              </a:ln>
            </c:spPr>
            <c:extLst>
              <c:ext xmlns:c16="http://schemas.microsoft.com/office/drawing/2014/chart" uri="{C3380CC4-5D6E-409C-BE32-E72D297353CC}">
                <c16:uniqueId val="{00000001-346E-4924-8C5C-41CBCA6095A5}"/>
              </c:ext>
            </c:extLst>
          </c:dPt>
          <c:val>
            <c:numRef>
              <c:f>Gob_Stock_Ind!$D$18:$K$18</c:f>
              <c:numCache>
                <c:formatCode>#,##0.0</c:formatCode>
                <c:ptCount val="2"/>
                <c:pt idx="0">
                  <c:v>5.241192250880256</c:v>
                </c:pt>
                <c:pt idx="1">
                  <c:v>7.8699973438873858</c:v>
                </c:pt>
              </c:numCache>
            </c:numRef>
          </c:val>
          <c:smooth val="0"/>
          <c:extLst>
            <c:ext xmlns:c16="http://schemas.microsoft.com/office/drawing/2014/chart" uri="{C3380CC4-5D6E-409C-BE32-E72D297353CC}">
              <c16:uniqueId val="{00000002-346E-4924-8C5C-41CBCA6095A5}"/>
            </c:ext>
          </c:extLst>
        </c:ser>
        <c:dLbls>
          <c:showLegendKey val="0"/>
          <c:showVal val="0"/>
          <c:showCatName val="0"/>
          <c:showSerName val="0"/>
          <c:showPercent val="0"/>
          <c:showBubbleSize val="0"/>
        </c:dLbls>
        <c:marker val="1"/>
        <c:smooth val="0"/>
        <c:axId val="335161600"/>
        <c:axId val="335233024"/>
      </c:lineChart>
      <c:lineChart>
        <c:grouping val="standard"/>
        <c:varyColors val="0"/>
        <c:ser>
          <c:idx val="0"/>
          <c:order val="1"/>
          <c:marker>
            <c:symbol val="none"/>
          </c:marker>
          <c:val>
            <c:numRef>
              <c:f>Gob_Stock_Ind!$D$16:$K$16</c:f>
              <c:numCache>
                <c:formatCode>#,##0.0</c:formatCode>
                <c:ptCount val="2"/>
                <c:pt idx="0">
                  <c:v>11.134916861747762</c:v>
                </c:pt>
                <c:pt idx="1">
                  <c:v>14.958168939090433</c:v>
                </c:pt>
              </c:numCache>
            </c:numRef>
          </c:val>
          <c:smooth val="0"/>
          <c:extLst>
            <c:ext xmlns:c16="http://schemas.microsoft.com/office/drawing/2014/chart" uri="{C3380CC4-5D6E-409C-BE32-E72D297353CC}">
              <c16:uniqueId val="{00000003-346E-4924-8C5C-41CBCA6095A5}"/>
            </c:ext>
          </c:extLst>
        </c:ser>
        <c:ser>
          <c:idx val="2"/>
          <c:order val="2"/>
          <c:marker>
            <c:symbol val="none"/>
          </c:marker>
          <c:val>
            <c:numRef>
              <c:f>Gob_Stock_Ind!$D$17:$K$17</c:f>
              <c:numCache>
                <c:formatCode>#,##0.0</c:formatCode>
                <c:ptCount val="2"/>
                <c:pt idx="0">
                  <c:v>14.414878120642227</c:v>
                </c:pt>
                <c:pt idx="1">
                  <c:v>22.586471068666985</c:v>
                </c:pt>
              </c:numCache>
            </c:numRef>
          </c:val>
          <c:smooth val="0"/>
          <c:extLst>
            <c:ext xmlns:c16="http://schemas.microsoft.com/office/drawing/2014/chart" uri="{C3380CC4-5D6E-409C-BE32-E72D297353CC}">
              <c16:uniqueId val="{00000004-346E-4924-8C5C-41CBCA6095A5}"/>
            </c:ext>
          </c:extLst>
        </c:ser>
        <c:dLbls>
          <c:showLegendKey val="0"/>
          <c:showVal val="0"/>
          <c:showCatName val="0"/>
          <c:showSerName val="0"/>
          <c:showPercent val="0"/>
          <c:showBubbleSize val="0"/>
        </c:dLbls>
        <c:marker val="1"/>
        <c:smooth val="0"/>
        <c:axId val="335236096"/>
        <c:axId val="335234560"/>
      </c:lineChart>
      <c:catAx>
        <c:axId val="335161600"/>
        <c:scaling>
          <c:orientation val="minMax"/>
        </c:scaling>
        <c:delete val="0"/>
        <c:axPos val="b"/>
        <c:numFmt formatCode="General" sourceLinked="1"/>
        <c:majorTickMark val="out"/>
        <c:minorTickMark val="none"/>
        <c:tickLblPos val="nextTo"/>
        <c:crossAx val="335233024"/>
        <c:crosses val="autoZero"/>
        <c:auto val="1"/>
        <c:lblAlgn val="ctr"/>
        <c:lblOffset val="100"/>
        <c:noMultiLvlLbl val="0"/>
      </c:catAx>
      <c:valAx>
        <c:axId val="335233024"/>
        <c:scaling>
          <c:orientation val="minMax"/>
        </c:scaling>
        <c:delete val="0"/>
        <c:axPos val="l"/>
        <c:numFmt formatCode="#,##0.0" sourceLinked="1"/>
        <c:majorTickMark val="out"/>
        <c:minorTickMark val="none"/>
        <c:tickLblPos val="nextTo"/>
        <c:crossAx val="335161600"/>
        <c:crosses val="autoZero"/>
        <c:crossBetween val="between"/>
      </c:valAx>
      <c:valAx>
        <c:axId val="335234560"/>
        <c:scaling>
          <c:orientation val="minMax"/>
        </c:scaling>
        <c:delete val="0"/>
        <c:axPos val="r"/>
        <c:numFmt formatCode="#,##0.0" sourceLinked="1"/>
        <c:majorTickMark val="out"/>
        <c:minorTickMark val="none"/>
        <c:tickLblPos val="nextTo"/>
        <c:crossAx val="335236096"/>
        <c:crosses val="max"/>
        <c:crossBetween val="between"/>
      </c:valAx>
      <c:catAx>
        <c:axId val="335236096"/>
        <c:scaling>
          <c:orientation val="minMax"/>
        </c:scaling>
        <c:delete val="1"/>
        <c:axPos val="b"/>
        <c:majorTickMark val="out"/>
        <c:minorTickMark val="none"/>
        <c:tickLblPos val="none"/>
        <c:crossAx val="335234560"/>
        <c:crosses val="autoZero"/>
        <c:auto val="1"/>
        <c:lblAlgn val="ctr"/>
        <c:lblOffset val="100"/>
        <c:noMultiLvlLbl val="0"/>
      </c:catAx>
    </c:plotArea>
    <c:legend>
      <c:legendPos val="r"/>
      <c:layout>
        <c:manualLayout>
          <c:xMode val="edge"/>
          <c:yMode val="edge"/>
          <c:x val="0"/>
          <c:y val="0.81079836953856566"/>
          <c:w val="0.9973309257395061"/>
          <c:h val="0.18920163046149138"/>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Agregados monetarios, crecimiento porcentual</a:t>
            </a:r>
          </a:p>
        </c:rich>
      </c:tx>
      <c:overlay val="0"/>
    </c:title>
    <c:autoTitleDeleted val="0"/>
    <c:plotArea>
      <c:layout>
        <c:manualLayout>
          <c:layoutTarget val="inner"/>
          <c:xMode val="edge"/>
          <c:yMode val="edge"/>
          <c:x val="0.10671264776114589"/>
          <c:y val="0.11943097549396763"/>
          <c:w val="0.80350443036725649"/>
          <c:h val="0.76957388642431601"/>
        </c:manualLayout>
      </c:layout>
      <c:lineChart>
        <c:grouping val="standard"/>
        <c:varyColors val="0"/>
        <c:ser>
          <c:idx val="3"/>
          <c:order val="0"/>
          <c:tx>
            <c:strRef>
              <c:f>MON_IND!$C$11</c:f>
              <c:strCache>
                <c:ptCount val="1"/>
                <c:pt idx="0">
                  <c:v>Dinero en sentido amplio</c:v>
                </c:pt>
              </c:strCache>
            </c:strRef>
          </c:tx>
          <c:marker>
            <c:symbol val="none"/>
          </c:marker>
          <c:cat>
            <c:numRef>
              <c:f>MON_IND!$E$3:$K$3</c:f>
              <c:numCache>
                <c:formatCode>General</c:formatCode>
                <c:ptCount val="7"/>
                <c:pt idx="0">
                  <c:v>2007</c:v>
                </c:pt>
                <c:pt idx="1">
                  <c:v>2008</c:v>
                </c:pt>
                <c:pt idx="2">
                  <c:v>2009</c:v>
                </c:pt>
                <c:pt idx="3">
                  <c:v>2010</c:v>
                </c:pt>
                <c:pt idx="4">
                  <c:v>2011</c:v>
                </c:pt>
                <c:pt idx="5">
                  <c:v>2012</c:v>
                </c:pt>
                <c:pt idx="6">
                  <c:v>2013</c:v>
                </c:pt>
              </c:numCache>
            </c:numRef>
          </c:cat>
          <c:val>
            <c:numRef>
              <c:f>MON_IND!$E$11:$K$11</c:f>
              <c:numCache>
                <c:formatCode>#,##0.0</c:formatCode>
                <c:ptCount val="7"/>
                <c:pt idx="0">
                  <c:v>20.466308347084833</c:v>
                </c:pt>
                <c:pt idx="1">
                  <c:v>17.401568400401459</c:v>
                </c:pt>
                <c:pt idx="2">
                  <c:v>8.0332619156457667</c:v>
                </c:pt>
                <c:pt idx="3">
                  <c:v>0.79500650702061648</c:v>
                </c:pt>
                <c:pt idx="4">
                  <c:v>7.3200398965608713</c:v>
                </c:pt>
                <c:pt idx="5">
                  <c:v>9.1000000000001791</c:v>
                </c:pt>
                <c:pt idx="6">
                  <c:v>9.0006393646420406</c:v>
                </c:pt>
              </c:numCache>
            </c:numRef>
          </c:val>
          <c:smooth val="0"/>
          <c:extLst>
            <c:ext xmlns:c16="http://schemas.microsoft.com/office/drawing/2014/chart" uri="{C3380CC4-5D6E-409C-BE32-E72D297353CC}">
              <c16:uniqueId val="{00000000-0FA8-43C5-AB59-9A47EEC1BB75}"/>
            </c:ext>
          </c:extLst>
        </c:ser>
        <c:dLbls>
          <c:showLegendKey val="0"/>
          <c:showVal val="0"/>
          <c:showCatName val="0"/>
          <c:showSerName val="0"/>
          <c:showPercent val="0"/>
          <c:showBubbleSize val="0"/>
        </c:dLbls>
        <c:smooth val="0"/>
        <c:axId val="335252864"/>
        <c:axId val="333649024"/>
      </c:lineChart>
      <c:catAx>
        <c:axId val="335252864"/>
        <c:scaling>
          <c:orientation val="minMax"/>
        </c:scaling>
        <c:delete val="0"/>
        <c:axPos val="b"/>
        <c:numFmt formatCode="General" sourceLinked="1"/>
        <c:majorTickMark val="out"/>
        <c:minorTickMark val="none"/>
        <c:tickLblPos val="nextTo"/>
        <c:crossAx val="333649024"/>
        <c:crosses val="autoZero"/>
        <c:auto val="1"/>
        <c:lblAlgn val="ctr"/>
        <c:lblOffset val="100"/>
        <c:noMultiLvlLbl val="0"/>
      </c:catAx>
      <c:valAx>
        <c:axId val="333649024"/>
        <c:scaling>
          <c:orientation val="minMax"/>
        </c:scaling>
        <c:delete val="0"/>
        <c:axPos val="l"/>
        <c:numFmt formatCode="#,##0.0" sourceLinked="1"/>
        <c:majorTickMark val="out"/>
        <c:minorTickMark val="none"/>
        <c:tickLblPos val="nextTo"/>
        <c:crossAx val="335252864"/>
        <c:crosses val="autoZero"/>
        <c:crossBetween val="between"/>
      </c:valAx>
    </c:plotArea>
    <c:legend>
      <c:legendPos val="r"/>
      <c:layout>
        <c:manualLayout>
          <c:xMode val="edge"/>
          <c:yMode val="edge"/>
          <c:x val="0.46382195646596808"/>
          <c:y val="0.15383371257387021"/>
          <c:w val="0.23849624060151292"/>
          <c:h val="5.6835878883122956E-2"/>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Contribución al crecimiento del dinero en sentido amplio, porcentaje </a:t>
            </a:r>
          </a:p>
        </c:rich>
      </c:tx>
      <c:overlay val="0"/>
    </c:title>
    <c:autoTitleDeleted val="0"/>
    <c:plotArea>
      <c:layout>
        <c:manualLayout>
          <c:layoutTarget val="inner"/>
          <c:xMode val="edge"/>
          <c:yMode val="edge"/>
          <c:x val="0.10671264776114595"/>
          <c:y val="0.11943097549396763"/>
          <c:w val="0.80350443036725649"/>
          <c:h val="0.67809779494820765"/>
        </c:manualLayout>
      </c:layout>
      <c:barChart>
        <c:barDir val="col"/>
        <c:grouping val="stacked"/>
        <c:varyColors val="0"/>
        <c:ser>
          <c:idx val="2"/>
          <c:order val="0"/>
          <c:tx>
            <c:v>Otras partidas</c:v>
          </c:tx>
          <c:invertIfNegative val="0"/>
          <c:val>
            <c:numRef>
              <c:f>MON_IND!$E$21:$K$21</c:f>
              <c:numCache>
                <c:formatCode>#,##0.0</c:formatCode>
                <c:ptCount val="7"/>
                <c:pt idx="0">
                  <c:v>-5.2241709595706478</c:v>
                </c:pt>
                <c:pt idx="1">
                  <c:v>-8.4471194864519283</c:v>
                </c:pt>
                <c:pt idx="2">
                  <c:v>-5.4336583184115819</c:v>
                </c:pt>
                <c:pt idx="3">
                  <c:v>-4.3079813371138265</c:v>
                </c:pt>
                <c:pt idx="4">
                  <c:v>-2.5019253842099505</c:v>
                </c:pt>
                <c:pt idx="5">
                  <c:v>-7.4423842973362673</c:v>
                </c:pt>
                <c:pt idx="6">
                  <c:v>-3.3953427200081232</c:v>
                </c:pt>
              </c:numCache>
            </c:numRef>
          </c:val>
          <c:extLst>
            <c:ext xmlns:c16="http://schemas.microsoft.com/office/drawing/2014/chart" uri="{C3380CC4-5D6E-409C-BE32-E72D297353CC}">
              <c16:uniqueId val="{00000000-9A25-4B51-993A-31DBE8952880}"/>
            </c:ext>
          </c:extLst>
        </c:ser>
        <c:ser>
          <c:idx val="0"/>
          <c:order val="1"/>
          <c:tx>
            <c:v>Derechos netos frente al sector público</c:v>
          </c:tx>
          <c:invertIfNegative val="0"/>
          <c:val>
            <c:numRef>
              <c:f>MON_IND!$E$19:$K$19</c:f>
              <c:numCache>
                <c:formatCode>#,##0.0</c:formatCode>
                <c:ptCount val="7"/>
                <c:pt idx="0">
                  <c:v>-3.5152512526348745</c:v>
                </c:pt>
                <c:pt idx="1">
                  <c:v>0.48495402143382227</c:v>
                </c:pt>
                <c:pt idx="2">
                  <c:v>2.929731717488981</c:v>
                </c:pt>
                <c:pt idx="3">
                  <c:v>0.45893224483794559</c:v>
                </c:pt>
                <c:pt idx="4">
                  <c:v>2.5035948420273599</c:v>
                </c:pt>
                <c:pt idx="5">
                  <c:v>2.7639696254561312</c:v>
                </c:pt>
                <c:pt idx="6">
                  <c:v>5.0568684118436185</c:v>
                </c:pt>
              </c:numCache>
            </c:numRef>
          </c:val>
          <c:extLst>
            <c:ext xmlns:c16="http://schemas.microsoft.com/office/drawing/2014/chart" uri="{C3380CC4-5D6E-409C-BE32-E72D297353CC}">
              <c16:uniqueId val="{00000001-9A25-4B51-993A-31DBE8952880}"/>
            </c:ext>
          </c:extLst>
        </c:ser>
        <c:ser>
          <c:idx val="3"/>
          <c:order val="3"/>
          <c:tx>
            <c:v>Derechos netos frente al sector privado</c:v>
          </c:tx>
          <c:invertIfNegative val="0"/>
          <c:val>
            <c:numRef>
              <c:f>MON_IND!$E$20:$K$20</c:f>
              <c:numCache>
                <c:formatCode>#,##0.0</c:formatCode>
                <c:ptCount val="7"/>
                <c:pt idx="0">
                  <c:v>27.031996176619995</c:v>
                </c:pt>
                <c:pt idx="1">
                  <c:v>25.991109989558232</c:v>
                </c:pt>
                <c:pt idx="2">
                  <c:v>4.8833928478290991</c:v>
                </c:pt>
                <c:pt idx="3">
                  <c:v>4.4399275023116482</c:v>
                </c:pt>
                <c:pt idx="4">
                  <c:v>11.589863948419914</c:v>
                </c:pt>
                <c:pt idx="5">
                  <c:v>7.8754810828557789</c:v>
                </c:pt>
                <c:pt idx="6">
                  <c:v>6.6328111986482554</c:v>
                </c:pt>
              </c:numCache>
            </c:numRef>
          </c:val>
          <c:extLst>
            <c:ext xmlns:c16="http://schemas.microsoft.com/office/drawing/2014/chart" uri="{C3380CC4-5D6E-409C-BE32-E72D297353CC}">
              <c16:uniqueId val="{00000002-9A25-4B51-993A-31DBE8952880}"/>
            </c:ext>
          </c:extLst>
        </c:ser>
        <c:ser>
          <c:idx val="1"/>
          <c:order val="4"/>
          <c:tx>
            <c:v>AEN (soc. fin.)</c:v>
          </c:tx>
          <c:invertIfNegative val="0"/>
          <c:cat>
            <c:numRef>
              <c:f>MON_IND!$E$3:$K$3</c:f>
              <c:numCache>
                <c:formatCode>General</c:formatCode>
                <c:ptCount val="7"/>
                <c:pt idx="0">
                  <c:v>2007</c:v>
                </c:pt>
                <c:pt idx="1">
                  <c:v>2008</c:v>
                </c:pt>
                <c:pt idx="2">
                  <c:v>2009</c:v>
                </c:pt>
                <c:pt idx="3">
                  <c:v>2010</c:v>
                </c:pt>
                <c:pt idx="4">
                  <c:v>2011</c:v>
                </c:pt>
                <c:pt idx="5">
                  <c:v>2012</c:v>
                </c:pt>
                <c:pt idx="6">
                  <c:v>2013</c:v>
                </c:pt>
              </c:numCache>
            </c:numRef>
          </c:cat>
          <c:val>
            <c:numRef>
              <c:f>MON_IND!$E$17:$K$17</c:f>
              <c:numCache>
                <c:formatCode>#,##0.0</c:formatCode>
                <c:ptCount val="7"/>
                <c:pt idx="0">
                  <c:v>2.1737343826703786</c:v>
                </c:pt>
                <c:pt idx="1">
                  <c:v>-0.62737612413867272</c:v>
                </c:pt>
                <c:pt idx="2">
                  <c:v>5.6537956687392805</c:v>
                </c:pt>
                <c:pt idx="3">
                  <c:v>0.20412809698485751</c:v>
                </c:pt>
                <c:pt idx="4">
                  <c:v>-4.2714935096764437</c:v>
                </c:pt>
                <c:pt idx="5">
                  <c:v>5.9029335890245216</c:v>
                </c:pt>
                <c:pt idx="6">
                  <c:v>0.70630247415830227</c:v>
                </c:pt>
              </c:numCache>
            </c:numRef>
          </c:val>
          <c:extLst>
            <c:ext xmlns:c16="http://schemas.microsoft.com/office/drawing/2014/chart" uri="{C3380CC4-5D6E-409C-BE32-E72D297353CC}">
              <c16:uniqueId val="{00000003-9A25-4B51-993A-31DBE8952880}"/>
            </c:ext>
          </c:extLst>
        </c:ser>
        <c:dLbls>
          <c:showLegendKey val="0"/>
          <c:showVal val="0"/>
          <c:showCatName val="0"/>
          <c:showSerName val="0"/>
          <c:showPercent val="0"/>
          <c:showBubbleSize val="0"/>
        </c:dLbls>
        <c:gapWidth val="150"/>
        <c:overlap val="100"/>
        <c:axId val="333691136"/>
        <c:axId val="329981952"/>
      </c:barChart>
      <c:lineChart>
        <c:grouping val="standard"/>
        <c:varyColors val="0"/>
        <c:ser>
          <c:idx val="4"/>
          <c:order val="2"/>
          <c:tx>
            <c:v>Dinero en sentido amplio (crecimiento, en porcentaje)</c:v>
          </c:tx>
          <c:marker>
            <c:symbol val="none"/>
          </c:marker>
          <c:val>
            <c:numRef>
              <c:f>MON_IND!$E$11:$K$11</c:f>
              <c:numCache>
                <c:formatCode>#,##0.0</c:formatCode>
                <c:ptCount val="7"/>
                <c:pt idx="0">
                  <c:v>20.466308347084833</c:v>
                </c:pt>
                <c:pt idx="1">
                  <c:v>17.401568400401459</c:v>
                </c:pt>
                <c:pt idx="2">
                  <c:v>8.0332619156457667</c:v>
                </c:pt>
                <c:pt idx="3">
                  <c:v>0.79500650702061648</c:v>
                </c:pt>
                <c:pt idx="4">
                  <c:v>7.3200398965608713</c:v>
                </c:pt>
                <c:pt idx="5">
                  <c:v>9.1000000000001791</c:v>
                </c:pt>
                <c:pt idx="6">
                  <c:v>9.0006393646420406</c:v>
                </c:pt>
              </c:numCache>
            </c:numRef>
          </c:val>
          <c:smooth val="0"/>
          <c:extLst>
            <c:ext xmlns:c16="http://schemas.microsoft.com/office/drawing/2014/chart" uri="{C3380CC4-5D6E-409C-BE32-E72D297353CC}">
              <c16:uniqueId val="{00000004-9A25-4B51-993A-31DBE8952880}"/>
            </c:ext>
          </c:extLst>
        </c:ser>
        <c:dLbls>
          <c:showLegendKey val="0"/>
          <c:showVal val="0"/>
          <c:showCatName val="0"/>
          <c:showSerName val="0"/>
          <c:showPercent val="0"/>
          <c:showBubbleSize val="0"/>
        </c:dLbls>
        <c:marker val="1"/>
        <c:smooth val="0"/>
        <c:axId val="333691136"/>
        <c:axId val="329981952"/>
      </c:lineChart>
      <c:catAx>
        <c:axId val="333691136"/>
        <c:scaling>
          <c:orientation val="minMax"/>
        </c:scaling>
        <c:delete val="0"/>
        <c:axPos val="b"/>
        <c:numFmt formatCode="General" sourceLinked="1"/>
        <c:majorTickMark val="out"/>
        <c:minorTickMark val="none"/>
        <c:tickLblPos val="nextTo"/>
        <c:crossAx val="329981952"/>
        <c:crosses val="autoZero"/>
        <c:auto val="1"/>
        <c:lblAlgn val="ctr"/>
        <c:lblOffset val="100"/>
        <c:noMultiLvlLbl val="0"/>
      </c:catAx>
      <c:valAx>
        <c:axId val="329981952"/>
        <c:scaling>
          <c:orientation val="minMax"/>
        </c:scaling>
        <c:delete val="0"/>
        <c:axPos val="l"/>
        <c:numFmt formatCode="#,##0.0" sourceLinked="1"/>
        <c:majorTickMark val="out"/>
        <c:minorTickMark val="none"/>
        <c:tickLblPos val="nextTo"/>
        <c:crossAx val="333691136"/>
        <c:crosses val="autoZero"/>
        <c:crossBetween val="between"/>
      </c:valAx>
    </c:plotArea>
    <c:legend>
      <c:legendPos val="r"/>
      <c:layout>
        <c:manualLayout>
          <c:xMode val="edge"/>
          <c:yMode val="edge"/>
          <c:x val="0.33196568438423868"/>
          <c:y val="0.1288856876258451"/>
          <c:w val="0.62102888797668077"/>
          <c:h val="0.21625550444448083"/>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Otros indicadores seleccionados, porcentaje</a:t>
            </a:r>
          </a:p>
        </c:rich>
      </c:tx>
      <c:overlay val="0"/>
    </c:title>
    <c:autoTitleDeleted val="0"/>
    <c:plotArea>
      <c:layout>
        <c:manualLayout>
          <c:layoutTarget val="inner"/>
          <c:xMode val="edge"/>
          <c:yMode val="edge"/>
          <c:x val="0.10671264776114595"/>
          <c:y val="0.11943097549396763"/>
          <c:w val="0.80350443036725649"/>
          <c:h val="0.66423778108818265"/>
        </c:manualLayout>
      </c:layout>
      <c:lineChart>
        <c:grouping val="standard"/>
        <c:varyColors val="0"/>
        <c:ser>
          <c:idx val="2"/>
          <c:order val="1"/>
          <c:tx>
            <c:strRef>
              <c:f>MON_IND!$C$26</c:f>
              <c:strCache>
                <c:ptCount val="1"/>
                <c:pt idx="0">
                  <c:v>Dinero en sentido amplio/PIB</c:v>
                </c:pt>
              </c:strCache>
            </c:strRef>
          </c:tx>
          <c:val>
            <c:numRef>
              <c:f>MON_IND!$D$26:$K$26</c:f>
              <c:numCache>
                <c:formatCode>#,##0.0</c:formatCode>
                <c:ptCount val="8"/>
                <c:pt idx="0">
                  <c:v>56.746901228386513</c:v>
                </c:pt>
                <c:pt idx="1">
                  <c:v>57.852164031762186</c:v>
                </c:pt>
                <c:pt idx="2">
                  <c:v>59.711870957329936</c:v>
                </c:pt>
                <c:pt idx="3">
                  <c:v>60.371873661555917</c:v>
                </c:pt>
                <c:pt idx="4">
                  <c:v>54.355331913039095</c:v>
                </c:pt>
                <c:pt idx="5">
                  <c:v>52.93316365906616</c:v>
                </c:pt>
                <c:pt idx="6">
                  <c:v>53.029461928613586</c:v>
                </c:pt>
                <c:pt idx="7">
                  <c:v>51.718422537679942</c:v>
                </c:pt>
              </c:numCache>
            </c:numRef>
          </c:val>
          <c:smooth val="0"/>
          <c:extLst>
            <c:ext xmlns:c16="http://schemas.microsoft.com/office/drawing/2014/chart" uri="{C3380CC4-5D6E-409C-BE32-E72D297353CC}">
              <c16:uniqueId val="{00000000-F8EB-4617-80A4-B8D83D242DED}"/>
            </c:ext>
          </c:extLst>
        </c:ser>
        <c:ser>
          <c:idx val="1"/>
          <c:order val="2"/>
          <c:tx>
            <c:strRef>
              <c:f>MON_IND!$C$24</c:f>
              <c:strCache>
                <c:ptCount val="1"/>
                <c:pt idx="0">
                  <c:v>Crédito/depósitos</c:v>
                </c:pt>
              </c:strCache>
            </c:strRef>
          </c:tx>
          <c:cat>
            <c:numRef>
              <c:f>MON_IND!$D$3:$K$3</c:f>
              <c:numCache>
                <c:formatCode>General</c:formatCode>
                <c:ptCount val="8"/>
                <c:pt idx="0">
                  <c:v>2006</c:v>
                </c:pt>
                <c:pt idx="1">
                  <c:v>2007</c:v>
                </c:pt>
                <c:pt idx="2">
                  <c:v>2008</c:v>
                </c:pt>
                <c:pt idx="3">
                  <c:v>2009</c:v>
                </c:pt>
                <c:pt idx="4">
                  <c:v>2010</c:v>
                </c:pt>
                <c:pt idx="5">
                  <c:v>2011</c:v>
                </c:pt>
                <c:pt idx="6">
                  <c:v>2012</c:v>
                </c:pt>
                <c:pt idx="7">
                  <c:v>2013</c:v>
                </c:pt>
              </c:numCache>
            </c:numRef>
          </c:cat>
          <c:val>
            <c:numRef>
              <c:f>MON_IND!$D$24:$K$24</c:f>
              <c:numCache>
                <c:formatCode>#,##0.0</c:formatCode>
                <c:ptCount val="8"/>
                <c:pt idx="0">
                  <c:v>89.954670939125137</c:v>
                </c:pt>
                <c:pt idx="1">
                  <c:v>105.11871531100792</c:v>
                </c:pt>
                <c:pt idx="2">
                  <c:v>111.77208456809086</c:v>
                </c:pt>
                <c:pt idx="3">
                  <c:v>105.2796825422564</c:v>
                </c:pt>
                <c:pt idx="4">
                  <c:v>110.69078684555416</c:v>
                </c:pt>
                <c:pt idx="5">
                  <c:v>118.91598326176749</c:v>
                </c:pt>
                <c:pt idx="6">
                  <c:v>120.22987465126602</c:v>
                </c:pt>
                <c:pt idx="7">
                  <c:v>134.04195661022155</c:v>
                </c:pt>
              </c:numCache>
            </c:numRef>
          </c:val>
          <c:smooth val="0"/>
          <c:extLst>
            <c:ext xmlns:c16="http://schemas.microsoft.com/office/drawing/2014/chart" uri="{C3380CC4-5D6E-409C-BE32-E72D297353CC}">
              <c16:uniqueId val="{00000001-F8EB-4617-80A4-B8D83D242DED}"/>
            </c:ext>
          </c:extLst>
        </c:ser>
        <c:dLbls>
          <c:showLegendKey val="0"/>
          <c:showVal val="0"/>
          <c:showCatName val="0"/>
          <c:showSerName val="0"/>
          <c:showPercent val="0"/>
          <c:showBubbleSize val="0"/>
        </c:dLbls>
        <c:marker val="1"/>
        <c:smooth val="0"/>
        <c:axId val="330005888"/>
        <c:axId val="330011776"/>
      </c:lineChart>
      <c:lineChart>
        <c:grouping val="standard"/>
        <c:varyColors val="0"/>
        <c:ser>
          <c:idx val="0"/>
          <c:order val="0"/>
          <c:tx>
            <c:v>Monetary Base (rs)</c:v>
          </c:tx>
          <c:val>
            <c:numRef>
              <c:f>MON_IND!$D$25:$K$25</c:f>
              <c:numCache>
                <c:formatCode>#,##0.0</c:formatCode>
                <c:ptCount val="8"/>
                <c:pt idx="0">
                  <c:v>10.803825525225477</c:v>
                </c:pt>
                <c:pt idx="1">
                  <c:v>10.87531965687073</c:v>
                </c:pt>
                <c:pt idx="2">
                  <c:v>11.375623567096222</c:v>
                </c:pt>
                <c:pt idx="3">
                  <c:v>12.354676377556718</c:v>
                </c:pt>
                <c:pt idx="4">
                  <c:v>11.526494254957848</c:v>
                </c:pt>
                <c:pt idx="5">
                  <c:v>11.418028171993372</c:v>
                </c:pt>
                <c:pt idx="6">
                  <c:v>10.250227571587386</c:v>
                </c:pt>
                <c:pt idx="7">
                  <c:v>10.809186641371218</c:v>
                </c:pt>
              </c:numCache>
            </c:numRef>
          </c:val>
          <c:smooth val="0"/>
          <c:extLst>
            <c:ext xmlns:c16="http://schemas.microsoft.com/office/drawing/2014/chart" uri="{C3380CC4-5D6E-409C-BE32-E72D297353CC}">
              <c16:uniqueId val="{00000002-F8EB-4617-80A4-B8D83D242DED}"/>
            </c:ext>
          </c:extLst>
        </c:ser>
        <c:dLbls>
          <c:showLegendKey val="0"/>
          <c:showVal val="0"/>
          <c:showCatName val="0"/>
          <c:showSerName val="0"/>
          <c:showPercent val="0"/>
          <c:showBubbleSize val="0"/>
        </c:dLbls>
        <c:marker val="1"/>
        <c:smooth val="0"/>
        <c:axId val="330031488"/>
        <c:axId val="330013312"/>
      </c:lineChart>
      <c:catAx>
        <c:axId val="330005888"/>
        <c:scaling>
          <c:orientation val="minMax"/>
        </c:scaling>
        <c:delete val="0"/>
        <c:axPos val="b"/>
        <c:numFmt formatCode="General" sourceLinked="1"/>
        <c:majorTickMark val="out"/>
        <c:minorTickMark val="none"/>
        <c:tickLblPos val="nextTo"/>
        <c:crossAx val="330011776"/>
        <c:crosses val="autoZero"/>
        <c:auto val="1"/>
        <c:lblAlgn val="ctr"/>
        <c:lblOffset val="100"/>
        <c:noMultiLvlLbl val="0"/>
      </c:catAx>
      <c:valAx>
        <c:axId val="330011776"/>
        <c:scaling>
          <c:orientation val="minMax"/>
        </c:scaling>
        <c:delete val="0"/>
        <c:axPos val="l"/>
        <c:numFmt formatCode="#,##0.0" sourceLinked="1"/>
        <c:majorTickMark val="out"/>
        <c:minorTickMark val="none"/>
        <c:tickLblPos val="nextTo"/>
        <c:crossAx val="330005888"/>
        <c:crosses val="autoZero"/>
        <c:crossBetween val="between"/>
      </c:valAx>
      <c:valAx>
        <c:axId val="330013312"/>
        <c:scaling>
          <c:orientation val="minMax"/>
        </c:scaling>
        <c:delete val="0"/>
        <c:axPos val="r"/>
        <c:numFmt formatCode="#,##0.0" sourceLinked="1"/>
        <c:majorTickMark val="out"/>
        <c:minorTickMark val="none"/>
        <c:tickLblPos val="nextTo"/>
        <c:crossAx val="330031488"/>
        <c:crosses val="max"/>
        <c:crossBetween val="between"/>
      </c:valAx>
      <c:catAx>
        <c:axId val="330031488"/>
        <c:scaling>
          <c:orientation val="minMax"/>
        </c:scaling>
        <c:delete val="1"/>
        <c:axPos val="b"/>
        <c:majorTickMark val="out"/>
        <c:minorTickMark val="none"/>
        <c:tickLblPos val="none"/>
        <c:crossAx val="330013312"/>
        <c:crosses val="autoZero"/>
        <c:auto val="1"/>
        <c:lblAlgn val="ctr"/>
        <c:lblOffset val="100"/>
        <c:noMultiLvlLbl val="0"/>
      </c:catAx>
    </c:plotArea>
    <c:legend>
      <c:legendPos val="r"/>
      <c:layout>
        <c:manualLayout>
          <c:xMode val="edge"/>
          <c:yMode val="edge"/>
          <c:x val="0.14773173090205841"/>
          <c:y val="0.58092116557260498"/>
          <c:w val="0.46340852130328242"/>
          <c:h val="0.18656902291750393"/>
        </c:manualLayout>
      </c:layout>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baseline="0"/>
              <a:t>Otras relaciones seleccionadas</a:t>
            </a:r>
          </a:p>
        </c:rich>
      </c:tx>
      <c:overlay val="0"/>
    </c:title>
    <c:autoTitleDeleted val="0"/>
    <c:plotArea>
      <c:layout>
        <c:manualLayout>
          <c:layoutTarget val="inner"/>
          <c:xMode val="edge"/>
          <c:yMode val="edge"/>
          <c:x val="0.10671264776114602"/>
          <c:y val="0.11943097549396763"/>
          <c:w val="0.78852323234876565"/>
          <c:h val="0.63724717608683046"/>
        </c:manualLayout>
      </c:layout>
      <c:lineChart>
        <c:grouping val="standard"/>
        <c:varyColors val="0"/>
        <c:ser>
          <c:idx val="0"/>
          <c:order val="0"/>
          <c:tx>
            <c:strRef>
              <c:f>MON_IND!$C$28</c:f>
              <c:strCache>
                <c:ptCount val="1"/>
                <c:pt idx="0">
                  <c:v>Multiplicador del dinero</c:v>
                </c:pt>
              </c:strCache>
            </c:strRef>
          </c:tx>
          <c:marker>
            <c:symbol val="none"/>
          </c:marker>
          <c:val>
            <c:numRef>
              <c:f>MON_IND!$D$28:$K$28</c:f>
              <c:numCache>
                <c:formatCode>#,##0.0</c:formatCode>
                <c:ptCount val="8"/>
                <c:pt idx="0">
                  <c:v>5.2524821967820694</c:v>
                </c:pt>
                <c:pt idx="1">
                  <c:v>5.3195828589013257</c:v>
                </c:pt>
                <c:pt idx="2">
                  <c:v>5.2491074977239407</c:v>
                </c:pt>
                <c:pt idx="3">
                  <c:v>4.8865605068560418</c:v>
                </c:pt>
                <c:pt idx="4">
                  <c:v>4.7156863752965865</c:v>
                </c:pt>
                <c:pt idx="5">
                  <c:v>4.6359286263544952</c:v>
                </c:pt>
                <c:pt idx="6">
                  <c:v>5.173491179415957</c:v>
                </c:pt>
                <c:pt idx="7">
                  <c:v>4.7846729132913843</c:v>
                </c:pt>
              </c:numCache>
            </c:numRef>
          </c:val>
          <c:smooth val="0"/>
          <c:extLst>
            <c:ext xmlns:c16="http://schemas.microsoft.com/office/drawing/2014/chart" uri="{C3380CC4-5D6E-409C-BE32-E72D297353CC}">
              <c16:uniqueId val="{00000000-A0B9-4E99-B045-F48E8AEB06F7}"/>
            </c:ext>
          </c:extLst>
        </c:ser>
        <c:ser>
          <c:idx val="2"/>
          <c:order val="1"/>
          <c:tx>
            <c:strRef>
              <c:f>MON_IND!$C$29</c:f>
              <c:strCache>
                <c:ptCount val="1"/>
                <c:pt idx="0">
                  <c:v>Dinero/depósitos</c:v>
                </c:pt>
              </c:strCache>
            </c:strRef>
          </c:tx>
          <c:marker>
            <c:symbol val="none"/>
          </c:marker>
          <c:val>
            <c:numRef>
              <c:f>MON_IND!$D$29:$K$29</c:f>
              <c:numCache>
                <c:formatCode>#,##0.0</c:formatCode>
                <c:ptCount val="8"/>
                <c:pt idx="0">
                  <c:v>8.2973013042458934</c:v>
                </c:pt>
                <c:pt idx="1">
                  <c:v>9.3196087151129294</c:v>
                </c:pt>
                <c:pt idx="2">
                  <c:v>7.9250654660862656</c:v>
                </c:pt>
                <c:pt idx="3">
                  <c:v>7.5574697680915461</c:v>
                </c:pt>
                <c:pt idx="4">
                  <c:v>8.2145722786326161</c:v>
                </c:pt>
                <c:pt idx="5">
                  <c:v>8.7732946727424341</c:v>
                </c:pt>
                <c:pt idx="6">
                  <c:v>9.3335618490090191</c:v>
                </c:pt>
                <c:pt idx="7">
                  <c:v>10.226728830028483</c:v>
                </c:pt>
              </c:numCache>
            </c:numRef>
          </c:val>
          <c:smooth val="0"/>
          <c:extLst>
            <c:ext xmlns:c16="http://schemas.microsoft.com/office/drawing/2014/chart" uri="{C3380CC4-5D6E-409C-BE32-E72D297353CC}">
              <c16:uniqueId val="{00000001-A0B9-4E99-B045-F48E8AEB06F7}"/>
            </c:ext>
          </c:extLst>
        </c:ser>
        <c:ser>
          <c:idx val="1"/>
          <c:order val="2"/>
          <c:tx>
            <c:strRef>
              <c:f>MON_IND!$C$27</c:f>
              <c:strCache>
                <c:ptCount val="1"/>
                <c:pt idx="0">
                  <c:v>Velocidad (PIB/promedio dinero en sentido amplio)</c:v>
                </c:pt>
              </c:strCache>
            </c:strRef>
          </c:tx>
          <c:marker>
            <c:symbol val="none"/>
          </c:marker>
          <c:dPt>
            <c:idx val="1"/>
            <c:bubble3D val="0"/>
            <c:spPr>
              <a:ln>
                <a:noFill/>
              </a:ln>
            </c:spPr>
            <c:extLst>
              <c:ext xmlns:c16="http://schemas.microsoft.com/office/drawing/2014/chart" uri="{C3380CC4-5D6E-409C-BE32-E72D297353CC}">
                <c16:uniqueId val="{00000002-A0B9-4E99-B045-F48E8AEB06F7}"/>
              </c:ext>
            </c:extLst>
          </c:dPt>
          <c:cat>
            <c:numRef>
              <c:f>MON_IND!$D$3:$K$3</c:f>
              <c:numCache>
                <c:formatCode>General</c:formatCode>
                <c:ptCount val="8"/>
                <c:pt idx="0">
                  <c:v>2006</c:v>
                </c:pt>
                <c:pt idx="1">
                  <c:v>2007</c:v>
                </c:pt>
                <c:pt idx="2">
                  <c:v>2008</c:v>
                </c:pt>
                <c:pt idx="3">
                  <c:v>2009</c:v>
                </c:pt>
                <c:pt idx="4">
                  <c:v>2010</c:v>
                </c:pt>
                <c:pt idx="5">
                  <c:v>2011</c:v>
                </c:pt>
                <c:pt idx="6">
                  <c:v>2012</c:v>
                </c:pt>
                <c:pt idx="7">
                  <c:v>2013</c:v>
                </c:pt>
              </c:numCache>
            </c:numRef>
          </c:cat>
          <c:val>
            <c:numRef>
              <c:f>MON_IND!$D$27:$K$27</c:f>
              <c:numCache>
                <c:formatCode>#,##0.0</c:formatCode>
                <c:ptCount val="8"/>
                <c:pt idx="0" formatCode="#,##0">
                  <c:v>0</c:v>
                </c:pt>
                <c:pt idx="1">
                  <c:v>1.8890078316367183</c:v>
                </c:pt>
                <c:pt idx="2">
                  <c:v>1.8087583224305759</c:v>
                </c:pt>
                <c:pt idx="3">
                  <c:v>1.7203628336154217</c:v>
                </c:pt>
                <c:pt idx="4">
                  <c:v>1.8470300132064119</c:v>
                </c:pt>
                <c:pt idx="5">
                  <c:v>1.9558776595048764</c:v>
                </c:pt>
                <c:pt idx="6">
                  <c:v>1.9678114938596329</c:v>
                </c:pt>
                <c:pt idx="7">
                  <c:v>2.0168154347994856</c:v>
                </c:pt>
              </c:numCache>
            </c:numRef>
          </c:val>
          <c:smooth val="0"/>
          <c:extLst>
            <c:ext xmlns:c16="http://schemas.microsoft.com/office/drawing/2014/chart" uri="{C3380CC4-5D6E-409C-BE32-E72D297353CC}">
              <c16:uniqueId val="{00000003-A0B9-4E99-B045-F48E8AEB06F7}"/>
            </c:ext>
          </c:extLst>
        </c:ser>
        <c:dLbls>
          <c:showLegendKey val="0"/>
          <c:showVal val="0"/>
          <c:showCatName val="0"/>
          <c:showSerName val="0"/>
          <c:showPercent val="0"/>
          <c:showBubbleSize val="0"/>
        </c:dLbls>
        <c:smooth val="0"/>
        <c:axId val="335969280"/>
        <c:axId val="335979264"/>
      </c:lineChart>
      <c:catAx>
        <c:axId val="335969280"/>
        <c:scaling>
          <c:orientation val="minMax"/>
        </c:scaling>
        <c:delete val="0"/>
        <c:axPos val="b"/>
        <c:numFmt formatCode="General" sourceLinked="1"/>
        <c:majorTickMark val="out"/>
        <c:minorTickMark val="none"/>
        <c:tickLblPos val="nextTo"/>
        <c:crossAx val="335979264"/>
        <c:crosses val="autoZero"/>
        <c:auto val="1"/>
        <c:lblAlgn val="ctr"/>
        <c:lblOffset val="100"/>
        <c:noMultiLvlLbl val="0"/>
      </c:catAx>
      <c:valAx>
        <c:axId val="335979264"/>
        <c:scaling>
          <c:orientation val="minMax"/>
        </c:scaling>
        <c:delete val="0"/>
        <c:axPos val="l"/>
        <c:numFmt formatCode="#,##0.0" sourceLinked="1"/>
        <c:majorTickMark val="out"/>
        <c:minorTickMark val="none"/>
        <c:tickLblPos val="nextTo"/>
        <c:crossAx val="335969280"/>
        <c:crosses val="autoZero"/>
        <c:crossBetween val="between"/>
      </c:valAx>
    </c:plotArea>
    <c:legend>
      <c:legendPos val="b"/>
      <c:overlay val="0"/>
    </c:legend>
    <c:plotVisOnly val="1"/>
    <c:dispBlanksAs val="gap"/>
    <c:showDLblsOverMax val="0"/>
  </c:chart>
  <c:txPr>
    <a:bodyPr/>
    <a:lstStyle/>
    <a:p>
      <a:pPr>
        <a:defRPr sz="1200"/>
      </a:pPr>
      <a:endParaRPr lang="es-BO"/>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32749242122013E-2"/>
          <c:y val="0.11943115118685572"/>
          <c:w val="0.8682137920862113"/>
          <c:h val="0.8223009808834455"/>
        </c:manualLayout>
      </c:layout>
      <c:barChart>
        <c:barDir val="col"/>
        <c:grouping val="clustered"/>
        <c:varyColors val="0"/>
        <c:ser>
          <c:idx val="0"/>
          <c:order val="1"/>
          <c:tx>
            <c:v>Brecha del producto</c:v>
          </c:tx>
          <c:spPr>
            <a:solidFill>
              <a:schemeClr val="accent5"/>
            </a:solidFill>
          </c:spPr>
          <c:invertIfNegative val="0"/>
          <c:val>
            <c:numRef>
              <c:f>PIB_real!$F$50:$K$50</c:f>
              <c:numCache>
                <c:formatCode>#,##0.0</c:formatCode>
                <c:ptCount val="6"/>
                <c:pt idx="0">
                  <c:v>3.752771259807973</c:v>
                </c:pt>
                <c:pt idx="1">
                  <c:v>-1.5797419566411386</c:v>
                </c:pt>
                <c:pt idx="2">
                  <c:v>-1.2262807984142379</c:v>
                </c:pt>
                <c:pt idx="3">
                  <c:v>-1.3561522298677944</c:v>
                </c:pt>
                <c:pt idx="4">
                  <c:v>0.27332419190744062</c:v>
                </c:pt>
                <c:pt idx="5">
                  <c:v>0.8113223736493943</c:v>
                </c:pt>
              </c:numCache>
            </c:numRef>
          </c:val>
          <c:extLst>
            <c:ext xmlns:c16="http://schemas.microsoft.com/office/drawing/2014/chart" uri="{C3380CC4-5D6E-409C-BE32-E72D297353CC}">
              <c16:uniqueId val="{00000000-3D18-4EDC-BB0F-06CDEB35CED1}"/>
            </c:ext>
          </c:extLst>
        </c:ser>
        <c:dLbls>
          <c:showLegendKey val="0"/>
          <c:showVal val="0"/>
          <c:showCatName val="0"/>
          <c:showSerName val="0"/>
          <c:showPercent val="0"/>
          <c:showBubbleSize val="0"/>
        </c:dLbls>
        <c:gapWidth val="150"/>
        <c:axId val="336793600"/>
        <c:axId val="336795136"/>
      </c:barChart>
      <c:lineChart>
        <c:grouping val="standard"/>
        <c:varyColors val="0"/>
        <c:ser>
          <c:idx val="1"/>
          <c:order val="0"/>
          <c:tx>
            <c:v>Crecimiento del PIB real</c:v>
          </c:tx>
          <c:spPr>
            <a:ln>
              <a:solidFill>
                <a:schemeClr val="accent1"/>
              </a:solidFill>
            </a:ln>
          </c:spPr>
          <c:marker>
            <c:symbol val="none"/>
          </c:marker>
          <c:cat>
            <c:numRef>
              <c:f>PIB_real!$F$3:$K$3</c:f>
              <c:numCache>
                <c:formatCode>0</c:formatCode>
                <c:ptCount val="6"/>
                <c:pt idx="0">
                  <c:v>2008</c:v>
                </c:pt>
                <c:pt idx="1">
                  <c:v>2009</c:v>
                </c:pt>
                <c:pt idx="2">
                  <c:v>2010</c:v>
                </c:pt>
                <c:pt idx="3">
                  <c:v>2011</c:v>
                </c:pt>
                <c:pt idx="4">
                  <c:v>2012</c:v>
                </c:pt>
                <c:pt idx="5">
                  <c:v>2013</c:v>
                </c:pt>
              </c:numCache>
            </c:numRef>
          </c:cat>
          <c:val>
            <c:numRef>
              <c:f>PIB_real!$F$23:$K$23</c:f>
              <c:numCache>
                <c:formatCode>#,##0.0</c:formatCode>
                <c:ptCount val="6"/>
                <c:pt idx="0">
                  <c:v>2.4011889271438065</c:v>
                </c:pt>
                <c:pt idx="1">
                  <c:v>-1.6305202034061921</c:v>
                </c:pt>
                <c:pt idx="2">
                  <c:v>4.8594957523365707</c:v>
                </c:pt>
                <c:pt idx="3">
                  <c:v>5.6553885268151021</c:v>
                </c:pt>
                <c:pt idx="4">
                  <c:v>4.185178984470511</c:v>
                </c:pt>
                <c:pt idx="5">
                  <c:v>4.5579929792104679</c:v>
                </c:pt>
              </c:numCache>
            </c:numRef>
          </c:val>
          <c:smooth val="0"/>
          <c:extLst>
            <c:ext xmlns:c16="http://schemas.microsoft.com/office/drawing/2014/chart" uri="{C3380CC4-5D6E-409C-BE32-E72D297353CC}">
              <c16:uniqueId val="{00000001-3D18-4EDC-BB0F-06CDEB35CED1}"/>
            </c:ext>
          </c:extLst>
        </c:ser>
        <c:dLbls>
          <c:showLegendKey val="0"/>
          <c:showVal val="0"/>
          <c:showCatName val="0"/>
          <c:showSerName val="0"/>
          <c:showPercent val="0"/>
          <c:showBubbleSize val="0"/>
        </c:dLbls>
        <c:marker val="1"/>
        <c:smooth val="0"/>
        <c:axId val="336793600"/>
        <c:axId val="336795136"/>
      </c:lineChart>
      <c:dateAx>
        <c:axId val="336793600"/>
        <c:scaling>
          <c:orientation val="minMax"/>
        </c:scaling>
        <c:delete val="0"/>
        <c:axPos val="b"/>
        <c:numFmt formatCode="0" sourceLinked="1"/>
        <c:majorTickMark val="out"/>
        <c:minorTickMark val="none"/>
        <c:tickLblPos val="nextTo"/>
        <c:crossAx val="336795136"/>
        <c:crosses val="autoZero"/>
        <c:auto val="0"/>
        <c:lblOffset val="100"/>
        <c:baseTimeUnit val="days"/>
      </c:dateAx>
      <c:valAx>
        <c:axId val="336795136"/>
        <c:scaling>
          <c:orientation val="minMax"/>
        </c:scaling>
        <c:delete val="0"/>
        <c:axPos val="l"/>
        <c:numFmt formatCode="#,##0.0" sourceLinked="1"/>
        <c:majorTickMark val="out"/>
        <c:minorTickMark val="none"/>
        <c:tickLblPos val="nextTo"/>
        <c:crossAx val="336793600"/>
        <c:crossesAt val="1"/>
        <c:crossBetween val="between"/>
      </c:valAx>
    </c:plotArea>
    <c:legend>
      <c:legendPos val="r"/>
      <c:layout>
        <c:manualLayout>
          <c:xMode val="edge"/>
          <c:yMode val="edge"/>
          <c:x val="0.40524296633008849"/>
          <c:y val="0.45664295327821575"/>
          <c:w val="0.49789047630043898"/>
          <c:h val="0.22592755481607871"/>
        </c:manualLayout>
      </c:layout>
      <c:overlay val="0"/>
      <c:spPr>
        <a:noFill/>
      </c:spPr>
    </c:legend>
    <c:plotVisOnly val="1"/>
    <c:dispBlanksAs val="gap"/>
    <c:showDLblsOverMax val="0"/>
  </c:chart>
  <c:spPr>
    <a:ln w="9525">
      <a:noFill/>
    </a:ln>
  </c:spPr>
  <c:txPr>
    <a:bodyPr/>
    <a:lstStyle/>
    <a:p>
      <a:pPr>
        <a:defRPr sz="1000"/>
      </a:pPr>
      <a:endParaRPr lang="es-BO"/>
    </a:p>
  </c:txPr>
  <c:printSettings>
    <c:headerFooter/>
    <c:pageMargins b="0.75000000000001121" l="0.70000000000000062" r="0.70000000000000062" t="0.75000000000001121" header="0.30000000000000032" footer="0.30000000000000032"/>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32749242122013E-2"/>
          <c:y val="0.18672590219627977"/>
          <c:w val="0.91437402540853363"/>
          <c:h val="0.72135885436932246"/>
        </c:manualLayout>
      </c:layout>
      <c:lineChart>
        <c:grouping val="standard"/>
        <c:varyColors val="0"/>
        <c:ser>
          <c:idx val="0"/>
          <c:order val="0"/>
          <c:tx>
            <c:strRef>
              <c:f>'Cuadro SEFI'!$C$8</c:f>
              <c:strCache>
                <c:ptCount val="1"/>
                <c:pt idx="0">
                  <c:v>Deflactor del PIB </c:v>
                </c:pt>
              </c:strCache>
            </c:strRef>
          </c:tx>
          <c:spPr>
            <a:ln w="34925"/>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SEFI'!$D$8:$I$8</c:f>
              <c:numCache>
                <c:formatCode>0.0</c:formatCode>
                <c:ptCount val="6"/>
                <c:pt idx="0">
                  <c:v>11.07794321689568</c:v>
                </c:pt>
                <c:pt idx="1">
                  <c:v>8.6233366426515357</c:v>
                </c:pt>
                <c:pt idx="2">
                  <c:v>6.7637340471486285</c:v>
                </c:pt>
                <c:pt idx="3">
                  <c:v>4.3046030992718531</c:v>
                </c:pt>
                <c:pt idx="4">
                  <c:v>4.5272294135840996</c:v>
                </c:pt>
                <c:pt idx="5">
                  <c:v>6.8916442576464343</c:v>
                </c:pt>
              </c:numCache>
            </c:numRef>
          </c:val>
          <c:smooth val="0"/>
          <c:extLst>
            <c:ext xmlns:c16="http://schemas.microsoft.com/office/drawing/2014/chart" uri="{C3380CC4-5D6E-409C-BE32-E72D297353CC}">
              <c16:uniqueId val="{00000000-CBD9-4341-B4A0-E550FF74FD51}"/>
            </c:ext>
          </c:extLst>
        </c:ser>
        <c:ser>
          <c:idx val="2"/>
          <c:order val="1"/>
          <c:tx>
            <c:strRef>
              <c:f>'Cuadro SEFI'!$C$9</c:f>
              <c:strCache>
                <c:ptCount val="1"/>
                <c:pt idx="0">
                  <c:v>Índice de precios al consumidor (promedio)</c:v>
                </c:pt>
              </c:strCache>
            </c:strRef>
          </c:tx>
          <c:spPr>
            <a:ln w="34925">
              <a:prstDash val="sysDash"/>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SEFI'!$D$9:$I$9</c:f>
              <c:numCache>
                <c:formatCode>0.0</c:formatCode>
                <c:ptCount val="6"/>
                <c:pt idx="0">
                  <c:v>13.424650631557796</c:v>
                </c:pt>
                <c:pt idx="1">
                  <c:v>7.8427556534629019</c:v>
                </c:pt>
                <c:pt idx="2">
                  <c:v>5.6626532109607268</c:v>
                </c:pt>
                <c:pt idx="3">
                  <c:v>4.8781491879010872</c:v>
                </c:pt>
                <c:pt idx="4">
                  <c:v>4.6130302133459367</c:v>
                </c:pt>
                <c:pt idx="5">
                  <c:v>6.1358513231091649</c:v>
                </c:pt>
              </c:numCache>
            </c:numRef>
          </c:val>
          <c:smooth val="0"/>
          <c:extLst>
            <c:ext xmlns:c16="http://schemas.microsoft.com/office/drawing/2014/chart" uri="{C3380CC4-5D6E-409C-BE32-E72D297353CC}">
              <c16:uniqueId val="{00000001-CBD9-4341-B4A0-E550FF74FD51}"/>
            </c:ext>
          </c:extLst>
        </c:ser>
        <c:ser>
          <c:idx val="1"/>
          <c:order val="2"/>
          <c:tx>
            <c:strRef>
              <c:f>'Cuadro SEFI'!$C$10</c:f>
              <c:strCache>
                <c:ptCount val="1"/>
                <c:pt idx="0">
                  <c:v>Índice de precios al consumidor (fin del período)</c:v>
                </c:pt>
              </c:strCache>
            </c:strRef>
          </c:tx>
          <c:spPr>
            <a:ln w="34925">
              <a:prstDash val="sysDash"/>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SEFI'!$D$10:$I$10</c:f>
              <c:numCache>
                <c:formatCode>0.0</c:formatCode>
                <c:ptCount val="6"/>
                <c:pt idx="0">
                  <c:v>13.900307649157256</c:v>
                </c:pt>
                <c:pt idx="1">
                  <c:v>4.0477106579453732</c:v>
                </c:pt>
                <c:pt idx="2">
                  <c:v>5.8279713038976269</c:v>
                </c:pt>
                <c:pt idx="3">
                  <c:v>4.731288000559104</c:v>
                </c:pt>
                <c:pt idx="4">
                  <c:v>4.9999999999999858</c:v>
                </c:pt>
                <c:pt idx="5">
                  <c:v>6.6042632342528718</c:v>
                </c:pt>
              </c:numCache>
            </c:numRef>
          </c:val>
          <c:smooth val="0"/>
          <c:extLst>
            <c:ext xmlns:c16="http://schemas.microsoft.com/office/drawing/2014/chart" uri="{C3380CC4-5D6E-409C-BE32-E72D297353CC}">
              <c16:uniqueId val="{00000002-CBD9-4341-B4A0-E550FF74FD51}"/>
            </c:ext>
          </c:extLst>
        </c:ser>
        <c:dLbls>
          <c:showLegendKey val="0"/>
          <c:showVal val="0"/>
          <c:showCatName val="0"/>
          <c:showSerName val="0"/>
          <c:showPercent val="0"/>
          <c:showBubbleSize val="0"/>
        </c:dLbls>
        <c:smooth val="0"/>
        <c:axId val="336850304"/>
        <c:axId val="336864384"/>
      </c:lineChart>
      <c:catAx>
        <c:axId val="336850304"/>
        <c:scaling>
          <c:orientation val="minMax"/>
        </c:scaling>
        <c:delete val="0"/>
        <c:axPos val="b"/>
        <c:numFmt formatCode="General" sourceLinked="1"/>
        <c:majorTickMark val="out"/>
        <c:minorTickMark val="none"/>
        <c:tickLblPos val="nextTo"/>
        <c:txPr>
          <a:bodyPr/>
          <a:lstStyle/>
          <a:p>
            <a:pPr>
              <a:defRPr sz="1000"/>
            </a:pPr>
            <a:endParaRPr lang="es-BO"/>
          </a:p>
        </c:txPr>
        <c:crossAx val="336864384"/>
        <c:crosses val="autoZero"/>
        <c:auto val="1"/>
        <c:lblAlgn val="ctr"/>
        <c:lblOffset val="100"/>
        <c:noMultiLvlLbl val="0"/>
      </c:catAx>
      <c:valAx>
        <c:axId val="336864384"/>
        <c:scaling>
          <c:orientation val="minMax"/>
        </c:scaling>
        <c:delete val="0"/>
        <c:axPos val="l"/>
        <c:numFmt formatCode="0.0" sourceLinked="1"/>
        <c:majorTickMark val="out"/>
        <c:minorTickMark val="none"/>
        <c:tickLblPos val="nextTo"/>
        <c:txPr>
          <a:bodyPr/>
          <a:lstStyle/>
          <a:p>
            <a:pPr>
              <a:defRPr sz="1000"/>
            </a:pPr>
            <a:endParaRPr lang="es-BO"/>
          </a:p>
        </c:txPr>
        <c:crossAx val="336850304"/>
        <c:crosses val="autoZero"/>
        <c:crossBetween val="between"/>
        <c:majorUnit val="2"/>
      </c:valAx>
    </c:plotArea>
    <c:legend>
      <c:legendPos val="r"/>
      <c:layout>
        <c:manualLayout>
          <c:xMode val="edge"/>
          <c:yMode val="edge"/>
          <c:x val="0.32380540827872173"/>
          <c:y val="0.20188425302826379"/>
          <c:w val="0.49437216870724243"/>
          <c:h val="0.15848973622577431"/>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1121" l="0.70000000000000062" r="0.70000000000000062" t="0.75000000000001121"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800"/>
            </a:pPr>
            <a:r>
              <a:rPr lang="es-ES" sz="800"/>
              <a:t>Ahorro e inversión, en porcentaje del PIB</a:t>
            </a:r>
          </a:p>
        </c:rich>
      </c:tx>
      <c:layout>
        <c:manualLayout>
          <c:xMode val="edge"/>
          <c:yMode val="edge"/>
          <c:x val="0.30881560835478583"/>
          <c:y val="0.20188425302826379"/>
        </c:manualLayout>
      </c:layout>
      <c:overlay val="1"/>
    </c:title>
    <c:autoTitleDeleted val="0"/>
    <c:plotArea>
      <c:layout>
        <c:manualLayout>
          <c:layoutTarget val="inner"/>
          <c:xMode val="edge"/>
          <c:yMode val="edge"/>
          <c:x val="7.6473473911697384E-2"/>
          <c:y val="0.191532670125521"/>
          <c:w val="0.88886370351590427"/>
          <c:h val="0.78293241608594355"/>
        </c:manualLayout>
      </c:layout>
      <c:barChart>
        <c:barDir val="col"/>
        <c:grouping val="clustered"/>
        <c:varyColors val="0"/>
        <c:ser>
          <c:idx val="2"/>
          <c:order val="2"/>
          <c:tx>
            <c:v>Saldo ahorro-inversión (izq.)</c:v>
          </c:tx>
          <c:spPr>
            <a:solidFill>
              <a:srgbClr val="0070C0"/>
            </a:solidFill>
            <a:ln>
              <a:prstDash val="solid"/>
            </a:ln>
          </c:spPr>
          <c:invertIfNegative val="0"/>
          <c:cat>
            <c:numRef>
              <c:f>PIB_Nominal!$F$3:$K$3</c:f>
              <c:numCache>
                <c:formatCode>General</c:formatCode>
                <c:ptCount val="6"/>
                <c:pt idx="0">
                  <c:v>2008</c:v>
                </c:pt>
                <c:pt idx="1">
                  <c:v>2009</c:v>
                </c:pt>
                <c:pt idx="2">
                  <c:v>2010</c:v>
                </c:pt>
                <c:pt idx="3">
                  <c:v>2011</c:v>
                </c:pt>
                <c:pt idx="4">
                  <c:v>2012</c:v>
                </c:pt>
                <c:pt idx="5">
                  <c:v>2013</c:v>
                </c:pt>
              </c:numCache>
            </c:numRef>
          </c:cat>
          <c:val>
            <c:numRef>
              <c:f>PIB_Nominal!$F$36:$K$36</c:f>
              <c:numCache>
                <c:formatCode>#,##0.0</c:formatCode>
                <c:ptCount val="6"/>
                <c:pt idx="0">
                  <c:v>-10.464345205920878</c:v>
                </c:pt>
                <c:pt idx="1">
                  <c:v>-1.0412049408560049</c:v>
                </c:pt>
                <c:pt idx="2">
                  <c:v>-3.5232025167464243</c:v>
                </c:pt>
                <c:pt idx="3">
                  <c:v>-5.7663579673939669</c:v>
                </c:pt>
                <c:pt idx="4">
                  <c:v>-6.5810766702841414</c:v>
                </c:pt>
                <c:pt idx="5">
                  <c:v>-6.6535269521935057</c:v>
                </c:pt>
              </c:numCache>
            </c:numRef>
          </c:val>
          <c:extLst>
            <c:ext xmlns:c16="http://schemas.microsoft.com/office/drawing/2014/chart" uri="{C3380CC4-5D6E-409C-BE32-E72D297353CC}">
              <c16:uniqueId val="{00000000-91B3-4604-B737-768D1EF14B4F}"/>
            </c:ext>
          </c:extLst>
        </c:ser>
        <c:dLbls>
          <c:showLegendKey val="0"/>
          <c:showVal val="0"/>
          <c:showCatName val="0"/>
          <c:showSerName val="0"/>
          <c:showPercent val="0"/>
          <c:showBubbleSize val="0"/>
        </c:dLbls>
        <c:gapWidth val="150"/>
        <c:axId val="336916864"/>
        <c:axId val="336918400"/>
      </c:barChart>
      <c:lineChart>
        <c:grouping val="standard"/>
        <c:varyColors val="0"/>
        <c:ser>
          <c:idx val="0"/>
          <c:order val="0"/>
          <c:tx>
            <c:strRef>
              <c:f>PIB_Nominal!$C$34</c:f>
              <c:strCache>
                <c:ptCount val="1"/>
                <c:pt idx="0">
                  <c:v>Ahorro nacional</c:v>
                </c:pt>
              </c:strCache>
            </c:strRef>
          </c:tx>
          <c:marker>
            <c:symbol val="none"/>
          </c:marker>
          <c:cat>
            <c:numRef>
              <c:f>PIB_Nominal!$F$3:$K$3</c:f>
              <c:numCache>
                <c:formatCode>General</c:formatCode>
                <c:ptCount val="6"/>
                <c:pt idx="0">
                  <c:v>2008</c:v>
                </c:pt>
                <c:pt idx="1">
                  <c:v>2009</c:v>
                </c:pt>
                <c:pt idx="2">
                  <c:v>2010</c:v>
                </c:pt>
                <c:pt idx="3">
                  <c:v>2011</c:v>
                </c:pt>
                <c:pt idx="4">
                  <c:v>2012</c:v>
                </c:pt>
                <c:pt idx="5">
                  <c:v>2013</c:v>
                </c:pt>
              </c:numCache>
            </c:numRef>
          </c:cat>
          <c:val>
            <c:numRef>
              <c:f>PIB_Nominal!$F$34:$K$34</c:f>
              <c:numCache>
                <c:formatCode>#,##0.0</c:formatCode>
                <c:ptCount val="6"/>
                <c:pt idx="0">
                  <c:v>16.976981010261081</c:v>
                </c:pt>
                <c:pt idx="1">
                  <c:v>14.60106562514879</c:v>
                </c:pt>
                <c:pt idx="2">
                  <c:v>16.121434207175653</c:v>
                </c:pt>
                <c:pt idx="3">
                  <c:v>16.301362325529396</c:v>
                </c:pt>
                <c:pt idx="4">
                  <c:v>14.659160287456888</c:v>
                </c:pt>
                <c:pt idx="5">
                  <c:v>14.310149686927549</c:v>
                </c:pt>
              </c:numCache>
            </c:numRef>
          </c:val>
          <c:smooth val="0"/>
          <c:extLst>
            <c:ext xmlns:c16="http://schemas.microsoft.com/office/drawing/2014/chart" uri="{C3380CC4-5D6E-409C-BE32-E72D297353CC}">
              <c16:uniqueId val="{00000001-91B3-4604-B737-768D1EF14B4F}"/>
            </c:ext>
          </c:extLst>
        </c:ser>
        <c:ser>
          <c:idx val="1"/>
          <c:order val="1"/>
          <c:tx>
            <c:strRef>
              <c:f>PIB_Nominal!$C$35</c:f>
              <c:strCache>
                <c:ptCount val="1"/>
                <c:pt idx="0">
                  <c:v>Inversión</c:v>
                </c:pt>
              </c:strCache>
            </c:strRef>
          </c:tx>
          <c:spPr>
            <a:ln w="34925">
              <a:prstDash val="sysDash"/>
            </a:ln>
          </c:spPr>
          <c:marker>
            <c:symbol val="none"/>
          </c:marker>
          <c:cat>
            <c:numRef>
              <c:f>PIB_Nominal!$F$3:$K$3</c:f>
              <c:numCache>
                <c:formatCode>General</c:formatCode>
                <c:ptCount val="6"/>
                <c:pt idx="0">
                  <c:v>2008</c:v>
                </c:pt>
                <c:pt idx="1">
                  <c:v>2009</c:v>
                </c:pt>
                <c:pt idx="2">
                  <c:v>2010</c:v>
                </c:pt>
                <c:pt idx="3">
                  <c:v>2011</c:v>
                </c:pt>
                <c:pt idx="4">
                  <c:v>2012</c:v>
                </c:pt>
                <c:pt idx="5">
                  <c:v>2013</c:v>
                </c:pt>
              </c:numCache>
            </c:numRef>
          </c:cat>
          <c:val>
            <c:numRef>
              <c:f>PIB_Nominal!$F$35:$K$35</c:f>
              <c:numCache>
                <c:formatCode>#,##0.0</c:formatCode>
                <c:ptCount val="6"/>
                <c:pt idx="0">
                  <c:v>27.44132621618196</c:v>
                </c:pt>
                <c:pt idx="1">
                  <c:v>15.642270566004795</c:v>
                </c:pt>
                <c:pt idx="2">
                  <c:v>19.64463672392208</c:v>
                </c:pt>
                <c:pt idx="3">
                  <c:v>22.067720292923365</c:v>
                </c:pt>
                <c:pt idx="4">
                  <c:v>21.240236957741029</c:v>
                </c:pt>
                <c:pt idx="5">
                  <c:v>20.963676639121054</c:v>
                </c:pt>
              </c:numCache>
            </c:numRef>
          </c:val>
          <c:smooth val="0"/>
          <c:extLst>
            <c:ext xmlns:c16="http://schemas.microsoft.com/office/drawing/2014/chart" uri="{C3380CC4-5D6E-409C-BE32-E72D297353CC}">
              <c16:uniqueId val="{00000002-91B3-4604-B737-768D1EF14B4F}"/>
            </c:ext>
          </c:extLst>
        </c:ser>
        <c:dLbls>
          <c:showLegendKey val="0"/>
          <c:showVal val="0"/>
          <c:showCatName val="0"/>
          <c:showSerName val="0"/>
          <c:showPercent val="0"/>
          <c:showBubbleSize val="0"/>
        </c:dLbls>
        <c:marker val="1"/>
        <c:smooth val="0"/>
        <c:axId val="339121280"/>
        <c:axId val="336919936"/>
      </c:lineChart>
      <c:catAx>
        <c:axId val="336916864"/>
        <c:scaling>
          <c:orientation val="minMax"/>
        </c:scaling>
        <c:delete val="0"/>
        <c:axPos val="b"/>
        <c:numFmt formatCode="General" sourceLinked="0"/>
        <c:majorTickMark val="out"/>
        <c:minorTickMark val="none"/>
        <c:tickLblPos val="nextTo"/>
        <c:spPr>
          <a:ln>
            <a:solidFill>
              <a:sysClr val="windowText" lastClr="000000"/>
            </a:solidFill>
          </a:ln>
        </c:spPr>
        <c:txPr>
          <a:bodyPr/>
          <a:lstStyle/>
          <a:p>
            <a:pPr>
              <a:defRPr sz="1000">
                <a:solidFill>
                  <a:schemeClr val="bg1"/>
                </a:solidFill>
              </a:defRPr>
            </a:pPr>
            <a:endParaRPr lang="es-BO"/>
          </a:p>
        </c:txPr>
        <c:crossAx val="336918400"/>
        <c:crosses val="autoZero"/>
        <c:auto val="1"/>
        <c:lblAlgn val="ctr"/>
        <c:lblOffset val="100"/>
        <c:noMultiLvlLbl val="0"/>
      </c:catAx>
      <c:valAx>
        <c:axId val="336918400"/>
        <c:scaling>
          <c:orientation val="minMax"/>
          <c:max val="15"/>
          <c:min val="-15"/>
        </c:scaling>
        <c:delete val="0"/>
        <c:axPos val="l"/>
        <c:numFmt formatCode="#,##0.0" sourceLinked="1"/>
        <c:majorTickMark val="out"/>
        <c:minorTickMark val="none"/>
        <c:tickLblPos val="nextTo"/>
        <c:txPr>
          <a:bodyPr/>
          <a:lstStyle/>
          <a:p>
            <a:pPr>
              <a:defRPr sz="1000"/>
            </a:pPr>
            <a:endParaRPr lang="es-BO"/>
          </a:p>
        </c:txPr>
        <c:crossAx val="336916864"/>
        <c:crosses val="autoZero"/>
        <c:crossBetween val="between"/>
      </c:valAx>
      <c:valAx>
        <c:axId val="336919936"/>
        <c:scaling>
          <c:orientation val="minMax"/>
          <c:max val="30"/>
          <c:min val="-30"/>
        </c:scaling>
        <c:delete val="0"/>
        <c:axPos val="r"/>
        <c:numFmt formatCode="#,##0.0" sourceLinked="1"/>
        <c:majorTickMark val="out"/>
        <c:minorTickMark val="none"/>
        <c:tickLblPos val="nextTo"/>
        <c:txPr>
          <a:bodyPr/>
          <a:lstStyle/>
          <a:p>
            <a:pPr>
              <a:defRPr sz="1000"/>
            </a:pPr>
            <a:endParaRPr lang="es-BO"/>
          </a:p>
        </c:txPr>
        <c:crossAx val="339121280"/>
        <c:crosses val="max"/>
        <c:crossBetween val="between"/>
      </c:valAx>
      <c:catAx>
        <c:axId val="339121280"/>
        <c:scaling>
          <c:orientation val="minMax"/>
        </c:scaling>
        <c:delete val="1"/>
        <c:axPos val="b"/>
        <c:numFmt formatCode="General" sourceLinked="1"/>
        <c:majorTickMark val="out"/>
        <c:minorTickMark val="none"/>
        <c:tickLblPos val="none"/>
        <c:crossAx val="336919936"/>
        <c:crosses val="autoZero"/>
        <c:auto val="1"/>
        <c:lblAlgn val="ctr"/>
        <c:lblOffset val="100"/>
        <c:noMultiLvlLbl val="0"/>
      </c:catAx>
    </c:plotArea>
    <c:legend>
      <c:legendPos val="r"/>
      <c:layout>
        <c:manualLayout>
          <c:xMode val="edge"/>
          <c:yMode val="edge"/>
          <c:x val="0.18775491354322227"/>
          <c:y val="0.75946933282061146"/>
          <c:w val="0.69347039621723028"/>
          <c:h val="0.1826571813112863"/>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1121" l="0.70000000000000062" r="0.70000000000000062" t="0.75000000000001121" header="0.30000000000000032" footer="0.30000000000000032"/>
    <c:pageSetup/>
  </c:printSettings>
  <c:userShapes r:id="rId2"/>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sz="800"/>
              <a:t>Crecimiento del PIB real y contribución, en porcentaje</a:t>
            </a:r>
          </a:p>
        </c:rich>
      </c:tx>
      <c:layout>
        <c:manualLayout>
          <c:xMode val="edge"/>
          <c:yMode val="edge"/>
          <c:x val="0.26392437265578489"/>
          <c:y val="0.18782736113365359"/>
        </c:manualLayout>
      </c:layout>
      <c:overlay val="1"/>
    </c:title>
    <c:autoTitleDeleted val="0"/>
    <c:plotArea>
      <c:layout>
        <c:manualLayout>
          <c:layoutTarget val="inner"/>
          <c:xMode val="edge"/>
          <c:yMode val="edge"/>
          <c:x val="8.8540434432171022E-2"/>
          <c:y val="0.22538486975331018"/>
          <c:w val="0.88876353104045558"/>
          <c:h val="0.74552293594681218"/>
        </c:manualLayout>
      </c:layout>
      <c:barChart>
        <c:barDir val="col"/>
        <c:grouping val="stacked"/>
        <c:varyColors val="0"/>
        <c:ser>
          <c:idx val="1"/>
          <c:order val="0"/>
          <c:tx>
            <c:strRef>
              <c:f>PIB_real!$C$43</c:f>
              <c:strCache>
                <c:ptCount val="1"/>
                <c:pt idx="0">
                  <c:v>Formación bruta de capital fijo</c:v>
                </c:pt>
              </c:strCache>
            </c:strRef>
          </c:tx>
          <c:invertIfNegative val="0"/>
          <c:cat>
            <c:numRef>
              <c:f>PIB_real!$F$3:$K$3</c:f>
              <c:numCache>
                <c:formatCode>0</c:formatCode>
                <c:ptCount val="6"/>
                <c:pt idx="0">
                  <c:v>2008</c:v>
                </c:pt>
                <c:pt idx="1">
                  <c:v>2009</c:v>
                </c:pt>
                <c:pt idx="2">
                  <c:v>2010</c:v>
                </c:pt>
                <c:pt idx="3">
                  <c:v>2011</c:v>
                </c:pt>
                <c:pt idx="4">
                  <c:v>2012</c:v>
                </c:pt>
                <c:pt idx="5">
                  <c:v>2013</c:v>
                </c:pt>
              </c:numCache>
            </c:numRef>
          </c:cat>
          <c:val>
            <c:numRef>
              <c:f>PIB_real!$F$43:$K$43</c:f>
              <c:numCache>
                <c:formatCode>#,##0.0</c:formatCode>
                <c:ptCount val="6"/>
                <c:pt idx="0">
                  <c:v>4.6877461176723667</c:v>
                </c:pt>
                <c:pt idx="1">
                  <c:v>-11.465160653234738</c:v>
                </c:pt>
                <c:pt idx="2">
                  <c:v>5.6904883663415564</c:v>
                </c:pt>
                <c:pt idx="3">
                  <c:v>4.982992103382637</c:v>
                </c:pt>
                <c:pt idx="4">
                  <c:v>0.15649967434297909</c:v>
                </c:pt>
                <c:pt idx="5">
                  <c:v>0.97820980646148337</c:v>
                </c:pt>
              </c:numCache>
            </c:numRef>
          </c:val>
          <c:extLst>
            <c:ext xmlns:c16="http://schemas.microsoft.com/office/drawing/2014/chart" uri="{C3380CC4-5D6E-409C-BE32-E72D297353CC}">
              <c16:uniqueId val="{00000000-72C1-4D94-ACEE-1B0779A7CCAF}"/>
            </c:ext>
          </c:extLst>
        </c:ser>
        <c:ser>
          <c:idx val="2"/>
          <c:order val="1"/>
          <c:tx>
            <c:strRef>
              <c:f>PIB_real!$C$46</c:f>
              <c:strCache>
                <c:ptCount val="1"/>
                <c:pt idx="0">
                  <c:v>Exportaciones de bienes y servicios</c:v>
                </c:pt>
              </c:strCache>
            </c:strRef>
          </c:tx>
          <c:invertIfNegative val="0"/>
          <c:cat>
            <c:numRef>
              <c:f>PIB_real!$F$3:$K$3</c:f>
              <c:numCache>
                <c:formatCode>0</c:formatCode>
                <c:ptCount val="6"/>
                <c:pt idx="0">
                  <c:v>2008</c:v>
                </c:pt>
                <c:pt idx="1">
                  <c:v>2009</c:v>
                </c:pt>
                <c:pt idx="2">
                  <c:v>2010</c:v>
                </c:pt>
                <c:pt idx="3">
                  <c:v>2011</c:v>
                </c:pt>
                <c:pt idx="4">
                  <c:v>2012</c:v>
                </c:pt>
                <c:pt idx="5">
                  <c:v>2013</c:v>
                </c:pt>
              </c:numCache>
            </c:numRef>
          </c:cat>
          <c:val>
            <c:numRef>
              <c:f>PIB_real!$F$46:$K$46</c:f>
              <c:numCache>
                <c:formatCode>#,##0.0</c:formatCode>
                <c:ptCount val="6"/>
                <c:pt idx="0">
                  <c:v>-1.075125261932985</c:v>
                </c:pt>
                <c:pt idx="1">
                  <c:v>-3.0744683060066964</c:v>
                </c:pt>
                <c:pt idx="2">
                  <c:v>2.3967000537584862</c:v>
                </c:pt>
                <c:pt idx="3">
                  <c:v>3.4012909560496332</c:v>
                </c:pt>
                <c:pt idx="4">
                  <c:v>4.2399609939567382</c:v>
                </c:pt>
                <c:pt idx="5">
                  <c:v>1.8913307733894522</c:v>
                </c:pt>
              </c:numCache>
            </c:numRef>
          </c:val>
          <c:extLst>
            <c:ext xmlns:c16="http://schemas.microsoft.com/office/drawing/2014/chart" uri="{C3380CC4-5D6E-409C-BE32-E72D297353CC}">
              <c16:uniqueId val="{00000001-72C1-4D94-ACEE-1B0779A7CCAF}"/>
            </c:ext>
          </c:extLst>
        </c:ser>
        <c:ser>
          <c:idx val="3"/>
          <c:order val="2"/>
          <c:tx>
            <c:strRef>
              <c:f>PIB_real!$C$47</c:f>
              <c:strCache>
                <c:ptCount val="1"/>
                <c:pt idx="0">
                  <c:v>Importaciones de bienes y servicios</c:v>
                </c:pt>
              </c:strCache>
            </c:strRef>
          </c:tx>
          <c:invertIfNegative val="0"/>
          <c:cat>
            <c:numRef>
              <c:f>PIB_real!$F$3:$K$3</c:f>
              <c:numCache>
                <c:formatCode>0</c:formatCode>
                <c:ptCount val="6"/>
                <c:pt idx="0">
                  <c:v>2008</c:v>
                </c:pt>
                <c:pt idx="1">
                  <c:v>2009</c:v>
                </c:pt>
                <c:pt idx="2">
                  <c:v>2010</c:v>
                </c:pt>
                <c:pt idx="3">
                  <c:v>2011</c:v>
                </c:pt>
                <c:pt idx="4">
                  <c:v>2012</c:v>
                </c:pt>
                <c:pt idx="5">
                  <c:v>2013</c:v>
                </c:pt>
              </c:numCache>
            </c:numRef>
          </c:cat>
          <c:val>
            <c:numRef>
              <c:f>PIB_real!$F$47:$K$47</c:f>
              <c:numCache>
                <c:formatCode>#,##0.0</c:formatCode>
                <c:ptCount val="6"/>
                <c:pt idx="0">
                  <c:v>-3.6104404693839514</c:v>
                </c:pt>
                <c:pt idx="1">
                  <c:v>10.846682648322059</c:v>
                </c:pt>
                <c:pt idx="2">
                  <c:v>-6.6266673354370642</c:v>
                </c:pt>
                <c:pt idx="3">
                  <c:v>-6.2638732339448806</c:v>
                </c:pt>
                <c:pt idx="4">
                  <c:v>-4.7786617601158223</c:v>
                </c:pt>
                <c:pt idx="5">
                  <c:v>-2.6400500585875477</c:v>
                </c:pt>
              </c:numCache>
            </c:numRef>
          </c:val>
          <c:extLst>
            <c:ext xmlns:c16="http://schemas.microsoft.com/office/drawing/2014/chart" uri="{C3380CC4-5D6E-409C-BE32-E72D297353CC}">
              <c16:uniqueId val="{00000002-72C1-4D94-ACEE-1B0779A7CCAF}"/>
            </c:ext>
          </c:extLst>
        </c:ser>
        <c:ser>
          <c:idx val="0"/>
          <c:order val="4"/>
          <c:tx>
            <c:strRef>
              <c:f>PIB_real!$C$40</c:f>
              <c:strCache>
                <c:ptCount val="1"/>
                <c:pt idx="0">
                  <c:v>Consumo final</c:v>
                </c:pt>
              </c:strCache>
            </c:strRef>
          </c:tx>
          <c:invertIfNegative val="0"/>
          <c:cat>
            <c:numRef>
              <c:f>PIB_real!$F$3:$K$3</c:f>
              <c:numCache>
                <c:formatCode>0</c:formatCode>
                <c:ptCount val="6"/>
                <c:pt idx="0">
                  <c:v>2008</c:v>
                </c:pt>
                <c:pt idx="1">
                  <c:v>2009</c:v>
                </c:pt>
                <c:pt idx="2">
                  <c:v>2010</c:v>
                </c:pt>
                <c:pt idx="3">
                  <c:v>2011</c:v>
                </c:pt>
                <c:pt idx="4">
                  <c:v>2012</c:v>
                </c:pt>
                <c:pt idx="5">
                  <c:v>2013</c:v>
                </c:pt>
              </c:numCache>
            </c:numRef>
          </c:cat>
          <c:val>
            <c:numRef>
              <c:f>PIB_real!$F$40:$K$40</c:f>
              <c:numCache>
                <c:formatCode>#,##0.0</c:formatCode>
                <c:ptCount val="6"/>
                <c:pt idx="0">
                  <c:v>2.6570995060901859</c:v>
                </c:pt>
                <c:pt idx="1">
                  <c:v>1.7458369720072784</c:v>
                </c:pt>
                <c:pt idx="2">
                  <c:v>3.7606595275105814</c:v>
                </c:pt>
                <c:pt idx="3">
                  <c:v>3.329320236642296</c:v>
                </c:pt>
                <c:pt idx="4">
                  <c:v>4.59490561731395</c:v>
                </c:pt>
                <c:pt idx="5">
                  <c:v>4.6010816250487174</c:v>
                </c:pt>
              </c:numCache>
            </c:numRef>
          </c:val>
          <c:extLst>
            <c:ext xmlns:c16="http://schemas.microsoft.com/office/drawing/2014/chart" uri="{C3380CC4-5D6E-409C-BE32-E72D297353CC}">
              <c16:uniqueId val="{00000003-72C1-4D94-ACEE-1B0779A7CCAF}"/>
            </c:ext>
          </c:extLst>
        </c:ser>
        <c:dLbls>
          <c:showLegendKey val="0"/>
          <c:showVal val="0"/>
          <c:showCatName val="0"/>
          <c:showSerName val="0"/>
          <c:showPercent val="0"/>
          <c:showBubbleSize val="0"/>
        </c:dLbls>
        <c:gapWidth val="150"/>
        <c:overlap val="100"/>
        <c:axId val="338004224"/>
        <c:axId val="338022400"/>
      </c:barChart>
      <c:lineChart>
        <c:grouping val="standard"/>
        <c:varyColors val="0"/>
        <c:ser>
          <c:idx val="4"/>
          <c:order val="3"/>
          <c:tx>
            <c:v>PIB (crecimiento real)</c:v>
          </c:tx>
          <c:spPr>
            <a:ln>
              <a:solidFill>
                <a:schemeClr val="tx1"/>
              </a:solidFill>
            </a:ln>
          </c:spPr>
          <c:marker>
            <c:symbol val="none"/>
          </c:marker>
          <c:cat>
            <c:numRef>
              <c:f>PIB_real!$E$3:$L$3</c:f>
              <c:numCache>
                <c:formatCode>0</c:formatCode>
                <c:ptCount val="8"/>
                <c:pt idx="0">
                  <c:v>2007</c:v>
                </c:pt>
                <c:pt idx="1">
                  <c:v>2008</c:v>
                </c:pt>
                <c:pt idx="2">
                  <c:v>2009</c:v>
                </c:pt>
                <c:pt idx="3">
                  <c:v>2010</c:v>
                </c:pt>
                <c:pt idx="4">
                  <c:v>2011</c:v>
                </c:pt>
                <c:pt idx="5">
                  <c:v>2012</c:v>
                </c:pt>
                <c:pt idx="6">
                  <c:v>2013</c:v>
                </c:pt>
                <c:pt idx="7">
                  <c:v>2014</c:v>
                </c:pt>
              </c:numCache>
            </c:numRef>
          </c:cat>
          <c:val>
            <c:numRef>
              <c:f>PIB_real!$F$23:$K$23</c:f>
              <c:numCache>
                <c:formatCode>#,##0.0</c:formatCode>
                <c:ptCount val="6"/>
                <c:pt idx="0">
                  <c:v>2.4011889271438065</c:v>
                </c:pt>
                <c:pt idx="1">
                  <c:v>-1.6305202034061921</c:v>
                </c:pt>
                <c:pt idx="2">
                  <c:v>4.8594957523365707</c:v>
                </c:pt>
                <c:pt idx="3">
                  <c:v>5.6553885268151021</c:v>
                </c:pt>
                <c:pt idx="4">
                  <c:v>4.185178984470511</c:v>
                </c:pt>
                <c:pt idx="5">
                  <c:v>4.5579929792104679</c:v>
                </c:pt>
              </c:numCache>
            </c:numRef>
          </c:val>
          <c:smooth val="0"/>
          <c:extLst>
            <c:ext xmlns:c16="http://schemas.microsoft.com/office/drawing/2014/chart" uri="{C3380CC4-5D6E-409C-BE32-E72D297353CC}">
              <c16:uniqueId val="{00000004-72C1-4D94-ACEE-1B0779A7CCAF}"/>
            </c:ext>
          </c:extLst>
        </c:ser>
        <c:dLbls>
          <c:showLegendKey val="0"/>
          <c:showVal val="0"/>
          <c:showCatName val="0"/>
          <c:showSerName val="0"/>
          <c:showPercent val="0"/>
          <c:showBubbleSize val="0"/>
        </c:dLbls>
        <c:marker val="1"/>
        <c:smooth val="0"/>
        <c:axId val="338004224"/>
        <c:axId val="338022400"/>
      </c:lineChart>
      <c:catAx>
        <c:axId val="338004224"/>
        <c:scaling>
          <c:orientation val="minMax"/>
        </c:scaling>
        <c:delete val="0"/>
        <c:axPos val="b"/>
        <c:numFmt formatCode="0" sourceLinked="1"/>
        <c:majorTickMark val="out"/>
        <c:minorTickMark val="none"/>
        <c:tickLblPos val="nextTo"/>
        <c:spPr>
          <a:solidFill>
            <a:srgbClr val="8064A2">
              <a:lumMod val="75000"/>
              <a:alpha val="0"/>
            </a:srgbClr>
          </a:solidFill>
          <a:ln>
            <a:solidFill>
              <a:sysClr val="windowText" lastClr="000000">
                <a:alpha val="43000"/>
              </a:sysClr>
            </a:solidFill>
          </a:ln>
        </c:spPr>
        <c:txPr>
          <a:bodyPr/>
          <a:lstStyle/>
          <a:p>
            <a:pPr>
              <a:defRPr sz="1000"/>
            </a:pPr>
            <a:endParaRPr lang="es-BO"/>
          </a:p>
        </c:txPr>
        <c:crossAx val="338022400"/>
        <c:crosses val="autoZero"/>
        <c:auto val="1"/>
        <c:lblAlgn val="ctr"/>
        <c:lblOffset val="100"/>
        <c:noMultiLvlLbl val="0"/>
      </c:catAx>
      <c:valAx>
        <c:axId val="338022400"/>
        <c:scaling>
          <c:orientation val="minMax"/>
        </c:scaling>
        <c:delete val="0"/>
        <c:axPos val="l"/>
        <c:numFmt formatCode="#,##0.0" sourceLinked="1"/>
        <c:majorTickMark val="out"/>
        <c:minorTickMark val="none"/>
        <c:tickLblPos val="nextTo"/>
        <c:txPr>
          <a:bodyPr/>
          <a:lstStyle/>
          <a:p>
            <a:pPr>
              <a:defRPr sz="1000"/>
            </a:pPr>
            <a:endParaRPr lang="es-BO"/>
          </a:p>
        </c:txPr>
        <c:crossAx val="338004224"/>
        <c:crosses val="autoZero"/>
        <c:crossBetween val="between"/>
      </c:valAx>
    </c:plotArea>
    <c:legend>
      <c:legendPos val="r"/>
      <c:layout>
        <c:manualLayout>
          <c:xMode val="edge"/>
          <c:yMode val="edge"/>
          <c:x val="0.46638041675050673"/>
          <c:y val="0.68388423797382458"/>
          <c:w val="0.48435457783249497"/>
          <c:h val="0.26970082624319475"/>
        </c:manualLayout>
      </c:layout>
      <c:overlay val="0"/>
      <c:txPr>
        <a:bodyPr/>
        <a:lstStyle/>
        <a:p>
          <a:pPr>
            <a:defRPr sz="800"/>
          </a:pPr>
          <a:endParaRPr lang="es-BO"/>
        </a:p>
      </c:txPr>
    </c:legend>
    <c:plotVisOnly val="1"/>
    <c:dispBlanksAs val="zero"/>
    <c:showDLblsOverMax val="0"/>
  </c:chart>
  <c:spPr>
    <a:ln>
      <a:noFill/>
    </a:ln>
  </c:spPr>
  <c:printSettings>
    <c:headerFooter/>
    <c:pageMargins b="0.75000000000001121" l="0.70000000000000062" r="0.70000000000000062" t="0.75000000000001121"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395085689520347E-2"/>
          <c:y val="0.30231875126386837"/>
          <c:w val="0.88889545784302981"/>
          <c:h val="0.64008038915476628"/>
        </c:manualLayout>
      </c:layout>
      <c:barChart>
        <c:barDir val="col"/>
        <c:grouping val="stacked"/>
        <c:varyColors val="0"/>
        <c:ser>
          <c:idx val="1"/>
          <c:order val="1"/>
          <c:tx>
            <c:strRef>
              <c:f>BP!$C$48</c:f>
              <c:strCache>
                <c:ptCount val="1"/>
                <c:pt idx="0">
                  <c:v>Saldo en cuenta de capital</c:v>
                </c:pt>
              </c:strCache>
            </c:strRef>
          </c:tx>
          <c:invertIfNegative val="0"/>
          <c:cat>
            <c:numRef>
              <c:f>BP!$D$3:$K$3</c:f>
              <c:numCache>
                <c:formatCode>0</c:formatCode>
                <c:ptCount val="8"/>
                <c:pt idx="0">
                  <c:v>2006</c:v>
                </c:pt>
                <c:pt idx="1">
                  <c:v>2007</c:v>
                </c:pt>
                <c:pt idx="2">
                  <c:v>2008</c:v>
                </c:pt>
                <c:pt idx="3">
                  <c:v>2009</c:v>
                </c:pt>
                <c:pt idx="4">
                  <c:v>2010</c:v>
                </c:pt>
                <c:pt idx="5">
                  <c:v>2011</c:v>
                </c:pt>
                <c:pt idx="6">
                  <c:v>2012</c:v>
                </c:pt>
                <c:pt idx="7">
                  <c:v>2013</c:v>
                </c:pt>
              </c:numCache>
            </c:numRef>
          </c:cat>
          <c:val>
            <c:numRef>
              <c:f>BP!$D$48:$K$48</c:f>
              <c:numCache>
                <c:formatCode>#,##0.0</c:formatCode>
                <c:ptCount val="8"/>
                <c:pt idx="0">
                  <c:v>5.1295165064051493E-3</c:v>
                </c:pt>
                <c:pt idx="1">
                  <c:v>8.4532389975924604E-2</c:v>
                </c:pt>
                <c:pt idx="2">
                  <c:v>2.6423923931558783E-2</c:v>
                </c:pt>
                <c:pt idx="3">
                  <c:v>0.2122478485189277</c:v>
                </c:pt>
                <c:pt idx="4">
                  <c:v>0.15987475551720537</c:v>
                </c:pt>
                <c:pt idx="5">
                  <c:v>5.630185780653011E-2</c:v>
                </c:pt>
                <c:pt idx="6">
                  <c:v>9.0567889862998685E-2</c:v>
                </c:pt>
                <c:pt idx="7">
                  <c:v>2.1728235636448417E-2</c:v>
                </c:pt>
              </c:numCache>
            </c:numRef>
          </c:val>
          <c:extLst>
            <c:ext xmlns:c16="http://schemas.microsoft.com/office/drawing/2014/chart" uri="{C3380CC4-5D6E-409C-BE32-E72D297353CC}">
              <c16:uniqueId val="{00000000-B44A-49FF-87F7-63015AA2BD50}"/>
            </c:ext>
          </c:extLst>
        </c:ser>
        <c:ser>
          <c:idx val="2"/>
          <c:order val="2"/>
          <c:tx>
            <c:strRef>
              <c:f>BP!$C$49</c:f>
              <c:strCache>
                <c:ptCount val="1"/>
                <c:pt idx="0">
                  <c:v>Saldo en cuenta financiera</c:v>
                </c:pt>
              </c:strCache>
            </c:strRef>
          </c:tx>
          <c:invertIfNegative val="0"/>
          <c:cat>
            <c:numRef>
              <c:f>BP!$D$3:$K$3</c:f>
              <c:numCache>
                <c:formatCode>0</c:formatCode>
                <c:ptCount val="8"/>
                <c:pt idx="0">
                  <c:v>2006</c:v>
                </c:pt>
                <c:pt idx="1">
                  <c:v>2007</c:v>
                </c:pt>
                <c:pt idx="2">
                  <c:v>2008</c:v>
                </c:pt>
                <c:pt idx="3">
                  <c:v>2009</c:v>
                </c:pt>
                <c:pt idx="4">
                  <c:v>2010</c:v>
                </c:pt>
                <c:pt idx="5">
                  <c:v>2011</c:v>
                </c:pt>
                <c:pt idx="6">
                  <c:v>2012</c:v>
                </c:pt>
                <c:pt idx="7">
                  <c:v>2013</c:v>
                </c:pt>
              </c:numCache>
            </c:numRef>
          </c:cat>
          <c:val>
            <c:numRef>
              <c:f>BP!$D$49:$K$49</c:f>
              <c:numCache>
                <c:formatCode>#,##0.0</c:formatCode>
                <c:ptCount val="8"/>
                <c:pt idx="0">
                  <c:v>-8.3653087825819981</c:v>
                </c:pt>
                <c:pt idx="1">
                  <c:v>-9.6171543105156854</c:v>
                </c:pt>
                <c:pt idx="2">
                  <c:v>-8.8573707178691272</c:v>
                </c:pt>
                <c:pt idx="3">
                  <c:v>-2.4643322240559549</c:v>
                </c:pt>
                <c:pt idx="4">
                  <c:v>-5.3695249045162887</c:v>
                </c:pt>
                <c:pt idx="5">
                  <c:v>-6.565682853188366</c:v>
                </c:pt>
                <c:pt idx="6">
                  <c:v>-6.4817498106493927</c:v>
                </c:pt>
                <c:pt idx="7">
                  <c:v>-7.0714436543783137</c:v>
                </c:pt>
              </c:numCache>
            </c:numRef>
          </c:val>
          <c:extLst>
            <c:ext xmlns:c16="http://schemas.microsoft.com/office/drawing/2014/chart" uri="{C3380CC4-5D6E-409C-BE32-E72D297353CC}">
              <c16:uniqueId val="{00000001-B44A-49FF-87F7-63015AA2BD50}"/>
            </c:ext>
          </c:extLst>
        </c:ser>
        <c:ser>
          <c:idx val="3"/>
          <c:order val="3"/>
          <c:tx>
            <c:v>Reservas brutas</c:v>
          </c:tx>
          <c:spPr>
            <a:solidFill>
              <a:srgbClr val="4F81BD"/>
            </a:solidFill>
          </c:spPr>
          <c:invertIfNegative val="0"/>
          <c:cat>
            <c:numRef>
              <c:f>BP!$D$3:$K$3</c:f>
              <c:numCache>
                <c:formatCode>0</c:formatCode>
                <c:ptCount val="8"/>
                <c:pt idx="0">
                  <c:v>2006</c:v>
                </c:pt>
                <c:pt idx="1">
                  <c:v>2007</c:v>
                </c:pt>
                <c:pt idx="2">
                  <c:v>2008</c:v>
                </c:pt>
                <c:pt idx="3">
                  <c:v>2009</c:v>
                </c:pt>
                <c:pt idx="4">
                  <c:v>2010</c:v>
                </c:pt>
                <c:pt idx="5">
                  <c:v>2011</c:v>
                </c:pt>
                <c:pt idx="6">
                  <c:v>2012</c:v>
                </c:pt>
                <c:pt idx="7">
                  <c:v>2013</c:v>
                </c:pt>
              </c:numCache>
            </c:numRef>
          </c:cat>
          <c:val>
            <c:numRef>
              <c:f>BP!$D$50:$K$50</c:f>
              <c:numCache>
                <c:formatCode>#,##0.0</c:formatCode>
                <c:ptCount val="8"/>
                <c:pt idx="0">
                  <c:v>3.5011281754627142</c:v>
                </c:pt>
                <c:pt idx="1">
                  <c:v>4.0579534565329469</c:v>
                </c:pt>
                <c:pt idx="2">
                  <c:v>-1.2426385848895212</c:v>
                </c:pt>
                <c:pt idx="3">
                  <c:v>0.94619581183652324</c:v>
                </c:pt>
                <c:pt idx="4">
                  <c:v>1.6736142783713424</c:v>
                </c:pt>
                <c:pt idx="5">
                  <c:v>0.34510953581410153</c:v>
                </c:pt>
                <c:pt idx="6">
                  <c:v>0.12064387614383551</c:v>
                </c:pt>
                <c:pt idx="7">
                  <c:v>-7.0565562449954849E-2</c:v>
                </c:pt>
              </c:numCache>
            </c:numRef>
          </c:val>
          <c:extLst>
            <c:ext xmlns:c16="http://schemas.microsoft.com/office/drawing/2014/chart" uri="{C3380CC4-5D6E-409C-BE32-E72D297353CC}">
              <c16:uniqueId val="{00000002-B44A-49FF-87F7-63015AA2BD50}"/>
            </c:ext>
          </c:extLst>
        </c:ser>
        <c:dLbls>
          <c:showLegendKey val="0"/>
          <c:showVal val="0"/>
          <c:showCatName val="0"/>
          <c:showSerName val="0"/>
          <c:showPercent val="0"/>
          <c:showBubbleSize val="0"/>
        </c:dLbls>
        <c:gapWidth val="150"/>
        <c:overlap val="100"/>
        <c:axId val="339194624"/>
        <c:axId val="339196160"/>
      </c:barChart>
      <c:lineChart>
        <c:grouping val="standard"/>
        <c:varyColors val="0"/>
        <c:ser>
          <c:idx val="0"/>
          <c:order val="0"/>
          <c:tx>
            <c:strRef>
              <c:f>BP!$C$47</c:f>
              <c:strCache>
                <c:ptCount val="1"/>
                <c:pt idx="0">
                  <c:v>Saldo en cuenta corriente</c:v>
                </c:pt>
              </c:strCache>
            </c:strRef>
          </c:tx>
          <c:spPr>
            <a:ln w="28575">
              <a:solidFill>
                <a:schemeClr val="tx1"/>
              </a:solidFill>
            </a:ln>
          </c:spPr>
          <c:marker>
            <c:symbol val="none"/>
          </c:marker>
          <c:cat>
            <c:numRef>
              <c:f>BP!$D$3:$K$3</c:f>
              <c:numCache>
                <c:formatCode>0</c:formatCode>
                <c:ptCount val="8"/>
                <c:pt idx="0">
                  <c:v>2006</c:v>
                </c:pt>
                <c:pt idx="1">
                  <c:v>2007</c:v>
                </c:pt>
                <c:pt idx="2">
                  <c:v>2008</c:v>
                </c:pt>
                <c:pt idx="3">
                  <c:v>2009</c:v>
                </c:pt>
                <c:pt idx="4">
                  <c:v>2010</c:v>
                </c:pt>
                <c:pt idx="5">
                  <c:v>2011</c:v>
                </c:pt>
                <c:pt idx="6">
                  <c:v>2012</c:v>
                </c:pt>
                <c:pt idx="7">
                  <c:v>2013</c:v>
                </c:pt>
              </c:numCache>
            </c:numRef>
          </c:cat>
          <c:val>
            <c:numRef>
              <c:f>BP!$D$47:$K$47</c:f>
              <c:numCache>
                <c:formatCode>#,##0.0</c:formatCode>
                <c:ptCount val="8"/>
                <c:pt idx="0">
                  <c:v>-5.1348842132647015</c:v>
                </c:pt>
                <c:pt idx="1">
                  <c:v>-5.4744907226829644</c:v>
                </c:pt>
                <c:pt idx="2">
                  <c:v>-10.277953980623307</c:v>
                </c:pt>
                <c:pt idx="3">
                  <c:v>-1.6113772743383565</c:v>
                </c:pt>
                <c:pt idx="4">
                  <c:v>-3.8850529437402859</c:v>
                </c:pt>
                <c:pt idx="5">
                  <c:v>-6.2464852013359886</c:v>
                </c:pt>
                <c:pt idx="6">
                  <c:v>-6.5773303948117663</c:v>
                </c:pt>
                <c:pt idx="7">
                  <c:v>-6.6368463917212992</c:v>
                </c:pt>
              </c:numCache>
            </c:numRef>
          </c:val>
          <c:smooth val="0"/>
          <c:extLst>
            <c:ext xmlns:c16="http://schemas.microsoft.com/office/drawing/2014/chart" uri="{C3380CC4-5D6E-409C-BE32-E72D297353CC}">
              <c16:uniqueId val="{00000003-B44A-49FF-87F7-63015AA2BD50}"/>
            </c:ext>
          </c:extLst>
        </c:ser>
        <c:dLbls>
          <c:showLegendKey val="0"/>
          <c:showVal val="0"/>
          <c:showCatName val="0"/>
          <c:showSerName val="0"/>
          <c:showPercent val="0"/>
          <c:showBubbleSize val="0"/>
        </c:dLbls>
        <c:marker val="1"/>
        <c:smooth val="0"/>
        <c:axId val="339194624"/>
        <c:axId val="339196160"/>
      </c:lineChart>
      <c:catAx>
        <c:axId val="339194624"/>
        <c:scaling>
          <c:orientation val="minMax"/>
        </c:scaling>
        <c:delete val="0"/>
        <c:axPos val="b"/>
        <c:numFmt formatCode="0" sourceLinked="1"/>
        <c:majorTickMark val="out"/>
        <c:minorTickMark val="none"/>
        <c:tickLblPos val="nextTo"/>
        <c:txPr>
          <a:bodyPr/>
          <a:lstStyle/>
          <a:p>
            <a:pPr>
              <a:defRPr sz="1000"/>
            </a:pPr>
            <a:endParaRPr lang="es-BO"/>
          </a:p>
        </c:txPr>
        <c:crossAx val="339196160"/>
        <c:crosses val="autoZero"/>
        <c:auto val="1"/>
        <c:lblAlgn val="ctr"/>
        <c:lblOffset val="100"/>
        <c:noMultiLvlLbl val="0"/>
      </c:catAx>
      <c:valAx>
        <c:axId val="339196160"/>
        <c:scaling>
          <c:orientation val="minMax"/>
        </c:scaling>
        <c:delete val="0"/>
        <c:axPos val="l"/>
        <c:numFmt formatCode="#,##0.0" sourceLinked="1"/>
        <c:majorTickMark val="out"/>
        <c:minorTickMark val="none"/>
        <c:tickLblPos val="nextTo"/>
        <c:txPr>
          <a:bodyPr/>
          <a:lstStyle/>
          <a:p>
            <a:pPr>
              <a:defRPr sz="1000"/>
            </a:pPr>
            <a:endParaRPr lang="es-BO"/>
          </a:p>
        </c:txPr>
        <c:crossAx val="339194624"/>
        <c:crosses val="autoZero"/>
        <c:crossBetween val="between"/>
      </c:valAx>
    </c:plotArea>
    <c:legend>
      <c:legendPos val="r"/>
      <c:layout>
        <c:manualLayout>
          <c:xMode val="edge"/>
          <c:yMode val="edge"/>
          <c:x val="0.33319397205551232"/>
          <c:y val="0.21158484915598624"/>
          <c:w val="0.48575335173687328"/>
          <c:h val="0.19224692376539401"/>
        </c:manualLayout>
      </c:layout>
      <c:overlay val="0"/>
      <c:spPr>
        <a:noFill/>
      </c:spPr>
      <c:txPr>
        <a:bodyPr/>
        <a:lstStyle/>
        <a:p>
          <a:pPr>
            <a:defRPr sz="800"/>
          </a:pPr>
          <a:endParaRPr lang="es-BO"/>
        </a:p>
      </c:txPr>
    </c:legend>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aseline="0"/>
            </a:pPr>
            <a:r>
              <a:rPr lang="es-ES" sz="800"/>
              <a:t>PII, en porcentaje del PIB</a:t>
            </a:r>
          </a:p>
        </c:rich>
      </c:tx>
      <c:layout>
        <c:manualLayout>
          <c:xMode val="edge"/>
          <c:yMode val="edge"/>
          <c:x val="0.16057033701090084"/>
          <c:y val="0.53829138654310604"/>
        </c:manualLayout>
      </c:layout>
      <c:overlay val="1"/>
    </c:title>
    <c:autoTitleDeleted val="0"/>
    <c:plotArea>
      <c:layout>
        <c:manualLayout>
          <c:layoutTarget val="inner"/>
          <c:xMode val="edge"/>
          <c:yMode val="edge"/>
          <c:x val="8.8412364917702255E-2"/>
          <c:y val="0.30206570833341756"/>
          <c:w val="0.88889545784302981"/>
          <c:h val="0.62522975967243322"/>
        </c:manualLayout>
      </c:layout>
      <c:barChart>
        <c:barDir val="col"/>
        <c:grouping val="clustered"/>
        <c:varyColors val="0"/>
        <c:ser>
          <c:idx val="2"/>
          <c:order val="0"/>
          <c:tx>
            <c:strRef>
              <c:f>PII!$C$33</c:f>
              <c:strCache>
                <c:ptCount val="1"/>
                <c:pt idx="0">
                  <c:v>Posición de inversión internacional neta</c:v>
                </c:pt>
              </c:strCache>
            </c:strRef>
          </c:tx>
          <c:spPr>
            <a:solidFill>
              <a:schemeClr val="accent1"/>
            </a:solidFill>
          </c:spPr>
          <c:invertIfNegative val="0"/>
          <c:cat>
            <c:numRef>
              <c:f>PII!$D$3:$L$3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PII!$D$33:$L$33</c:f>
              <c:numCache>
                <c:formatCode>#,##0.0</c:formatCode>
                <c:ptCount val="9"/>
                <c:pt idx="0">
                  <c:v>-16.61870084138787</c:v>
                </c:pt>
                <c:pt idx="1">
                  <c:v>-19.816465646337253</c:v>
                </c:pt>
                <c:pt idx="2">
                  <c:v>-27.760117490368135</c:v>
                </c:pt>
                <c:pt idx="3">
                  <c:v>-29.760570540357211</c:v>
                </c:pt>
                <c:pt idx="4">
                  <c:v>-28.068459176185762</c:v>
                </c:pt>
                <c:pt idx="5">
                  <c:v>-30.759060334802733</c:v>
                </c:pt>
                <c:pt idx="6">
                  <c:v>-35.164881757406221</c:v>
                </c:pt>
                <c:pt idx="7">
                  <c:v>-39.25302463982446</c:v>
                </c:pt>
                <c:pt idx="8">
                  <c:v>-44.47909316858896</c:v>
                </c:pt>
              </c:numCache>
            </c:numRef>
          </c:val>
          <c:extLst>
            <c:ext xmlns:c16="http://schemas.microsoft.com/office/drawing/2014/chart" uri="{C3380CC4-5D6E-409C-BE32-E72D297353CC}">
              <c16:uniqueId val="{00000000-A564-4FE7-B6CC-12A330FC395A}"/>
            </c:ext>
          </c:extLst>
        </c:ser>
        <c:dLbls>
          <c:showLegendKey val="0"/>
          <c:showVal val="0"/>
          <c:showCatName val="0"/>
          <c:showSerName val="0"/>
          <c:showPercent val="0"/>
          <c:showBubbleSize val="0"/>
        </c:dLbls>
        <c:gapWidth val="150"/>
        <c:axId val="340632320"/>
        <c:axId val="340633856"/>
      </c:barChart>
      <c:lineChart>
        <c:grouping val="standard"/>
        <c:varyColors val="0"/>
        <c:ser>
          <c:idx val="3"/>
          <c:order val="1"/>
          <c:tx>
            <c:strRef>
              <c:f>PII!$C$34</c:f>
              <c:strCache>
                <c:ptCount val="1"/>
                <c:pt idx="0">
                  <c:v>Activos</c:v>
                </c:pt>
              </c:strCache>
            </c:strRef>
          </c:tx>
          <c:spPr>
            <a:ln>
              <a:solidFill>
                <a:srgbClr val="FF0000"/>
              </a:solidFill>
              <a:prstDash val="sysDash"/>
            </a:ln>
          </c:spPr>
          <c:marker>
            <c:symbol val="none"/>
          </c:marker>
          <c:cat>
            <c:numRef>
              <c:f>PII!$D$3:$L$3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PII!$D$34:$L$34</c:f>
              <c:numCache>
                <c:formatCode>#,##0.0</c:formatCode>
                <c:ptCount val="9"/>
                <c:pt idx="0">
                  <c:v>47.391603002677165</c:v>
                </c:pt>
                <c:pt idx="1">
                  <c:v>47.03270531707647</c:v>
                </c:pt>
                <c:pt idx="2">
                  <c:v>41.484489332387902</c:v>
                </c:pt>
                <c:pt idx="3">
                  <c:v>43.378654625604248</c:v>
                </c:pt>
                <c:pt idx="4">
                  <c:v>37.977413006478841</c:v>
                </c:pt>
                <c:pt idx="5">
                  <c:v>33.700050434946625</c:v>
                </c:pt>
                <c:pt idx="6">
                  <c:v>33.254050885717483</c:v>
                </c:pt>
                <c:pt idx="7">
                  <c:v>32.818756719970565</c:v>
                </c:pt>
                <c:pt idx="8">
                  <c:v>31.742896647441558</c:v>
                </c:pt>
              </c:numCache>
            </c:numRef>
          </c:val>
          <c:smooth val="0"/>
          <c:extLst>
            <c:ext xmlns:c16="http://schemas.microsoft.com/office/drawing/2014/chart" uri="{C3380CC4-5D6E-409C-BE32-E72D297353CC}">
              <c16:uniqueId val="{00000001-A564-4FE7-B6CC-12A330FC395A}"/>
            </c:ext>
          </c:extLst>
        </c:ser>
        <c:ser>
          <c:idx val="0"/>
          <c:order val="2"/>
          <c:tx>
            <c:strRef>
              <c:f>PII!$C$35</c:f>
              <c:strCache>
                <c:ptCount val="1"/>
                <c:pt idx="0">
                  <c:v>Pasivos</c:v>
                </c:pt>
              </c:strCache>
            </c:strRef>
          </c:tx>
          <c:marker>
            <c:symbol val="none"/>
          </c:marker>
          <c:cat>
            <c:numRef>
              <c:f>PII!$D$3:$L$3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PII!$D$35:$L$35</c:f>
              <c:numCache>
                <c:formatCode>#,##0.0</c:formatCode>
                <c:ptCount val="9"/>
                <c:pt idx="0">
                  <c:v>64.010303844065035</c:v>
                </c:pt>
                <c:pt idx="1">
                  <c:v>66.849170963413727</c:v>
                </c:pt>
                <c:pt idx="2">
                  <c:v>69.24460682275604</c:v>
                </c:pt>
                <c:pt idx="3">
                  <c:v>73.139225165961449</c:v>
                </c:pt>
                <c:pt idx="4">
                  <c:v>66.045872182664596</c:v>
                </c:pt>
                <c:pt idx="5">
                  <c:v>64.459110769749358</c:v>
                </c:pt>
                <c:pt idx="6">
                  <c:v>68.418932643123711</c:v>
                </c:pt>
                <c:pt idx="7">
                  <c:v>72.071781359795011</c:v>
                </c:pt>
                <c:pt idx="8">
                  <c:v>76.221989816030515</c:v>
                </c:pt>
              </c:numCache>
            </c:numRef>
          </c:val>
          <c:smooth val="0"/>
          <c:extLst>
            <c:ext xmlns:c16="http://schemas.microsoft.com/office/drawing/2014/chart" uri="{C3380CC4-5D6E-409C-BE32-E72D297353CC}">
              <c16:uniqueId val="{00000002-A564-4FE7-B6CC-12A330FC395A}"/>
            </c:ext>
          </c:extLst>
        </c:ser>
        <c:dLbls>
          <c:showLegendKey val="0"/>
          <c:showVal val="0"/>
          <c:showCatName val="0"/>
          <c:showSerName val="0"/>
          <c:showPercent val="0"/>
          <c:showBubbleSize val="0"/>
        </c:dLbls>
        <c:marker val="1"/>
        <c:smooth val="0"/>
        <c:axId val="340632320"/>
        <c:axId val="340633856"/>
      </c:lineChart>
      <c:catAx>
        <c:axId val="340632320"/>
        <c:scaling>
          <c:orientation val="minMax"/>
        </c:scaling>
        <c:delete val="0"/>
        <c:axPos val="b"/>
        <c:numFmt formatCode="General" sourceLinked="1"/>
        <c:majorTickMark val="out"/>
        <c:minorTickMark val="none"/>
        <c:tickLblPos val="nextTo"/>
        <c:txPr>
          <a:bodyPr/>
          <a:lstStyle/>
          <a:p>
            <a:pPr>
              <a:defRPr sz="1000"/>
            </a:pPr>
            <a:endParaRPr lang="es-BO"/>
          </a:p>
        </c:txPr>
        <c:crossAx val="340633856"/>
        <c:crosses val="autoZero"/>
        <c:auto val="1"/>
        <c:lblAlgn val="ctr"/>
        <c:lblOffset val="100"/>
        <c:noMultiLvlLbl val="0"/>
      </c:catAx>
      <c:valAx>
        <c:axId val="340633856"/>
        <c:scaling>
          <c:orientation val="minMax"/>
        </c:scaling>
        <c:delete val="0"/>
        <c:axPos val="l"/>
        <c:numFmt formatCode="#,##0.0" sourceLinked="1"/>
        <c:majorTickMark val="out"/>
        <c:minorTickMark val="none"/>
        <c:tickLblPos val="nextTo"/>
        <c:txPr>
          <a:bodyPr/>
          <a:lstStyle/>
          <a:p>
            <a:pPr>
              <a:defRPr sz="1000"/>
            </a:pPr>
            <a:endParaRPr lang="es-BO"/>
          </a:p>
        </c:txPr>
        <c:crossAx val="340632320"/>
        <c:crosses val="autoZero"/>
        <c:crossBetween val="between"/>
      </c:valAx>
    </c:plotArea>
    <c:legend>
      <c:legendPos val="r"/>
      <c:layout>
        <c:manualLayout>
          <c:xMode val="edge"/>
          <c:yMode val="edge"/>
          <c:x val="0.11879304496933527"/>
          <c:y val="0.79782473362638584"/>
          <c:w val="0.49271309320796963"/>
          <c:h val="0.1249605004475057"/>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pPr>
            <a:r>
              <a:rPr lang="es-ES" sz="800" b="0"/>
              <a:t>Índice de tipo de cambio real (2012 = 100), escala izquierda</a:t>
            </a:r>
            <a:r>
              <a:rPr lang="es-ES" sz="800" b="0" baseline="30000"/>
              <a:t>1</a:t>
            </a:r>
          </a:p>
        </c:rich>
      </c:tx>
      <c:layout>
        <c:manualLayout>
          <c:xMode val="edge"/>
          <c:yMode val="edge"/>
          <c:x val="0.28717201028839534"/>
          <c:y val="0.24992100089500782"/>
        </c:manualLayout>
      </c:layout>
      <c:overlay val="1"/>
    </c:title>
    <c:autoTitleDeleted val="0"/>
    <c:plotArea>
      <c:layout>
        <c:manualLayout>
          <c:layoutTarget val="inner"/>
          <c:xMode val="edge"/>
          <c:yMode val="edge"/>
          <c:x val="8.7230659795174234E-2"/>
          <c:y val="0.26542261209831086"/>
          <c:w val="0.80905369374122549"/>
          <c:h val="0.55187015006991669"/>
        </c:manualLayout>
      </c:layout>
      <c:barChart>
        <c:barDir val="col"/>
        <c:grouping val="clustered"/>
        <c:varyColors val="0"/>
        <c:ser>
          <c:idx val="1"/>
          <c:order val="1"/>
          <c:tx>
            <c:strRef>
              <c:f>'TC nominal'!$B$18</c:f>
              <c:strCache>
                <c:ptCount val="1"/>
                <c:pt idx="0">
                  <c:v>Inflación interna (en porcentaje)</c:v>
                </c:pt>
              </c:strCache>
            </c:strRef>
          </c:tx>
          <c:invertIfNegative val="0"/>
          <c:cat>
            <c:numRef>
              <c:f>'TC nominal'!$C$10:$H$10</c:f>
              <c:numCache>
                <c:formatCode>0</c:formatCode>
                <c:ptCount val="6"/>
                <c:pt idx="0">
                  <c:v>2008</c:v>
                </c:pt>
                <c:pt idx="1">
                  <c:v>2009</c:v>
                </c:pt>
                <c:pt idx="2">
                  <c:v>2010</c:v>
                </c:pt>
                <c:pt idx="3">
                  <c:v>2011</c:v>
                </c:pt>
                <c:pt idx="4">
                  <c:v>2012</c:v>
                </c:pt>
                <c:pt idx="5">
                  <c:v>2013</c:v>
                </c:pt>
              </c:numCache>
            </c:numRef>
          </c:cat>
          <c:val>
            <c:numRef>
              <c:f>'TC nominal'!$C$18:$H$18</c:f>
              <c:numCache>
                <c:formatCode>0.0</c:formatCode>
                <c:ptCount val="6"/>
                <c:pt idx="0">
                  <c:v>13.424650631557796</c:v>
                </c:pt>
                <c:pt idx="1">
                  <c:v>7.8427556534629019</c:v>
                </c:pt>
                <c:pt idx="2">
                  <c:v>5.6626532109607268</c:v>
                </c:pt>
                <c:pt idx="3">
                  <c:v>4.8781491879010872</c:v>
                </c:pt>
                <c:pt idx="4">
                  <c:v>4.6130302133459367</c:v>
                </c:pt>
                <c:pt idx="5">
                  <c:v>6.1358513231091649</c:v>
                </c:pt>
              </c:numCache>
            </c:numRef>
          </c:val>
          <c:extLst>
            <c:ext xmlns:c16="http://schemas.microsoft.com/office/drawing/2014/chart" uri="{C3380CC4-5D6E-409C-BE32-E72D297353CC}">
              <c16:uniqueId val="{00000000-FA92-4719-9563-5713C58BEECA}"/>
            </c:ext>
          </c:extLst>
        </c:ser>
        <c:ser>
          <c:idx val="2"/>
          <c:order val="2"/>
          <c:tx>
            <c:strRef>
              <c:f>'TC nominal'!$B$20</c:f>
              <c:strCache>
                <c:ptCount val="1"/>
                <c:pt idx="0">
                  <c:v>Inflación en socios comerciales (en porcentaje)</c:v>
                </c:pt>
              </c:strCache>
            </c:strRef>
          </c:tx>
          <c:invertIfNegative val="0"/>
          <c:cat>
            <c:numRef>
              <c:f>'TC nominal'!$C$10:$H$10</c:f>
              <c:numCache>
                <c:formatCode>0</c:formatCode>
                <c:ptCount val="6"/>
                <c:pt idx="0">
                  <c:v>2008</c:v>
                </c:pt>
                <c:pt idx="1">
                  <c:v>2009</c:v>
                </c:pt>
                <c:pt idx="2">
                  <c:v>2010</c:v>
                </c:pt>
                <c:pt idx="3">
                  <c:v>2011</c:v>
                </c:pt>
                <c:pt idx="4">
                  <c:v>2012</c:v>
                </c:pt>
                <c:pt idx="5">
                  <c:v>2013</c:v>
                </c:pt>
              </c:numCache>
            </c:numRef>
          </c:cat>
          <c:val>
            <c:numRef>
              <c:f>'TC nominal'!$C$20:$H$20</c:f>
              <c:numCache>
                <c:formatCode>0.0</c:formatCode>
                <c:ptCount val="6"/>
                <c:pt idx="0">
                  <c:v>3.5952509527075844</c:v>
                </c:pt>
                <c:pt idx="1">
                  <c:v>-0.17065774831935981</c:v>
                </c:pt>
                <c:pt idx="2">
                  <c:v>1.5164247318407489</c:v>
                </c:pt>
                <c:pt idx="3">
                  <c:v>2.8675084033778688</c:v>
                </c:pt>
                <c:pt idx="4">
                  <c:v>1.9575440825266084</c:v>
                </c:pt>
                <c:pt idx="5">
                  <c:v>1.5</c:v>
                </c:pt>
              </c:numCache>
            </c:numRef>
          </c:val>
          <c:extLst>
            <c:ext xmlns:c16="http://schemas.microsoft.com/office/drawing/2014/chart" uri="{C3380CC4-5D6E-409C-BE32-E72D297353CC}">
              <c16:uniqueId val="{00000001-FA92-4719-9563-5713C58BEECA}"/>
            </c:ext>
          </c:extLst>
        </c:ser>
        <c:dLbls>
          <c:showLegendKey val="0"/>
          <c:showVal val="0"/>
          <c:showCatName val="0"/>
          <c:showSerName val="0"/>
          <c:showPercent val="0"/>
          <c:showBubbleSize val="0"/>
        </c:dLbls>
        <c:gapWidth val="150"/>
        <c:axId val="340720256"/>
        <c:axId val="340718720"/>
      </c:barChart>
      <c:lineChart>
        <c:grouping val="standard"/>
        <c:varyColors val="0"/>
        <c:ser>
          <c:idx val="0"/>
          <c:order val="0"/>
          <c:tx>
            <c:strRef>
              <c:f>'TC nominal'!$B$22</c:f>
              <c:strCache>
                <c:ptCount val="1"/>
                <c:pt idx="0">
                  <c:v>Índice de tipo de cambio real (2012=100)1/ </c:v>
                </c:pt>
              </c:strCache>
            </c:strRef>
          </c:tx>
          <c:marker>
            <c:symbol val="none"/>
          </c:marker>
          <c:cat>
            <c:numRef>
              <c:f>'TC nominal'!$C$10:$H$10</c:f>
              <c:numCache>
                <c:formatCode>0</c:formatCode>
                <c:ptCount val="6"/>
                <c:pt idx="0">
                  <c:v>2008</c:v>
                </c:pt>
                <c:pt idx="1">
                  <c:v>2009</c:v>
                </c:pt>
                <c:pt idx="2">
                  <c:v>2010</c:v>
                </c:pt>
                <c:pt idx="3">
                  <c:v>2011</c:v>
                </c:pt>
                <c:pt idx="4">
                  <c:v>2012</c:v>
                </c:pt>
                <c:pt idx="5">
                  <c:v>2013</c:v>
                </c:pt>
              </c:numCache>
            </c:numRef>
          </c:cat>
          <c:val>
            <c:numRef>
              <c:f>'TC nominal'!$C$22:$H$22</c:f>
              <c:numCache>
                <c:formatCode>0.0</c:formatCode>
                <c:ptCount val="6"/>
                <c:pt idx="0">
                  <c:v>121.17953211036611</c:v>
                </c:pt>
                <c:pt idx="1">
                  <c:v>122.20505458470026</c:v>
                </c:pt>
                <c:pt idx="2">
                  <c:v>107.6901181007282</c:v>
                </c:pt>
                <c:pt idx="3">
                  <c:v>101.7227415353677</c:v>
                </c:pt>
                <c:pt idx="4">
                  <c:v>100</c:v>
                </c:pt>
                <c:pt idx="5">
                  <c:v>99.269809863715537</c:v>
                </c:pt>
              </c:numCache>
            </c:numRef>
          </c:val>
          <c:smooth val="0"/>
          <c:extLst>
            <c:ext xmlns:c16="http://schemas.microsoft.com/office/drawing/2014/chart" uri="{C3380CC4-5D6E-409C-BE32-E72D297353CC}">
              <c16:uniqueId val="{00000002-FA92-4719-9563-5713C58BEECA}"/>
            </c:ext>
          </c:extLst>
        </c:ser>
        <c:dLbls>
          <c:showLegendKey val="0"/>
          <c:showVal val="0"/>
          <c:showCatName val="0"/>
          <c:showSerName val="0"/>
          <c:showPercent val="0"/>
          <c:showBubbleSize val="0"/>
        </c:dLbls>
        <c:marker val="1"/>
        <c:smooth val="0"/>
        <c:axId val="340662144"/>
        <c:axId val="340663680"/>
      </c:lineChart>
      <c:catAx>
        <c:axId val="340662144"/>
        <c:scaling>
          <c:orientation val="minMax"/>
        </c:scaling>
        <c:delete val="0"/>
        <c:axPos val="b"/>
        <c:numFmt formatCode="0" sourceLinked="1"/>
        <c:majorTickMark val="out"/>
        <c:minorTickMark val="none"/>
        <c:tickLblPos val="nextTo"/>
        <c:txPr>
          <a:bodyPr/>
          <a:lstStyle/>
          <a:p>
            <a:pPr>
              <a:defRPr sz="1000"/>
            </a:pPr>
            <a:endParaRPr lang="es-BO"/>
          </a:p>
        </c:txPr>
        <c:crossAx val="340663680"/>
        <c:crosses val="autoZero"/>
        <c:auto val="1"/>
        <c:lblAlgn val="ctr"/>
        <c:lblOffset val="100"/>
        <c:noMultiLvlLbl val="0"/>
      </c:catAx>
      <c:valAx>
        <c:axId val="340663680"/>
        <c:scaling>
          <c:orientation val="minMax"/>
        </c:scaling>
        <c:delete val="0"/>
        <c:axPos val="l"/>
        <c:numFmt formatCode="0" sourceLinked="0"/>
        <c:majorTickMark val="out"/>
        <c:minorTickMark val="none"/>
        <c:tickLblPos val="nextTo"/>
        <c:txPr>
          <a:bodyPr/>
          <a:lstStyle/>
          <a:p>
            <a:pPr>
              <a:defRPr sz="1000"/>
            </a:pPr>
            <a:endParaRPr lang="es-BO"/>
          </a:p>
        </c:txPr>
        <c:crossAx val="340662144"/>
        <c:crosses val="autoZero"/>
        <c:crossBetween val="between"/>
      </c:valAx>
      <c:valAx>
        <c:axId val="340718720"/>
        <c:scaling>
          <c:orientation val="minMax"/>
        </c:scaling>
        <c:delete val="0"/>
        <c:axPos val="r"/>
        <c:numFmt formatCode="0" sourceLinked="0"/>
        <c:majorTickMark val="out"/>
        <c:minorTickMark val="none"/>
        <c:tickLblPos val="nextTo"/>
        <c:crossAx val="340720256"/>
        <c:crosses val="max"/>
        <c:crossBetween val="between"/>
      </c:valAx>
      <c:catAx>
        <c:axId val="340720256"/>
        <c:scaling>
          <c:orientation val="minMax"/>
        </c:scaling>
        <c:delete val="1"/>
        <c:axPos val="b"/>
        <c:numFmt formatCode="0" sourceLinked="1"/>
        <c:majorTickMark val="out"/>
        <c:minorTickMark val="none"/>
        <c:tickLblPos val="none"/>
        <c:crossAx val="340718720"/>
        <c:crosses val="autoZero"/>
        <c:auto val="1"/>
        <c:lblAlgn val="ctr"/>
        <c:lblOffset val="100"/>
        <c:noMultiLvlLbl val="0"/>
      </c:catAx>
    </c:plotArea>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95344783726999E-2"/>
          <c:y val="0.27322866976861226"/>
          <c:w val="0.8363049868568575"/>
          <c:h val="0.5232696357715515"/>
        </c:manualLayout>
      </c:layout>
      <c:barChart>
        <c:barDir val="col"/>
        <c:grouping val="clustered"/>
        <c:varyColors val="0"/>
        <c:ser>
          <c:idx val="3"/>
          <c:order val="0"/>
          <c:tx>
            <c:strRef>
              <c:f>EX_Stock_Ind!$C$13</c:f>
              <c:strCache>
                <c:ptCount val="1"/>
                <c:pt idx="0">
                  <c:v>Reservas, en meses de importaciones de bienes y servicios</c:v>
                </c:pt>
              </c:strCache>
            </c:strRef>
          </c:tx>
          <c:spPr>
            <a:ln>
              <a:solidFill>
                <a:sysClr val="windowText" lastClr="000000"/>
              </a:solidFill>
            </a:ln>
          </c:spPr>
          <c:invertIfNegative val="0"/>
          <c:cat>
            <c:numRef>
              <c:f>EX_Stock_Ind!$F$3:$K$3</c:f>
              <c:numCache>
                <c:formatCode>General</c:formatCode>
                <c:ptCount val="6"/>
                <c:pt idx="0">
                  <c:v>2008</c:v>
                </c:pt>
                <c:pt idx="1">
                  <c:v>2009</c:v>
                </c:pt>
                <c:pt idx="2">
                  <c:v>2010</c:v>
                </c:pt>
                <c:pt idx="3">
                  <c:v>2011</c:v>
                </c:pt>
                <c:pt idx="4">
                  <c:v>2012</c:v>
                </c:pt>
                <c:pt idx="5">
                  <c:v>2013</c:v>
                </c:pt>
              </c:numCache>
            </c:numRef>
          </c:cat>
          <c:val>
            <c:numRef>
              <c:f>EX_Stock_Ind!$F$13:$K$13</c:f>
              <c:numCache>
                <c:formatCode>#,##0.0</c:formatCode>
                <c:ptCount val="6"/>
                <c:pt idx="0">
                  <c:v>3.7114513676672645</c:v>
                </c:pt>
                <c:pt idx="1">
                  <c:v>3.3106332331640043</c:v>
                </c:pt>
                <c:pt idx="2">
                  <c:v>3.2169384372995697</c:v>
                </c:pt>
                <c:pt idx="3">
                  <c:v>2.9821837688561987</c:v>
                </c:pt>
                <c:pt idx="4">
                  <c:v>2.8376926543968959</c:v>
                </c:pt>
                <c:pt idx="5">
                  <c:v>2.6258452100939378</c:v>
                </c:pt>
              </c:numCache>
            </c:numRef>
          </c:val>
          <c:extLst>
            <c:ext xmlns:c16="http://schemas.microsoft.com/office/drawing/2014/chart" uri="{C3380CC4-5D6E-409C-BE32-E72D297353CC}">
              <c16:uniqueId val="{00000000-AFA9-4909-856A-EADEEB20CFB6}"/>
            </c:ext>
          </c:extLst>
        </c:ser>
        <c:dLbls>
          <c:showLegendKey val="0"/>
          <c:showVal val="0"/>
          <c:showCatName val="0"/>
          <c:showSerName val="0"/>
          <c:showPercent val="0"/>
          <c:showBubbleSize val="0"/>
        </c:dLbls>
        <c:gapWidth val="150"/>
        <c:axId val="342102784"/>
        <c:axId val="342104320"/>
      </c:barChart>
      <c:lineChart>
        <c:grouping val="standard"/>
        <c:varyColors val="0"/>
        <c:ser>
          <c:idx val="0"/>
          <c:order val="1"/>
          <c:tx>
            <c:v>Activos de reserva (en millones de USD, der.)</c:v>
          </c:tx>
          <c:val>
            <c:numRef>
              <c:f>EX_Stock_Ind!$F$32:$K$32</c:f>
              <c:numCache>
                <c:formatCode>#,##0</c:formatCode>
                <c:ptCount val="6"/>
                <c:pt idx="0">
                  <c:v>3798.7</c:v>
                </c:pt>
                <c:pt idx="1">
                  <c:v>4066.2</c:v>
                </c:pt>
                <c:pt idx="2">
                  <c:v>4629.7</c:v>
                </c:pt>
                <c:pt idx="3">
                  <c:v>4758.3</c:v>
                </c:pt>
                <c:pt idx="4">
                  <c:v>4808.2716085310276</c:v>
                </c:pt>
                <c:pt idx="5">
                  <c:v>4779.042817354617</c:v>
                </c:pt>
              </c:numCache>
            </c:numRef>
          </c:val>
          <c:smooth val="0"/>
          <c:extLst>
            <c:ext xmlns:c16="http://schemas.microsoft.com/office/drawing/2014/chart" uri="{C3380CC4-5D6E-409C-BE32-E72D297353CC}">
              <c16:uniqueId val="{00000001-AFA9-4909-856A-EADEEB20CFB6}"/>
            </c:ext>
          </c:extLst>
        </c:ser>
        <c:dLbls>
          <c:showLegendKey val="0"/>
          <c:showVal val="0"/>
          <c:showCatName val="0"/>
          <c:showSerName val="0"/>
          <c:showPercent val="0"/>
          <c:showBubbleSize val="0"/>
        </c:dLbls>
        <c:marker val="1"/>
        <c:smooth val="0"/>
        <c:axId val="342115840"/>
        <c:axId val="342114304"/>
      </c:lineChart>
      <c:catAx>
        <c:axId val="342102784"/>
        <c:scaling>
          <c:orientation val="minMax"/>
        </c:scaling>
        <c:delete val="0"/>
        <c:axPos val="b"/>
        <c:numFmt formatCode="General" sourceLinked="1"/>
        <c:majorTickMark val="out"/>
        <c:minorTickMark val="none"/>
        <c:tickLblPos val="nextTo"/>
        <c:txPr>
          <a:bodyPr/>
          <a:lstStyle/>
          <a:p>
            <a:pPr>
              <a:defRPr sz="1000"/>
            </a:pPr>
            <a:endParaRPr lang="es-BO"/>
          </a:p>
        </c:txPr>
        <c:crossAx val="342104320"/>
        <c:crosses val="autoZero"/>
        <c:auto val="1"/>
        <c:lblAlgn val="ctr"/>
        <c:lblOffset val="100"/>
        <c:noMultiLvlLbl val="0"/>
      </c:catAx>
      <c:valAx>
        <c:axId val="342104320"/>
        <c:scaling>
          <c:orientation val="minMax"/>
          <c:min val="1"/>
        </c:scaling>
        <c:delete val="0"/>
        <c:axPos val="l"/>
        <c:numFmt formatCode="#,##0.0" sourceLinked="1"/>
        <c:majorTickMark val="out"/>
        <c:minorTickMark val="none"/>
        <c:tickLblPos val="nextTo"/>
        <c:txPr>
          <a:bodyPr/>
          <a:lstStyle/>
          <a:p>
            <a:pPr>
              <a:defRPr sz="1000"/>
            </a:pPr>
            <a:endParaRPr lang="es-BO"/>
          </a:p>
        </c:txPr>
        <c:crossAx val="342102784"/>
        <c:crosses val="autoZero"/>
        <c:crossBetween val="between"/>
        <c:majorUnit val="0.5"/>
      </c:valAx>
      <c:valAx>
        <c:axId val="342114304"/>
        <c:scaling>
          <c:orientation val="minMax"/>
        </c:scaling>
        <c:delete val="0"/>
        <c:axPos val="r"/>
        <c:numFmt formatCode="#,##0" sourceLinked="1"/>
        <c:majorTickMark val="out"/>
        <c:minorTickMark val="none"/>
        <c:tickLblPos val="nextTo"/>
        <c:txPr>
          <a:bodyPr/>
          <a:lstStyle/>
          <a:p>
            <a:pPr>
              <a:defRPr sz="800"/>
            </a:pPr>
            <a:endParaRPr lang="es-BO"/>
          </a:p>
        </c:txPr>
        <c:crossAx val="342115840"/>
        <c:crosses val="max"/>
        <c:crossBetween val="between"/>
      </c:valAx>
      <c:catAx>
        <c:axId val="342115840"/>
        <c:scaling>
          <c:orientation val="minMax"/>
        </c:scaling>
        <c:delete val="1"/>
        <c:axPos val="b"/>
        <c:majorTickMark val="out"/>
        <c:minorTickMark val="none"/>
        <c:tickLblPos val="none"/>
        <c:crossAx val="342114304"/>
        <c:crosses val="autoZero"/>
        <c:auto val="1"/>
        <c:lblAlgn val="ctr"/>
        <c:lblOffset val="100"/>
        <c:noMultiLvlLbl val="0"/>
      </c:catAx>
    </c:plotArea>
    <c:legend>
      <c:legendPos val="r"/>
      <c:layout>
        <c:manualLayout>
          <c:xMode val="edge"/>
          <c:yMode val="edge"/>
          <c:x val="0.10964113096976605"/>
          <c:y val="0.14418519282404296"/>
          <c:w val="0.75212363033380758"/>
          <c:h val="0.17143278831835029"/>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2"/>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316839239113091E-2"/>
          <c:y val="0.10536607333766022"/>
          <c:w val="0.90102554197797158"/>
          <c:h val="0.84840875934507465"/>
        </c:manualLayout>
      </c:layout>
      <c:barChart>
        <c:barDir val="col"/>
        <c:grouping val="clustered"/>
        <c:varyColors val="0"/>
        <c:ser>
          <c:idx val="1"/>
          <c:order val="1"/>
          <c:tx>
            <c:strRef>
              <c:f>'Cuadro SEFI'!$C$38</c:f>
              <c:strCache>
                <c:ptCount val="1"/>
                <c:pt idx="0">
                  <c:v>    Impulso fiscal (expansivo +)</c:v>
                </c:pt>
              </c:strCache>
            </c:strRef>
          </c:tx>
          <c:spPr>
            <a:solidFill>
              <a:schemeClr val="accent5">
                <a:lumMod val="75000"/>
              </a:schemeClr>
            </a:solidFill>
          </c:spPr>
          <c:invertIfNegative val="0"/>
          <c:cat>
            <c:strRef>
              <c:f>'Cuadro SEFI'!$D$3:$J$3</c:f>
              <c:strCache>
                <c:ptCount val="7"/>
                <c:pt idx="0">
                  <c:v>2008</c:v>
                </c:pt>
                <c:pt idx="1">
                  <c:v>2009</c:v>
                </c:pt>
                <c:pt idx="2">
                  <c:v>2010</c:v>
                </c:pt>
                <c:pt idx="3">
                  <c:v>2011</c:v>
                </c:pt>
                <c:pt idx="4">
                  <c:v>2012</c:v>
                </c:pt>
                <c:pt idx="5">
                  <c:v>2013</c:v>
                </c:pt>
                <c:pt idx="6">
                  <c:v>Base:
2014</c:v>
                </c:pt>
              </c:strCache>
            </c:strRef>
          </c:cat>
          <c:val>
            <c:numRef>
              <c:f>'Cuadro SEFI'!$E$38:$I$38</c:f>
              <c:numCache>
                <c:formatCode>0.0</c:formatCode>
                <c:ptCount val="5"/>
                <c:pt idx="0">
                  <c:v>3.3150567967736642</c:v>
                </c:pt>
                <c:pt idx="1">
                  <c:v>2.1839871212459983</c:v>
                </c:pt>
                <c:pt idx="2">
                  <c:v>-1.3266878106123474</c:v>
                </c:pt>
                <c:pt idx="3">
                  <c:v>0.91014216766532496</c:v>
                </c:pt>
                <c:pt idx="4">
                  <c:v>2.1537206280898973</c:v>
                </c:pt>
              </c:numCache>
            </c:numRef>
          </c:val>
          <c:extLst>
            <c:ext xmlns:c16="http://schemas.microsoft.com/office/drawing/2014/chart" uri="{C3380CC4-5D6E-409C-BE32-E72D297353CC}">
              <c16:uniqueId val="{00000000-41AE-43EE-AA7B-EA16D58291C2}"/>
            </c:ext>
          </c:extLst>
        </c:ser>
        <c:dLbls>
          <c:showLegendKey val="0"/>
          <c:showVal val="0"/>
          <c:showCatName val="0"/>
          <c:showSerName val="0"/>
          <c:showPercent val="0"/>
          <c:showBubbleSize val="0"/>
        </c:dLbls>
        <c:gapWidth val="150"/>
        <c:axId val="342151168"/>
        <c:axId val="342152704"/>
      </c:barChart>
      <c:lineChart>
        <c:grouping val="standard"/>
        <c:varyColors val="0"/>
        <c:ser>
          <c:idx val="0"/>
          <c:order val="0"/>
          <c:tx>
            <c:strRef>
              <c:f>'Cuadro SEFI'!$C$7</c:f>
              <c:strCache>
                <c:ptCount val="1"/>
                <c:pt idx="0">
                  <c:v>Brecha del PIB (porcentaje del PIB potencial)</c:v>
                </c:pt>
              </c:strCache>
            </c:strRef>
          </c:tx>
          <c:spPr>
            <a:ln w="34925">
              <a:solidFill>
                <a:srgbClr val="FF0000"/>
              </a:solidFill>
            </a:ln>
          </c:spPr>
          <c:marker>
            <c:symbol val="none"/>
          </c:marker>
          <c:dPt>
            <c:idx val="4"/>
            <c:bubble3D val="0"/>
            <c:spPr>
              <a:ln w="28575">
                <a:solidFill>
                  <a:srgbClr val="FF0000"/>
                </a:solidFill>
              </a:ln>
            </c:spPr>
            <c:extLst>
              <c:ext xmlns:c16="http://schemas.microsoft.com/office/drawing/2014/chart" uri="{C3380CC4-5D6E-409C-BE32-E72D297353CC}">
                <c16:uniqueId val="{00000001-41AE-43EE-AA7B-EA16D58291C2}"/>
              </c:ext>
            </c:extLst>
          </c:dPt>
          <c:cat>
            <c:numRef>
              <c:f>'Cuadro SEFI'!$E$3:$I$3</c:f>
              <c:numCache>
                <c:formatCode>General</c:formatCode>
                <c:ptCount val="5"/>
                <c:pt idx="0">
                  <c:v>2009</c:v>
                </c:pt>
                <c:pt idx="1">
                  <c:v>2010</c:v>
                </c:pt>
                <c:pt idx="2">
                  <c:v>2011</c:v>
                </c:pt>
                <c:pt idx="3">
                  <c:v>2012</c:v>
                </c:pt>
                <c:pt idx="4">
                  <c:v>2013</c:v>
                </c:pt>
              </c:numCache>
            </c:numRef>
          </c:cat>
          <c:val>
            <c:numRef>
              <c:f>'Cuadro SEFI'!$E$7:$I$7</c:f>
              <c:numCache>
                <c:formatCode>0.0</c:formatCode>
                <c:ptCount val="5"/>
                <c:pt idx="0">
                  <c:v>-1.5797419566411386</c:v>
                </c:pt>
                <c:pt idx="1">
                  <c:v>-1.2262807984142379</c:v>
                </c:pt>
                <c:pt idx="2">
                  <c:v>-1.3561522298677944</c:v>
                </c:pt>
                <c:pt idx="3">
                  <c:v>0.27332419190744062</c:v>
                </c:pt>
                <c:pt idx="4">
                  <c:v>0.8113223736493943</c:v>
                </c:pt>
              </c:numCache>
            </c:numRef>
          </c:val>
          <c:smooth val="0"/>
          <c:extLst>
            <c:ext xmlns:c16="http://schemas.microsoft.com/office/drawing/2014/chart" uri="{C3380CC4-5D6E-409C-BE32-E72D297353CC}">
              <c16:uniqueId val="{00000002-41AE-43EE-AA7B-EA16D58291C2}"/>
            </c:ext>
          </c:extLst>
        </c:ser>
        <c:dLbls>
          <c:showLegendKey val="0"/>
          <c:showVal val="0"/>
          <c:showCatName val="0"/>
          <c:showSerName val="0"/>
          <c:showPercent val="0"/>
          <c:showBubbleSize val="0"/>
        </c:dLbls>
        <c:marker val="1"/>
        <c:smooth val="0"/>
        <c:axId val="342151168"/>
        <c:axId val="342152704"/>
      </c:lineChart>
      <c:catAx>
        <c:axId val="342151168"/>
        <c:scaling>
          <c:orientation val="minMax"/>
        </c:scaling>
        <c:delete val="0"/>
        <c:axPos val="b"/>
        <c:numFmt formatCode="General" sourceLinked="1"/>
        <c:majorTickMark val="out"/>
        <c:minorTickMark val="none"/>
        <c:tickLblPos val="nextTo"/>
        <c:txPr>
          <a:bodyPr/>
          <a:lstStyle/>
          <a:p>
            <a:pPr>
              <a:defRPr sz="1000"/>
            </a:pPr>
            <a:endParaRPr lang="es-BO"/>
          </a:p>
        </c:txPr>
        <c:crossAx val="342152704"/>
        <c:crosses val="autoZero"/>
        <c:auto val="1"/>
        <c:lblAlgn val="ctr"/>
        <c:lblOffset val="100"/>
        <c:noMultiLvlLbl val="0"/>
      </c:catAx>
      <c:valAx>
        <c:axId val="342152704"/>
        <c:scaling>
          <c:orientation val="minMax"/>
        </c:scaling>
        <c:delete val="0"/>
        <c:axPos val="l"/>
        <c:numFmt formatCode="0" sourceLinked="0"/>
        <c:majorTickMark val="out"/>
        <c:minorTickMark val="none"/>
        <c:tickLblPos val="nextTo"/>
        <c:txPr>
          <a:bodyPr/>
          <a:lstStyle/>
          <a:p>
            <a:pPr>
              <a:defRPr sz="1000"/>
            </a:pPr>
            <a:endParaRPr lang="es-BO"/>
          </a:p>
        </c:txPr>
        <c:crossAx val="342151168"/>
        <c:crosses val="autoZero"/>
        <c:crossBetween val="between"/>
      </c:valAx>
    </c:plotArea>
    <c:legend>
      <c:legendPos val="b"/>
      <c:layout>
        <c:manualLayout>
          <c:xMode val="edge"/>
          <c:yMode val="edge"/>
          <c:x val="0.34744062031863882"/>
          <c:y val="0.40371853990732032"/>
          <c:w val="0.5"/>
          <c:h val="0.12964557311721953"/>
        </c:manualLayout>
      </c:layout>
      <c:overlay val="0"/>
      <c:spPr>
        <a:noFill/>
      </c:spPr>
      <c:txPr>
        <a:bodyPr/>
        <a:lstStyle/>
        <a:p>
          <a:pPr>
            <a:defRPr sz="800"/>
          </a:pPr>
          <a:endParaRPr lang="es-BO"/>
        </a:p>
      </c:txPr>
    </c:legend>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083296432037183E-2"/>
          <c:y val="0.11462495766215652"/>
          <c:w val="0.81497658730532607"/>
          <c:h val="0.75980260630821295"/>
        </c:manualLayout>
      </c:layout>
      <c:barChart>
        <c:barDir val="col"/>
        <c:grouping val="clustered"/>
        <c:varyColors val="0"/>
        <c:ser>
          <c:idx val="1"/>
          <c:order val="0"/>
          <c:tx>
            <c:strRef>
              <c:f>Gob_Stock_Ind!$C$10</c:f>
              <c:strCache>
                <c:ptCount val="1"/>
                <c:pt idx="0">
                  <c:v>General Government liabilities-to-GDP</c:v>
                </c:pt>
              </c:strCache>
            </c:strRef>
          </c:tx>
          <c:spPr>
            <a:solidFill>
              <a:srgbClr val="4BACC6">
                <a:lumMod val="75000"/>
              </a:srgbClr>
            </a:solidFill>
            <a:ln>
              <a:solidFill>
                <a:schemeClr val="lt1">
                  <a:shade val="50000"/>
                </a:schemeClr>
              </a:solidFill>
              <a:prstDash val="sysDash"/>
            </a:ln>
          </c:spPr>
          <c:invertIfNegative val="0"/>
          <c:cat>
            <c:numRef>
              <c:f>Gob_Stock_Ind!$F$3:$K$3</c:f>
              <c:numCache>
                <c:formatCode>General</c:formatCode>
                <c:ptCount val="2"/>
                <c:pt idx="0">
                  <c:v>2012</c:v>
                </c:pt>
                <c:pt idx="1">
                  <c:v>2013</c:v>
                </c:pt>
              </c:numCache>
            </c:numRef>
          </c:cat>
          <c:val>
            <c:numRef>
              <c:f>Gob_Stock_Ind!$F$10:$K$10</c:f>
            </c:numRef>
          </c:val>
          <c:extLst>
            <c:ext xmlns:c16="http://schemas.microsoft.com/office/drawing/2014/chart" uri="{C3380CC4-5D6E-409C-BE32-E72D297353CC}">
              <c16:uniqueId val="{00000000-9785-4EF6-A060-85F678E0F4EB}"/>
            </c:ext>
          </c:extLst>
        </c:ser>
        <c:dLbls>
          <c:showLegendKey val="0"/>
          <c:showVal val="0"/>
          <c:showCatName val="0"/>
          <c:showSerName val="0"/>
          <c:showPercent val="0"/>
          <c:showBubbleSize val="0"/>
        </c:dLbls>
        <c:gapWidth val="94"/>
        <c:overlap val="18"/>
        <c:axId val="342199680"/>
        <c:axId val="342209664"/>
      </c:barChart>
      <c:lineChart>
        <c:grouping val="standard"/>
        <c:varyColors val="0"/>
        <c:ser>
          <c:idx val="0"/>
          <c:order val="1"/>
          <c:tx>
            <c:v>Pasivos del GG (en miles de millones de moneda nacional)</c:v>
          </c:tx>
          <c:spPr>
            <a:ln>
              <a:solidFill>
                <a:srgbClr val="FFC000"/>
              </a:solidFill>
            </a:ln>
          </c:spPr>
          <c:marker>
            <c:symbol val="none"/>
          </c:marker>
          <c:cat>
            <c:numRef>
              <c:f>Gob_Stock_Ind!$F$3:$K$3</c:f>
              <c:numCache>
                <c:formatCode>General</c:formatCode>
                <c:ptCount val="2"/>
                <c:pt idx="0">
                  <c:v>2012</c:v>
                </c:pt>
                <c:pt idx="1">
                  <c:v>2013</c:v>
                </c:pt>
              </c:numCache>
            </c:numRef>
          </c:cat>
          <c:val>
            <c:numRef>
              <c:f>Gob_Stock_Ind!$F$27:$K$27</c:f>
              <c:numCache>
                <c:formatCode>#,##0</c:formatCode>
                <c:ptCount val="2"/>
                <c:pt idx="0">
                  <c:v>8169.4070366247106</c:v>
                </c:pt>
                <c:pt idx="1">
                  <c:v>9764.2951572229558</c:v>
                </c:pt>
              </c:numCache>
            </c:numRef>
          </c:val>
          <c:smooth val="0"/>
          <c:extLst>
            <c:ext xmlns:c16="http://schemas.microsoft.com/office/drawing/2014/chart" uri="{C3380CC4-5D6E-409C-BE32-E72D297353CC}">
              <c16:uniqueId val="{00000001-9785-4EF6-A060-85F678E0F4EB}"/>
            </c:ext>
          </c:extLst>
        </c:ser>
        <c:dLbls>
          <c:showLegendKey val="0"/>
          <c:showVal val="0"/>
          <c:showCatName val="0"/>
          <c:showSerName val="0"/>
          <c:showPercent val="0"/>
          <c:showBubbleSize val="0"/>
        </c:dLbls>
        <c:marker val="1"/>
        <c:smooth val="0"/>
        <c:axId val="342212992"/>
        <c:axId val="342211200"/>
      </c:lineChart>
      <c:catAx>
        <c:axId val="342199680"/>
        <c:scaling>
          <c:orientation val="minMax"/>
        </c:scaling>
        <c:delete val="0"/>
        <c:axPos val="b"/>
        <c:numFmt formatCode="General" sourceLinked="1"/>
        <c:majorTickMark val="out"/>
        <c:minorTickMark val="none"/>
        <c:tickLblPos val="nextTo"/>
        <c:txPr>
          <a:bodyPr/>
          <a:lstStyle/>
          <a:p>
            <a:pPr>
              <a:defRPr sz="1000"/>
            </a:pPr>
            <a:endParaRPr lang="es-BO"/>
          </a:p>
        </c:txPr>
        <c:crossAx val="342209664"/>
        <c:crosses val="autoZero"/>
        <c:auto val="1"/>
        <c:lblAlgn val="ctr"/>
        <c:lblOffset val="100"/>
        <c:noMultiLvlLbl val="0"/>
      </c:catAx>
      <c:valAx>
        <c:axId val="342209664"/>
        <c:scaling>
          <c:orientation val="minMax"/>
        </c:scaling>
        <c:delete val="0"/>
        <c:axPos val="l"/>
        <c:numFmt formatCode="#,##0" sourceLinked="0"/>
        <c:majorTickMark val="out"/>
        <c:minorTickMark val="none"/>
        <c:tickLblPos val="nextTo"/>
        <c:txPr>
          <a:bodyPr/>
          <a:lstStyle/>
          <a:p>
            <a:pPr>
              <a:defRPr sz="1000"/>
            </a:pPr>
            <a:endParaRPr lang="es-BO"/>
          </a:p>
        </c:txPr>
        <c:crossAx val="342199680"/>
        <c:crosses val="autoZero"/>
        <c:crossBetween val="between"/>
      </c:valAx>
      <c:valAx>
        <c:axId val="342211200"/>
        <c:scaling>
          <c:orientation val="minMax"/>
        </c:scaling>
        <c:delete val="0"/>
        <c:axPos val="r"/>
        <c:numFmt formatCode="#,##0" sourceLinked="1"/>
        <c:majorTickMark val="out"/>
        <c:minorTickMark val="none"/>
        <c:tickLblPos val="nextTo"/>
        <c:txPr>
          <a:bodyPr/>
          <a:lstStyle/>
          <a:p>
            <a:pPr>
              <a:defRPr sz="1000"/>
            </a:pPr>
            <a:endParaRPr lang="es-BO"/>
          </a:p>
        </c:txPr>
        <c:crossAx val="342212992"/>
        <c:crosses val="max"/>
        <c:crossBetween val="between"/>
      </c:valAx>
      <c:catAx>
        <c:axId val="342212992"/>
        <c:scaling>
          <c:orientation val="minMax"/>
        </c:scaling>
        <c:delete val="1"/>
        <c:axPos val="b"/>
        <c:numFmt formatCode="General" sourceLinked="1"/>
        <c:majorTickMark val="out"/>
        <c:minorTickMark val="none"/>
        <c:tickLblPos val="none"/>
        <c:crossAx val="342211200"/>
        <c:crosses val="autoZero"/>
        <c:auto val="1"/>
        <c:lblAlgn val="ctr"/>
        <c:lblOffset val="100"/>
        <c:noMultiLvlLbl val="0"/>
      </c:catAx>
    </c:plotArea>
    <c:legend>
      <c:legendPos val="r"/>
      <c:layout>
        <c:manualLayout>
          <c:xMode val="edge"/>
          <c:yMode val="edge"/>
          <c:x val="0.12308859137546048"/>
          <c:y val="0.14418519282404296"/>
          <c:w val="0.32815223433422214"/>
          <c:h val="0.24352538473037608"/>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36183153059754E-2"/>
          <c:y val="0.18123723972059597"/>
          <c:w val="0.88894742640516955"/>
          <c:h val="0.68080407177865421"/>
        </c:manualLayout>
      </c:layout>
      <c:lineChart>
        <c:grouping val="standard"/>
        <c:varyColors val="0"/>
        <c:ser>
          <c:idx val="0"/>
          <c:order val="0"/>
          <c:tx>
            <c:v>Tasa de política monetaria</c:v>
          </c:tx>
          <c:spPr>
            <a:ln w="28575">
              <a:solidFill>
                <a:schemeClr val="tx1"/>
              </a:solidFill>
            </a:ln>
          </c:spPr>
          <c:marker>
            <c:symbol val="none"/>
          </c:marker>
          <c:cat>
            <c:numRef>
              <c:f>'Cuadro SEFI'!$D$3:$I$3</c:f>
              <c:numCache>
                <c:formatCode>General</c:formatCode>
                <c:ptCount val="6"/>
                <c:pt idx="0">
                  <c:v>2008</c:v>
                </c:pt>
                <c:pt idx="1">
                  <c:v>2009</c:v>
                </c:pt>
                <c:pt idx="2">
                  <c:v>2010</c:v>
                </c:pt>
                <c:pt idx="3">
                  <c:v>2011</c:v>
                </c:pt>
                <c:pt idx="4">
                  <c:v>2012</c:v>
                </c:pt>
                <c:pt idx="5">
                  <c:v>2013</c:v>
                </c:pt>
              </c:numCache>
            </c:numRef>
          </c:cat>
          <c:val>
            <c:numRef>
              <c:f>'Cuadro SEFI'!$D$46:$I$46</c:f>
              <c:numCache>
                <c:formatCode>0.00</c:formatCode>
                <c:ptCount val="6"/>
                <c:pt idx="0">
                  <c:v>7.9574999999999996</c:v>
                </c:pt>
                <c:pt idx="1">
                  <c:v>9.5399999999999991</c:v>
                </c:pt>
                <c:pt idx="2">
                  <c:v>8.2550000000000008</c:v>
                </c:pt>
                <c:pt idx="3">
                  <c:v>5.6416666666666702</c:v>
                </c:pt>
                <c:pt idx="4" formatCode="0.0">
                  <c:v>5</c:v>
                </c:pt>
                <c:pt idx="5" formatCode="0.0">
                  <c:v>8.8660414593936352</c:v>
                </c:pt>
              </c:numCache>
            </c:numRef>
          </c:val>
          <c:smooth val="0"/>
          <c:extLst>
            <c:ext xmlns:c16="http://schemas.microsoft.com/office/drawing/2014/chart" uri="{C3380CC4-5D6E-409C-BE32-E72D297353CC}">
              <c16:uniqueId val="{00000000-9D23-42EB-A80B-57C4102C3E14}"/>
            </c:ext>
          </c:extLst>
        </c:ser>
        <c:ser>
          <c:idx val="1"/>
          <c:order val="1"/>
          <c:tx>
            <c:v>Tasa interbancaria, promedio</c:v>
          </c:tx>
          <c:spPr>
            <a:ln>
              <a:solidFill>
                <a:srgbClr val="FF0000"/>
              </a:solidFill>
              <a:prstDash val="sysDash"/>
            </a:ln>
          </c:spPr>
          <c:marker>
            <c:symbol val="none"/>
          </c:marker>
          <c:cat>
            <c:numRef>
              <c:f>'Cuadro SEFI'!$D$3:$I$3</c:f>
              <c:numCache>
                <c:formatCode>General</c:formatCode>
                <c:ptCount val="6"/>
                <c:pt idx="0">
                  <c:v>2008</c:v>
                </c:pt>
                <c:pt idx="1">
                  <c:v>2009</c:v>
                </c:pt>
                <c:pt idx="2">
                  <c:v>2010</c:v>
                </c:pt>
                <c:pt idx="3">
                  <c:v>2011</c:v>
                </c:pt>
                <c:pt idx="4">
                  <c:v>2012</c:v>
                </c:pt>
                <c:pt idx="5">
                  <c:v>2013</c:v>
                </c:pt>
              </c:numCache>
            </c:numRef>
          </c:cat>
          <c:val>
            <c:numRef>
              <c:f>'Cuadro SEFI'!$D$47:$I$47</c:f>
              <c:numCache>
                <c:formatCode>0.00</c:formatCode>
                <c:ptCount val="6"/>
                <c:pt idx="0">
                  <c:v>11.5</c:v>
                </c:pt>
                <c:pt idx="1">
                  <c:v>8.25</c:v>
                </c:pt>
                <c:pt idx="2">
                  <c:v>8</c:v>
                </c:pt>
                <c:pt idx="3">
                  <c:v>8</c:v>
                </c:pt>
                <c:pt idx="4" formatCode="0.0">
                  <c:v>9.25</c:v>
                </c:pt>
                <c:pt idx="5" formatCode="0.0">
                  <c:v>12.2</c:v>
                </c:pt>
              </c:numCache>
            </c:numRef>
          </c:val>
          <c:smooth val="0"/>
          <c:extLst>
            <c:ext xmlns:c16="http://schemas.microsoft.com/office/drawing/2014/chart" uri="{C3380CC4-5D6E-409C-BE32-E72D297353CC}">
              <c16:uniqueId val="{00000001-9D23-42EB-A80B-57C4102C3E14}"/>
            </c:ext>
          </c:extLst>
        </c:ser>
        <c:dLbls>
          <c:showLegendKey val="0"/>
          <c:showVal val="0"/>
          <c:showCatName val="0"/>
          <c:showSerName val="0"/>
          <c:showPercent val="0"/>
          <c:showBubbleSize val="0"/>
        </c:dLbls>
        <c:smooth val="0"/>
        <c:axId val="342570112"/>
        <c:axId val="342571648"/>
      </c:lineChart>
      <c:catAx>
        <c:axId val="342570112"/>
        <c:scaling>
          <c:orientation val="minMax"/>
        </c:scaling>
        <c:delete val="0"/>
        <c:axPos val="b"/>
        <c:numFmt formatCode="General" sourceLinked="1"/>
        <c:majorTickMark val="out"/>
        <c:minorTickMark val="none"/>
        <c:tickLblPos val="nextTo"/>
        <c:txPr>
          <a:bodyPr/>
          <a:lstStyle/>
          <a:p>
            <a:pPr>
              <a:defRPr sz="1000"/>
            </a:pPr>
            <a:endParaRPr lang="es-BO"/>
          </a:p>
        </c:txPr>
        <c:crossAx val="342571648"/>
        <c:crosses val="autoZero"/>
        <c:auto val="1"/>
        <c:lblAlgn val="ctr"/>
        <c:lblOffset val="100"/>
        <c:noMultiLvlLbl val="0"/>
      </c:catAx>
      <c:valAx>
        <c:axId val="342571648"/>
        <c:scaling>
          <c:orientation val="minMax"/>
        </c:scaling>
        <c:delete val="0"/>
        <c:axPos val="l"/>
        <c:numFmt formatCode="0" sourceLinked="0"/>
        <c:majorTickMark val="out"/>
        <c:minorTickMark val="none"/>
        <c:tickLblPos val="nextTo"/>
        <c:txPr>
          <a:bodyPr/>
          <a:lstStyle/>
          <a:p>
            <a:pPr>
              <a:defRPr sz="1000"/>
            </a:pPr>
            <a:endParaRPr lang="es-BO"/>
          </a:p>
        </c:txPr>
        <c:crossAx val="342570112"/>
        <c:crosses val="autoZero"/>
        <c:crossBetween val="between"/>
      </c:valAx>
    </c:plotArea>
    <c:legend>
      <c:legendPos val="r"/>
      <c:layout>
        <c:manualLayout>
          <c:xMode val="edge"/>
          <c:yMode val="edge"/>
          <c:x val="0.14320826706667047"/>
          <c:y val="0.63475763799276663"/>
          <c:w val="0.53186308435899532"/>
          <c:h val="0.12983678958942949"/>
        </c:manualLayout>
      </c:layout>
      <c:overlay val="0"/>
      <c:spPr>
        <a:noFill/>
      </c:spPr>
      <c:txPr>
        <a:bodyPr/>
        <a:lstStyle/>
        <a:p>
          <a:pPr>
            <a:defRPr sz="800"/>
          </a:pPr>
          <a:endParaRPr lang="es-BO"/>
        </a:p>
      </c:txPr>
    </c:legend>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36916684724748"/>
          <c:y val="0.19632990026244734"/>
          <c:w val="0.86197321436985352"/>
          <c:h val="0.66367914442552289"/>
        </c:manualLayout>
      </c:layout>
      <c:lineChart>
        <c:grouping val="standard"/>
        <c:varyColors val="0"/>
        <c:ser>
          <c:idx val="4"/>
          <c:order val="0"/>
          <c:tx>
            <c:v>Dinero en sentido amplio (crecimiento, en porcentaje)</c:v>
          </c:tx>
          <c:spPr>
            <a:ln>
              <a:solidFill>
                <a:schemeClr val="tx1"/>
              </a:solidFill>
            </a:ln>
          </c:spPr>
          <c:marker>
            <c:symbol val="none"/>
          </c:marker>
          <c:cat>
            <c:numRef>
              <c:f>'Cuadro SEFI'!$D$3:$I$3</c:f>
              <c:numCache>
                <c:formatCode>General</c:formatCode>
                <c:ptCount val="6"/>
                <c:pt idx="0">
                  <c:v>2008</c:v>
                </c:pt>
                <c:pt idx="1">
                  <c:v>2009</c:v>
                </c:pt>
                <c:pt idx="2">
                  <c:v>2010</c:v>
                </c:pt>
                <c:pt idx="3">
                  <c:v>2011</c:v>
                </c:pt>
                <c:pt idx="4">
                  <c:v>2012</c:v>
                </c:pt>
                <c:pt idx="5">
                  <c:v>2013</c:v>
                </c:pt>
              </c:numCache>
            </c:numRef>
          </c:cat>
          <c:val>
            <c:numRef>
              <c:f>'Cuadro SEFI'!$D$43:$I$43</c:f>
              <c:numCache>
                <c:formatCode>0.0</c:formatCode>
                <c:ptCount val="6"/>
                <c:pt idx="0">
                  <c:v>17.401568400401462</c:v>
                </c:pt>
                <c:pt idx="1">
                  <c:v>8.0332619156457756</c:v>
                </c:pt>
                <c:pt idx="2">
                  <c:v>0.79500650702062026</c:v>
                </c:pt>
                <c:pt idx="3">
                  <c:v>7.3200398965608784</c:v>
                </c:pt>
                <c:pt idx="4">
                  <c:v>9.1000000000001737</c:v>
                </c:pt>
                <c:pt idx="5">
                  <c:v>9.0006393646420495</c:v>
                </c:pt>
              </c:numCache>
            </c:numRef>
          </c:val>
          <c:smooth val="0"/>
          <c:extLst>
            <c:ext xmlns:c16="http://schemas.microsoft.com/office/drawing/2014/chart" uri="{C3380CC4-5D6E-409C-BE32-E72D297353CC}">
              <c16:uniqueId val="{00000000-4E8E-4403-A38B-14E1CEB4545B}"/>
            </c:ext>
          </c:extLst>
        </c:ser>
        <c:ser>
          <c:idx val="0"/>
          <c:order val="1"/>
          <c:tx>
            <c:v>Crecimiento del crédito del sector privado (porcentaje, interanual)</c:v>
          </c:tx>
          <c:marker>
            <c:symbol val="none"/>
          </c:marker>
          <c:cat>
            <c:numRef>
              <c:f>'Cuadro SEFI'!$D$3:$I$3</c:f>
              <c:numCache>
                <c:formatCode>General</c:formatCode>
                <c:ptCount val="6"/>
                <c:pt idx="0">
                  <c:v>2008</c:v>
                </c:pt>
                <c:pt idx="1">
                  <c:v>2009</c:v>
                </c:pt>
                <c:pt idx="2">
                  <c:v>2010</c:v>
                </c:pt>
                <c:pt idx="3">
                  <c:v>2011</c:v>
                </c:pt>
                <c:pt idx="4">
                  <c:v>2012</c:v>
                </c:pt>
                <c:pt idx="5">
                  <c:v>2013</c:v>
                </c:pt>
              </c:numCache>
            </c:numRef>
          </c:cat>
          <c:val>
            <c:numRef>
              <c:f>'Cuadro SEFI'!$D$44:$I$44</c:f>
              <c:numCache>
                <c:formatCode>0.0</c:formatCode>
                <c:ptCount val="6"/>
                <c:pt idx="0">
                  <c:v>31.618641837669053</c:v>
                </c:pt>
                <c:pt idx="1">
                  <c:v>5.2990319807857693</c:v>
                </c:pt>
                <c:pt idx="2">
                  <c:v>4.9429232491799615</c:v>
                </c:pt>
                <c:pt idx="3">
                  <c:v>12.39287832682068</c:v>
                </c:pt>
                <c:pt idx="4">
                  <c:v>8.0410538882814411</c:v>
                </c:pt>
                <c:pt idx="5">
                  <c:v>6.8386354631617987</c:v>
                </c:pt>
              </c:numCache>
            </c:numRef>
          </c:val>
          <c:smooth val="0"/>
          <c:extLst>
            <c:ext xmlns:c16="http://schemas.microsoft.com/office/drawing/2014/chart" uri="{C3380CC4-5D6E-409C-BE32-E72D297353CC}">
              <c16:uniqueId val="{00000001-4E8E-4403-A38B-14E1CEB4545B}"/>
            </c:ext>
          </c:extLst>
        </c:ser>
        <c:dLbls>
          <c:showLegendKey val="0"/>
          <c:showVal val="0"/>
          <c:showCatName val="0"/>
          <c:showSerName val="0"/>
          <c:showPercent val="0"/>
          <c:showBubbleSize val="0"/>
        </c:dLbls>
        <c:smooth val="0"/>
        <c:axId val="342605184"/>
        <c:axId val="342611072"/>
      </c:lineChart>
      <c:catAx>
        <c:axId val="342605184"/>
        <c:scaling>
          <c:orientation val="minMax"/>
        </c:scaling>
        <c:delete val="0"/>
        <c:axPos val="b"/>
        <c:numFmt formatCode="General" sourceLinked="1"/>
        <c:majorTickMark val="out"/>
        <c:minorTickMark val="none"/>
        <c:tickLblPos val="nextTo"/>
        <c:txPr>
          <a:bodyPr/>
          <a:lstStyle/>
          <a:p>
            <a:pPr>
              <a:defRPr sz="1000"/>
            </a:pPr>
            <a:endParaRPr lang="es-BO"/>
          </a:p>
        </c:txPr>
        <c:crossAx val="342611072"/>
        <c:crosses val="autoZero"/>
        <c:auto val="1"/>
        <c:lblAlgn val="ctr"/>
        <c:lblOffset val="100"/>
        <c:noMultiLvlLbl val="0"/>
      </c:catAx>
      <c:valAx>
        <c:axId val="342611072"/>
        <c:scaling>
          <c:orientation val="minMax"/>
        </c:scaling>
        <c:delete val="0"/>
        <c:axPos val="l"/>
        <c:numFmt formatCode="0" sourceLinked="0"/>
        <c:majorTickMark val="out"/>
        <c:minorTickMark val="none"/>
        <c:tickLblPos val="nextTo"/>
        <c:txPr>
          <a:bodyPr/>
          <a:lstStyle/>
          <a:p>
            <a:pPr>
              <a:defRPr sz="1000"/>
            </a:pPr>
            <a:endParaRPr lang="es-BO"/>
          </a:p>
        </c:txPr>
        <c:crossAx val="342605184"/>
        <c:crosses val="autoZero"/>
        <c:crossBetween val="between"/>
      </c:valAx>
    </c:plotArea>
    <c:legend>
      <c:legendPos val="r"/>
      <c:layout>
        <c:manualLayout>
          <c:xMode val="edge"/>
          <c:yMode val="edge"/>
          <c:x val="0.21565729844826123"/>
          <c:y val="0.23069630851846876"/>
          <c:w val="0.74045143632406563"/>
          <c:h val="0.12817723047113738"/>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32749242122013E-2"/>
          <c:y val="0.11943115118685572"/>
          <c:w val="0.8682137920862113"/>
          <c:h val="0.8223009808834455"/>
        </c:manualLayout>
      </c:layout>
      <c:barChart>
        <c:barDir val="col"/>
        <c:grouping val="clustered"/>
        <c:varyColors val="0"/>
        <c:ser>
          <c:idx val="0"/>
          <c:order val="1"/>
          <c:tx>
            <c:v>Brecha del producto</c:v>
          </c:tx>
          <c:spPr>
            <a:solidFill>
              <a:schemeClr val="accent5"/>
            </a:solidFill>
          </c:spPr>
          <c:invertIfNegative val="0"/>
          <c:val>
            <c:numRef>
              <c:f>PIB_real!$F$50:$L$50</c:f>
              <c:numCache>
                <c:formatCode>#,##0.0</c:formatCode>
                <c:ptCount val="7"/>
                <c:pt idx="0">
                  <c:v>3.752771259807973</c:v>
                </c:pt>
                <c:pt idx="1">
                  <c:v>-1.5797419566411386</c:v>
                </c:pt>
                <c:pt idx="2">
                  <c:v>-1.2262807984142379</c:v>
                </c:pt>
                <c:pt idx="3">
                  <c:v>-1.3561522298677944</c:v>
                </c:pt>
                <c:pt idx="4">
                  <c:v>0.27332419190744062</c:v>
                </c:pt>
                <c:pt idx="5">
                  <c:v>0.8113223736493943</c:v>
                </c:pt>
                <c:pt idx="6">
                  <c:v>1.2491751216486748</c:v>
                </c:pt>
              </c:numCache>
            </c:numRef>
          </c:val>
          <c:extLst>
            <c:ext xmlns:c16="http://schemas.microsoft.com/office/drawing/2014/chart" uri="{C3380CC4-5D6E-409C-BE32-E72D297353CC}">
              <c16:uniqueId val="{00000000-71E8-4F5C-9716-D494BB0EEB20}"/>
            </c:ext>
          </c:extLst>
        </c:ser>
        <c:dLbls>
          <c:showLegendKey val="0"/>
          <c:showVal val="0"/>
          <c:showCatName val="0"/>
          <c:showSerName val="0"/>
          <c:showPercent val="0"/>
          <c:showBubbleSize val="0"/>
        </c:dLbls>
        <c:gapWidth val="150"/>
        <c:axId val="343750528"/>
        <c:axId val="343752064"/>
      </c:barChart>
      <c:lineChart>
        <c:grouping val="standard"/>
        <c:varyColors val="0"/>
        <c:ser>
          <c:idx val="1"/>
          <c:order val="0"/>
          <c:tx>
            <c:v>Crecimiento del PIB real</c:v>
          </c:tx>
          <c:spPr>
            <a:ln>
              <a:solidFill>
                <a:schemeClr val="accent1"/>
              </a:solidFill>
            </a:ln>
          </c:spPr>
          <c:marker>
            <c:symbol val="none"/>
          </c:marker>
          <c:cat>
            <c:numRef>
              <c:f>PIB_real!$F$3:$L$3</c:f>
              <c:numCache>
                <c:formatCode>0</c:formatCode>
                <c:ptCount val="7"/>
                <c:pt idx="0">
                  <c:v>2008</c:v>
                </c:pt>
                <c:pt idx="1">
                  <c:v>2009</c:v>
                </c:pt>
                <c:pt idx="2">
                  <c:v>2010</c:v>
                </c:pt>
                <c:pt idx="3">
                  <c:v>2011</c:v>
                </c:pt>
                <c:pt idx="4">
                  <c:v>2012</c:v>
                </c:pt>
                <c:pt idx="5">
                  <c:v>2013</c:v>
                </c:pt>
                <c:pt idx="6">
                  <c:v>2014</c:v>
                </c:pt>
              </c:numCache>
            </c:numRef>
          </c:cat>
          <c:val>
            <c:numRef>
              <c:f>PIB_real!$F$23:$L$23</c:f>
              <c:numCache>
                <c:formatCode>#,##0.0</c:formatCode>
                <c:ptCount val="7"/>
                <c:pt idx="0">
                  <c:v>2.4011889271438065</c:v>
                </c:pt>
                <c:pt idx="1">
                  <c:v>-1.6305202034061921</c:v>
                </c:pt>
                <c:pt idx="2">
                  <c:v>4.8594957523365707</c:v>
                </c:pt>
                <c:pt idx="3">
                  <c:v>5.6553885268151021</c:v>
                </c:pt>
                <c:pt idx="4">
                  <c:v>4.185178984470511</c:v>
                </c:pt>
                <c:pt idx="5">
                  <c:v>4.5579929792104679</c:v>
                </c:pt>
                <c:pt idx="6">
                  <c:v>4.4517020977380639</c:v>
                </c:pt>
              </c:numCache>
            </c:numRef>
          </c:val>
          <c:smooth val="0"/>
          <c:extLst>
            <c:ext xmlns:c16="http://schemas.microsoft.com/office/drawing/2014/chart" uri="{C3380CC4-5D6E-409C-BE32-E72D297353CC}">
              <c16:uniqueId val="{00000001-71E8-4F5C-9716-D494BB0EEB20}"/>
            </c:ext>
          </c:extLst>
        </c:ser>
        <c:dLbls>
          <c:showLegendKey val="0"/>
          <c:showVal val="0"/>
          <c:showCatName val="0"/>
          <c:showSerName val="0"/>
          <c:showPercent val="0"/>
          <c:showBubbleSize val="0"/>
        </c:dLbls>
        <c:marker val="1"/>
        <c:smooth val="0"/>
        <c:axId val="343750528"/>
        <c:axId val="343752064"/>
      </c:lineChart>
      <c:dateAx>
        <c:axId val="343750528"/>
        <c:scaling>
          <c:orientation val="minMax"/>
        </c:scaling>
        <c:delete val="0"/>
        <c:axPos val="b"/>
        <c:numFmt formatCode="0" sourceLinked="1"/>
        <c:majorTickMark val="out"/>
        <c:minorTickMark val="none"/>
        <c:tickLblPos val="nextTo"/>
        <c:crossAx val="343752064"/>
        <c:crosses val="autoZero"/>
        <c:auto val="0"/>
        <c:lblOffset val="100"/>
        <c:baseTimeUnit val="days"/>
      </c:dateAx>
      <c:valAx>
        <c:axId val="343752064"/>
        <c:scaling>
          <c:orientation val="minMax"/>
        </c:scaling>
        <c:delete val="0"/>
        <c:axPos val="l"/>
        <c:numFmt formatCode="#,##0.0" sourceLinked="1"/>
        <c:majorTickMark val="out"/>
        <c:minorTickMark val="none"/>
        <c:tickLblPos val="nextTo"/>
        <c:crossAx val="343750528"/>
        <c:crossesAt val="1"/>
        <c:crossBetween val="between"/>
      </c:valAx>
    </c:plotArea>
    <c:legend>
      <c:legendPos val="r"/>
      <c:layout>
        <c:manualLayout>
          <c:xMode val="edge"/>
          <c:yMode val="edge"/>
          <c:x val="0.33342538299176783"/>
          <c:y val="0.40376850605652759"/>
          <c:w val="0.49789047630043914"/>
          <c:h val="0.22592755481607871"/>
        </c:manualLayout>
      </c:layout>
      <c:overlay val="0"/>
      <c:spPr>
        <a:noFill/>
      </c:spPr>
    </c:legend>
    <c:plotVisOnly val="1"/>
    <c:dispBlanksAs val="gap"/>
    <c:showDLblsOverMax val="0"/>
  </c:chart>
  <c:spPr>
    <a:ln w="9525">
      <a:noFill/>
    </a:ln>
  </c:spPr>
  <c:txPr>
    <a:bodyPr/>
    <a:lstStyle/>
    <a:p>
      <a:pPr>
        <a:defRPr sz="1000"/>
      </a:pPr>
      <a:endParaRPr lang="es-BO"/>
    </a:p>
  </c:txPr>
  <c:printSettings>
    <c:headerFooter/>
    <c:pageMargins b="0.75000000000001144" l="0.70000000000000062" r="0.70000000000000062" t="0.75000000000001144" header="0.30000000000000032" footer="0.30000000000000032"/>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32749242122013E-2"/>
          <c:y val="0.18672590219627988"/>
          <c:w val="0.91437402540853363"/>
          <c:h val="0.72135885436932279"/>
        </c:manualLayout>
      </c:layout>
      <c:lineChart>
        <c:grouping val="standard"/>
        <c:varyColors val="0"/>
        <c:ser>
          <c:idx val="0"/>
          <c:order val="0"/>
          <c:tx>
            <c:strRef>
              <c:f>'Cuadro SEFI'!$C$8</c:f>
              <c:strCache>
                <c:ptCount val="1"/>
                <c:pt idx="0">
                  <c:v>Deflactor del PIB </c:v>
                </c:pt>
              </c:strCache>
            </c:strRef>
          </c:tx>
          <c:spPr>
            <a:ln w="34925"/>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SEFI'!$D$8:$J$8</c:f>
              <c:numCache>
                <c:formatCode>0.0</c:formatCode>
                <c:ptCount val="7"/>
                <c:pt idx="0">
                  <c:v>11.07794321689568</c:v>
                </c:pt>
                <c:pt idx="1">
                  <c:v>8.6233366426515357</c:v>
                </c:pt>
                <c:pt idx="2">
                  <c:v>6.7637340471486285</c:v>
                </c:pt>
                <c:pt idx="3">
                  <c:v>4.3046030992718531</c:v>
                </c:pt>
                <c:pt idx="4">
                  <c:v>4.5272294135840996</c:v>
                </c:pt>
                <c:pt idx="5">
                  <c:v>6.8916442576464343</c:v>
                </c:pt>
                <c:pt idx="6">
                  <c:v>8.1255597800072632</c:v>
                </c:pt>
              </c:numCache>
            </c:numRef>
          </c:val>
          <c:smooth val="0"/>
          <c:extLst>
            <c:ext xmlns:c16="http://schemas.microsoft.com/office/drawing/2014/chart" uri="{C3380CC4-5D6E-409C-BE32-E72D297353CC}">
              <c16:uniqueId val="{00000000-232B-4C8A-B0E2-B00AF663085C}"/>
            </c:ext>
          </c:extLst>
        </c:ser>
        <c:ser>
          <c:idx val="2"/>
          <c:order val="1"/>
          <c:tx>
            <c:strRef>
              <c:f>'Cuadro SEFI'!$C$9</c:f>
              <c:strCache>
                <c:ptCount val="1"/>
                <c:pt idx="0">
                  <c:v>Índice de precios al consumidor (promedio)</c:v>
                </c:pt>
              </c:strCache>
            </c:strRef>
          </c:tx>
          <c:spPr>
            <a:ln w="34925">
              <a:prstDash val="sysDash"/>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SEFI'!$D$9:$J$9</c:f>
              <c:numCache>
                <c:formatCode>0.0</c:formatCode>
                <c:ptCount val="7"/>
                <c:pt idx="0">
                  <c:v>13.424650631557796</c:v>
                </c:pt>
                <c:pt idx="1">
                  <c:v>7.8427556534629019</c:v>
                </c:pt>
                <c:pt idx="2">
                  <c:v>5.6626532109607268</c:v>
                </c:pt>
                <c:pt idx="3">
                  <c:v>4.8781491879010872</c:v>
                </c:pt>
                <c:pt idx="4">
                  <c:v>4.6130302133459367</c:v>
                </c:pt>
                <c:pt idx="5">
                  <c:v>6.1358513231091649</c:v>
                </c:pt>
                <c:pt idx="6">
                  <c:v>7.3556691967236354</c:v>
                </c:pt>
              </c:numCache>
            </c:numRef>
          </c:val>
          <c:smooth val="0"/>
          <c:extLst>
            <c:ext xmlns:c16="http://schemas.microsoft.com/office/drawing/2014/chart" uri="{C3380CC4-5D6E-409C-BE32-E72D297353CC}">
              <c16:uniqueId val="{00000001-232B-4C8A-B0E2-B00AF663085C}"/>
            </c:ext>
          </c:extLst>
        </c:ser>
        <c:ser>
          <c:idx val="1"/>
          <c:order val="2"/>
          <c:tx>
            <c:strRef>
              <c:f>'Cuadro SEFI'!$C$10</c:f>
              <c:strCache>
                <c:ptCount val="1"/>
                <c:pt idx="0">
                  <c:v>Índice de precios al consumidor (fin del período)</c:v>
                </c:pt>
              </c:strCache>
            </c:strRef>
          </c:tx>
          <c:spPr>
            <a:ln w="34925">
              <a:prstDash val="sysDash"/>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SEFI'!$D$10:$J$10</c:f>
              <c:numCache>
                <c:formatCode>0.0</c:formatCode>
                <c:ptCount val="7"/>
                <c:pt idx="0">
                  <c:v>13.900307649157256</c:v>
                </c:pt>
                <c:pt idx="1">
                  <c:v>4.0477106579453732</c:v>
                </c:pt>
                <c:pt idx="2">
                  <c:v>5.8279713038976269</c:v>
                </c:pt>
                <c:pt idx="3">
                  <c:v>4.731288000559104</c:v>
                </c:pt>
                <c:pt idx="4">
                  <c:v>4.9999999999999858</c:v>
                </c:pt>
                <c:pt idx="5">
                  <c:v>6.6042632342528718</c:v>
                </c:pt>
                <c:pt idx="6">
                  <c:v>7.0379349857793594</c:v>
                </c:pt>
              </c:numCache>
            </c:numRef>
          </c:val>
          <c:smooth val="0"/>
          <c:extLst>
            <c:ext xmlns:c16="http://schemas.microsoft.com/office/drawing/2014/chart" uri="{C3380CC4-5D6E-409C-BE32-E72D297353CC}">
              <c16:uniqueId val="{00000002-232B-4C8A-B0E2-B00AF663085C}"/>
            </c:ext>
          </c:extLst>
        </c:ser>
        <c:dLbls>
          <c:showLegendKey val="0"/>
          <c:showVal val="0"/>
          <c:showCatName val="0"/>
          <c:showSerName val="0"/>
          <c:showPercent val="0"/>
          <c:showBubbleSize val="0"/>
        </c:dLbls>
        <c:smooth val="0"/>
        <c:axId val="344159744"/>
        <c:axId val="344161280"/>
      </c:lineChart>
      <c:catAx>
        <c:axId val="344159744"/>
        <c:scaling>
          <c:orientation val="minMax"/>
        </c:scaling>
        <c:delete val="0"/>
        <c:axPos val="b"/>
        <c:numFmt formatCode="General" sourceLinked="1"/>
        <c:majorTickMark val="out"/>
        <c:minorTickMark val="none"/>
        <c:tickLblPos val="nextTo"/>
        <c:txPr>
          <a:bodyPr/>
          <a:lstStyle/>
          <a:p>
            <a:pPr>
              <a:defRPr sz="800"/>
            </a:pPr>
            <a:endParaRPr lang="es-BO"/>
          </a:p>
        </c:txPr>
        <c:crossAx val="344161280"/>
        <c:crosses val="autoZero"/>
        <c:auto val="1"/>
        <c:lblAlgn val="ctr"/>
        <c:lblOffset val="100"/>
        <c:noMultiLvlLbl val="0"/>
      </c:catAx>
      <c:valAx>
        <c:axId val="344161280"/>
        <c:scaling>
          <c:orientation val="minMax"/>
          <c:max val="15"/>
        </c:scaling>
        <c:delete val="0"/>
        <c:axPos val="l"/>
        <c:numFmt formatCode="0.0" sourceLinked="1"/>
        <c:majorTickMark val="out"/>
        <c:minorTickMark val="none"/>
        <c:tickLblPos val="nextTo"/>
        <c:txPr>
          <a:bodyPr/>
          <a:lstStyle/>
          <a:p>
            <a:pPr>
              <a:defRPr sz="800"/>
            </a:pPr>
            <a:endParaRPr lang="es-BO"/>
          </a:p>
        </c:txPr>
        <c:crossAx val="344159744"/>
        <c:crosses val="autoZero"/>
        <c:crossBetween val="between"/>
        <c:majorUnit val="1"/>
      </c:valAx>
    </c:plotArea>
    <c:legend>
      <c:legendPos val="r"/>
      <c:layout>
        <c:manualLayout>
          <c:xMode val="edge"/>
          <c:yMode val="edge"/>
          <c:x val="0.34175980411330026"/>
          <c:y val="0.30763314747164006"/>
          <c:w val="0.49437216870724277"/>
          <c:h val="0.15848973622577436"/>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1144" l="0.70000000000000062" r="0.70000000000000062" t="0.75000000000001144" header="0.30000000000000032" footer="0.30000000000000032"/>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800"/>
            </a:pPr>
            <a:r>
              <a:rPr lang="es-ES" sz="800"/>
              <a:t>Ahorro e inversión, en porcentaje del PIB</a:t>
            </a:r>
          </a:p>
        </c:rich>
      </c:tx>
      <c:layout>
        <c:manualLayout>
          <c:xMode val="edge"/>
          <c:yMode val="edge"/>
          <c:x val="0.30881560835478605"/>
          <c:y val="0.20188425302826379"/>
        </c:manualLayout>
      </c:layout>
      <c:overlay val="1"/>
    </c:title>
    <c:autoTitleDeleted val="0"/>
    <c:plotArea>
      <c:layout>
        <c:manualLayout>
          <c:layoutTarget val="inner"/>
          <c:xMode val="edge"/>
          <c:yMode val="edge"/>
          <c:x val="7.6473473911697384E-2"/>
          <c:y val="0.191532670125521"/>
          <c:w val="0.88886370351590427"/>
          <c:h val="0.78293241608594355"/>
        </c:manualLayout>
      </c:layout>
      <c:barChart>
        <c:barDir val="col"/>
        <c:grouping val="clustered"/>
        <c:varyColors val="0"/>
        <c:ser>
          <c:idx val="2"/>
          <c:order val="2"/>
          <c:tx>
            <c:v>Saldo ahorro-inversión (izq.)</c:v>
          </c:tx>
          <c:spPr>
            <a:solidFill>
              <a:srgbClr val="0070C0"/>
            </a:solidFill>
            <a:ln>
              <a:prstDash val="solid"/>
            </a:ln>
          </c:spPr>
          <c:invertIfNegative val="0"/>
          <c:cat>
            <c:numRef>
              <c:f>PIB_Nominal!$F$3:$L$3</c:f>
              <c:numCache>
                <c:formatCode>General</c:formatCode>
                <c:ptCount val="7"/>
                <c:pt idx="0">
                  <c:v>2008</c:v>
                </c:pt>
                <c:pt idx="1">
                  <c:v>2009</c:v>
                </c:pt>
                <c:pt idx="2">
                  <c:v>2010</c:v>
                </c:pt>
                <c:pt idx="3">
                  <c:v>2011</c:v>
                </c:pt>
                <c:pt idx="4">
                  <c:v>2012</c:v>
                </c:pt>
                <c:pt idx="5">
                  <c:v>2013</c:v>
                </c:pt>
                <c:pt idx="6">
                  <c:v>2014</c:v>
                </c:pt>
              </c:numCache>
            </c:numRef>
          </c:cat>
          <c:val>
            <c:numRef>
              <c:f>PIB_Nominal!$F$36:$L$36</c:f>
              <c:numCache>
                <c:formatCode>#,##0.0</c:formatCode>
                <c:ptCount val="7"/>
                <c:pt idx="0">
                  <c:v>-10.464345205920878</c:v>
                </c:pt>
                <c:pt idx="1">
                  <c:v>-1.0412049408560049</c:v>
                </c:pt>
                <c:pt idx="2">
                  <c:v>-3.5232025167464243</c:v>
                </c:pt>
                <c:pt idx="3">
                  <c:v>-5.7663579673939669</c:v>
                </c:pt>
                <c:pt idx="4">
                  <c:v>-6.5810766702841414</c:v>
                </c:pt>
                <c:pt idx="5">
                  <c:v>-6.6535269521935057</c:v>
                </c:pt>
                <c:pt idx="6">
                  <c:v>-7.020762867422996</c:v>
                </c:pt>
              </c:numCache>
            </c:numRef>
          </c:val>
          <c:extLst>
            <c:ext xmlns:c16="http://schemas.microsoft.com/office/drawing/2014/chart" uri="{C3380CC4-5D6E-409C-BE32-E72D297353CC}">
              <c16:uniqueId val="{00000000-AB2F-43AB-9FB0-F8E8C4885307}"/>
            </c:ext>
          </c:extLst>
        </c:ser>
        <c:dLbls>
          <c:showLegendKey val="0"/>
          <c:showVal val="0"/>
          <c:showCatName val="0"/>
          <c:showSerName val="0"/>
          <c:showPercent val="0"/>
          <c:showBubbleSize val="0"/>
        </c:dLbls>
        <c:gapWidth val="150"/>
        <c:axId val="344082688"/>
        <c:axId val="344104960"/>
      </c:barChart>
      <c:lineChart>
        <c:grouping val="standard"/>
        <c:varyColors val="0"/>
        <c:ser>
          <c:idx val="0"/>
          <c:order val="0"/>
          <c:tx>
            <c:strRef>
              <c:f>PIB_Nominal!$C$34</c:f>
              <c:strCache>
                <c:ptCount val="1"/>
                <c:pt idx="0">
                  <c:v>Ahorro nacional</c:v>
                </c:pt>
              </c:strCache>
            </c:strRef>
          </c:tx>
          <c:marker>
            <c:symbol val="none"/>
          </c:marker>
          <c:cat>
            <c:numRef>
              <c:f>PIB_Nominal!$F$3:$L$3</c:f>
              <c:numCache>
                <c:formatCode>General</c:formatCode>
                <c:ptCount val="7"/>
                <c:pt idx="0">
                  <c:v>2008</c:v>
                </c:pt>
                <c:pt idx="1">
                  <c:v>2009</c:v>
                </c:pt>
                <c:pt idx="2">
                  <c:v>2010</c:v>
                </c:pt>
                <c:pt idx="3">
                  <c:v>2011</c:v>
                </c:pt>
                <c:pt idx="4">
                  <c:v>2012</c:v>
                </c:pt>
                <c:pt idx="5">
                  <c:v>2013</c:v>
                </c:pt>
                <c:pt idx="6">
                  <c:v>2014</c:v>
                </c:pt>
              </c:numCache>
            </c:numRef>
          </c:cat>
          <c:val>
            <c:numRef>
              <c:f>PIB_Nominal!$F$34:$L$34</c:f>
              <c:numCache>
                <c:formatCode>#,##0.0</c:formatCode>
                <c:ptCount val="7"/>
                <c:pt idx="0">
                  <c:v>16.976981010261081</c:v>
                </c:pt>
                <c:pt idx="1">
                  <c:v>14.60106562514879</c:v>
                </c:pt>
                <c:pt idx="2">
                  <c:v>16.121434207175653</c:v>
                </c:pt>
                <c:pt idx="3">
                  <c:v>16.301362325529396</c:v>
                </c:pt>
                <c:pt idx="4">
                  <c:v>14.659160287456888</c:v>
                </c:pt>
                <c:pt idx="5">
                  <c:v>14.310149686927549</c:v>
                </c:pt>
                <c:pt idx="6">
                  <c:v>13.943386038247871</c:v>
                </c:pt>
              </c:numCache>
            </c:numRef>
          </c:val>
          <c:smooth val="0"/>
          <c:extLst>
            <c:ext xmlns:c16="http://schemas.microsoft.com/office/drawing/2014/chart" uri="{C3380CC4-5D6E-409C-BE32-E72D297353CC}">
              <c16:uniqueId val="{00000001-AB2F-43AB-9FB0-F8E8C4885307}"/>
            </c:ext>
          </c:extLst>
        </c:ser>
        <c:ser>
          <c:idx val="1"/>
          <c:order val="1"/>
          <c:tx>
            <c:strRef>
              <c:f>PIB_Nominal!$C$35</c:f>
              <c:strCache>
                <c:ptCount val="1"/>
                <c:pt idx="0">
                  <c:v>Inversión</c:v>
                </c:pt>
              </c:strCache>
            </c:strRef>
          </c:tx>
          <c:spPr>
            <a:ln w="34925">
              <a:prstDash val="sysDash"/>
            </a:ln>
          </c:spPr>
          <c:marker>
            <c:symbol val="none"/>
          </c:marker>
          <c:cat>
            <c:numRef>
              <c:f>PIB_Nominal!$F$3:$L$3</c:f>
              <c:numCache>
                <c:formatCode>General</c:formatCode>
                <c:ptCount val="7"/>
                <c:pt idx="0">
                  <c:v>2008</c:v>
                </c:pt>
                <c:pt idx="1">
                  <c:v>2009</c:v>
                </c:pt>
                <c:pt idx="2">
                  <c:v>2010</c:v>
                </c:pt>
                <c:pt idx="3">
                  <c:v>2011</c:v>
                </c:pt>
                <c:pt idx="4">
                  <c:v>2012</c:v>
                </c:pt>
                <c:pt idx="5">
                  <c:v>2013</c:v>
                </c:pt>
                <c:pt idx="6">
                  <c:v>2014</c:v>
                </c:pt>
              </c:numCache>
            </c:numRef>
          </c:cat>
          <c:val>
            <c:numRef>
              <c:f>PIB_Nominal!$F$35:$L$35</c:f>
              <c:numCache>
                <c:formatCode>#,##0.0</c:formatCode>
                <c:ptCount val="7"/>
                <c:pt idx="0">
                  <c:v>27.44132621618196</c:v>
                </c:pt>
                <c:pt idx="1">
                  <c:v>15.642270566004795</c:v>
                </c:pt>
                <c:pt idx="2">
                  <c:v>19.64463672392208</c:v>
                </c:pt>
                <c:pt idx="3">
                  <c:v>22.067720292923365</c:v>
                </c:pt>
                <c:pt idx="4">
                  <c:v>21.240236957741029</c:v>
                </c:pt>
                <c:pt idx="5">
                  <c:v>20.963676639121054</c:v>
                </c:pt>
                <c:pt idx="6">
                  <c:v>20.964148905670868</c:v>
                </c:pt>
              </c:numCache>
            </c:numRef>
          </c:val>
          <c:smooth val="0"/>
          <c:extLst>
            <c:ext xmlns:c16="http://schemas.microsoft.com/office/drawing/2014/chart" uri="{C3380CC4-5D6E-409C-BE32-E72D297353CC}">
              <c16:uniqueId val="{00000002-AB2F-43AB-9FB0-F8E8C4885307}"/>
            </c:ext>
          </c:extLst>
        </c:ser>
        <c:dLbls>
          <c:showLegendKey val="0"/>
          <c:showVal val="0"/>
          <c:showCatName val="0"/>
          <c:showSerName val="0"/>
          <c:showPercent val="0"/>
          <c:showBubbleSize val="0"/>
        </c:dLbls>
        <c:marker val="1"/>
        <c:smooth val="0"/>
        <c:axId val="344108032"/>
        <c:axId val="344106496"/>
      </c:lineChart>
      <c:catAx>
        <c:axId val="344082688"/>
        <c:scaling>
          <c:orientation val="minMax"/>
        </c:scaling>
        <c:delete val="0"/>
        <c:axPos val="b"/>
        <c:numFmt formatCode="General" sourceLinked="1"/>
        <c:majorTickMark val="out"/>
        <c:minorTickMark val="none"/>
        <c:tickLblPos val="nextTo"/>
        <c:txPr>
          <a:bodyPr/>
          <a:lstStyle/>
          <a:p>
            <a:pPr>
              <a:defRPr sz="800">
                <a:solidFill>
                  <a:schemeClr val="bg1"/>
                </a:solidFill>
              </a:defRPr>
            </a:pPr>
            <a:endParaRPr lang="es-BO"/>
          </a:p>
        </c:txPr>
        <c:crossAx val="344104960"/>
        <c:crosses val="autoZero"/>
        <c:auto val="1"/>
        <c:lblAlgn val="ctr"/>
        <c:lblOffset val="100"/>
        <c:noMultiLvlLbl val="0"/>
      </c:catAx>
      <c:valAx>
        <c:axId val="344104960"/>
        <c:scaling>
          <c:orientation val="minMax"/>
          <c:max val="15"/>
          <c:min val="-15"/>
        </c:scaling>
        <c:delete val="0"/>
        <c:axPos val="l"/>
        <c:numFmt formatCode="#,##0.0" sourceLinked="1"/>
        <c:majorTickMark val="out"/>
        <c:minorTickMark val="none"/>
        <c:tickLblPos val="nextTo"/>
        <c:txPr>
          <a:bodyPr/>
          <a:lstStyle/>
          <a:p>
            <a:pPr>
              <a:defRPr sz="800"/>
            </a:pPr>
            <a:endParaRPr lang="es-BO"/>
          </a:p>
        </c:txPr>
        <c:crossAx val="344082688"/>
        <c:crosses val="autoZero"/>
        <c:crossBetween val="between"/>
      </c:valAx>
      <c:valAx>
        <c:axId val="344106496"/>
        <c:scaling>
          <c:orientation val="minMax"/>
          <c:max val="30"/>
          <c:min val="-30"/>
        </c:scaling>
        <c:delete val="0"/>
        <c:axPos val="r"/>
        <c:numFmt formatCode="#,##0.0" sourceLinked="1"/>
        <c:majorTickMark val="out"/>
        <c:minorTickMark val="none"/>
        <c:tickLblPos val="nextTo"/>
        <c:txPr>
          <a:bodyPr/>
          <a:lstStyle/>
          <a:p>
            <a:pPr>
              <a:defRPr sz="800"/>
            </a:pPr>
            <a:endParaRPr lang="es-BO"/>
          </a:p>
        </c:txPr>
        <c:crossAx val="344108032"/>
        <c:crosses val="max"/>
        <c:crossBetween val="between"/>
      </c:valAx>
      <c:catAx>
        <c:axId val="344108032"/>
        <c:scaling>
          <c:orientation val="minMax"/>
        </c:scaling>
        <c:delete val="1"/>
        <c:axPos val="b"/>
        <c:numFmt formatCode="General" sourceLinked="1"/>
        <c:majorTickMark val="out"/>
        <c:minorTickMark val="none"/>
        <c:tickLblPos val="none"/>
        <c:crossAx val="344106496"/>
        <c:crosses val="autoZero"/>
        <c:auto val="1"/>
        <c:lblAlgn val="ctr"/>
        <c:lblOffset val="100"/>
        <c:noMultiLvlLbl val="0"/>
      </c:catAx>
    </c:plotArea>
    <c:legend>
      <c:legendPos val="r"/>
      <c:layout>
        <c:manualLayout>
          <c:xMode val="edge"/>
          <c:yMode val="edge"/>
          <c:x val="0.11294493089913785"/>
          <c:y val="0.855604691405499"/>
          <c:w val="0.6874855976057036"/>
          <c:h val="0.12978273408959815"/>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1144" l="0.70000000000000062" r="0.70000000000000062" t="0.75000000000001144" header="0.30000000000000032" footer="0.30000000000000032"/>
    <c:pageSetup/>
  </c:printSettings>
  <c:userShapes r:id="rId2"/>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sz="800"/>
              <a:t>Crecimiento del PIB real y contribución, en porcentaje</a:t>
            </a:r>
          </a:p>
        </c:rich>
      </c:tx>
      <c:layout>
        <c:manualLayout>
          <c:xMode val="edge"/>
          <c:yMode val="edge"/>
          <c:x val="0.263924372655785"/>
          <c:y val="0.18782736113365359"/>
        </c:manualLayout>
      </c:layout>
      <c:overlay val="1"/>
    </c:title>
    <c:autoTitleDeleted val="0"/>
    <c:plotArea>
      <c:layout>
        <c:manualLayout>
          <c:layoutTarget val="inner"/>
          <c:xMode val="edge"/>
          <c:yMode val="edge"/>
          <c:x val="8.8540434432171022E-2"/>
          <c:y val="0.22538486975331018"/>
          <c:w val="0.88876353104045558"/>
          <c:h val="0.74552293594681218"/>
        </c:manualLayout>
      </c:layout>
      <c:barChart>
        <c:barDir val="col"/>
        <c:grouping val="stacked"/>
        <c:varyColors val="0"/>
        <c:ser>
          <c:idx val="1"/>
          <c:order val="0"/>
          <c:tx>
            <c:strRef>
              <c:f>PIB_real!$C$43</c:f>
              <c:strCache>
                <c:ptCount val="1"/>
                <c:pt idx="0">
                  <c:v>Formación bruta de capital fijo</c:v>
                </c:pt>
              </c:strCache>
            </c:strRef>
          </c:tx>
          <c:invertIfNegative val="0"/>
          <c:cat>
            <c:numRef>
              <c:f>PIB_real!$F$3:$L$3</c:f>
              <c:numCache>
                <c:formatCode>0</c:formatCode>
                <c:ptCount val="7"/>
                <c:pt idx="0">
                  <c:v>2008</c:v>
                </c:pt>
                <c:pt idx="1">
                  <c:v>2009</c:v>
                </c:pt>
                <c:pt idx="2">
                  <c:v>2010</c:v>
                </c:pt>
                <c:pt idx="3">
                  <c:v>2011</c:v>
                </c:pt>
                <c:pt idx="4">
                  <c:v>2012</c:v>
                </c:pt>
                <c:pt idx="5">
                  <c:v>2013</c:v>
                </c:pt>
                <c:pt idx="6">
                  <c:v>2014</c:v>
                </c:pt>
              </c:numCache>
            </c:numRef>
          </c:cat>
          <c:val>
            <c:numRef>
              <c:f>PIB_real!$F$43:$L$43</c:f>
              <c:numCache>
                <c:formatCode>#,##0.0</c:formatCode>
                <c:ptCount val="7"/>
                <c:pt idx="0">
                  <c:v>4.6877461176723667</c:v>
                </c:pt>
                <c:pt idx="1">
                  <c:v>-11.465160653234738</c:v>
                </c:pt>
                <c:pt idx="2">
                  <c:v>5.6904883663415564</c:v>
                </c:pt>
                <c:pt idx="3">
                  <c:v>4.982992103382637</c:v>
                </c:pt>
                <c:pt idx="4">
                  <c:v>0.15649967434297909</c:v>
                </c:pt>
                <c:pt idx="5">
                  <c:v>0.97820980646148337</c:v>
                </c:pt>
                <c:pt idx="6">
                  <c:v>1.1575236161676077</c:v>
                </c:pt>
              </c:numCache>
            </c:numRef>
          </c:val>
          <c:extLst>
            <c:ext xmlns:c16="http://schemas.microsoft.com/office/drawing/2014/chart" uri="{C3380CC4-5D6E-409C-BE32-E72D297353CC}">
              <c16:uniqueId val="{00000000-D8C1-4DA7-8BE4-6B97A6965C80}"/>
            </c:ext>
          </c:extLst>
        </c:ser>
        <c:ser>
          <c:idx val="2"/>
          <c:order val="1"/>
          <c:tx>
            <c:strRef>
              <c:f>PIB_real!$C$46</c:f>
              <c:strCache>
                <c:ptCount val="1"/>
                <c:pt idx="0">
                  <c:v>Exportaciones de bienes y servicios</c:v>
                </c:pt>
              </c:strCache>
            </c:strRef>
          </c:tx>
          <c:invertIfNegative val="0"/>
          <c:cat>
            <c:numRef>
              <c:f>PIB_real!$F$3:$L$3</c:f>
              <c:numCache>
                <c:formatCode>0</c:formatCode>
                <c:ptCount val="7"/>
                <c:pt idx="0">
                  <c:v>2008</c:v>
                </c:pt>
                <c:pt idx="1">
                  <c:v>2009</c:v>
                </c:pt>
                <c:pt idx="2">
                  <c:v>2010</c:v>
                </c:pt>
                <c:pt idx="3">
                  <c:v>2011</c:v>
                </c:pt>
                <c:pt idx="4">
                  <c:v>2012</c:v>
                </c:pt>
                <c:pt idx="5">
                  <c:v>2013</c:v>
                </c:pt>
                <c:pt idx="6">
                  <c:v>2014</c:v>
                </c:pt>
              </c:numCache>
            </c:numRef>
          </c:cat>
          <c:val>
            <c:numRef>
              <c:f>PIB_real!$F$46:$L$46</c:f>
              <c:numCache>
                <c:formatCode>#,##0.0</c:formatCode>
                <c:ptCount val="7"/>
                <c:pt idx="0">
                  <c:v>-1.075125261932985</c:v>
                </c:pt>
                <c:pt idx="1">
                  <c:v>-3.0744683060066964</c:v>
                </c:pt>
                <c:pt idx="2">
                  <c:v>2.3967000537584862</c:v>
                </c:pt>
                <c:pt idx="3">
                  <c:v>3.4012909560496332</c:v>
                </c:pt>
                <c:pt idx="4">
                  <c:v>4.2399609939567382</c:v>
                </c:pt>
                <c:pt idx="5">
                  <c:v>1.8913307733894522</c:v>
                </c:pt>
                <c:pt idx="6">
                  <c:v>2.1756350506841335</c:v>
                </c:pt>
              </c:numCache>
            </c:numRef>
          </c:val>
          <c:extLst>
            <c:ext xmlns:c16="http://schemas.microsoft.com/office/drawing/2014/chart" uri="{C3380CC4-5D6E-409C-BE32-E72D297353CC}">
              <c16:uniqueId val="{00000001-D8C1-4DA7-8BE4-6B97A6965C80}"/>
            </c:ext>
          </c:extLst>
        </c:ser>
        <c:ser>
          <c:idx val="3"/>
          <c:order val="2"/>
          <c:tx>
            <c:strRef>
              <c:f>PIB_real!$C$47</c:f>
              <c:strCache>
                <c:ptCount val="1"/>
                <c:pt idx="0">
                  <c:v>Importaciones de bienes y servicios</c:v>
                </c:pt>
              </c:strCache>
            </c:strRef>
          </c:tx>
          <c:invertIfNegative val="0"/>
          <c:cat>
            <c:numRef>
              <c:f>PIB_real!$F$3:$L$3</c:f>
              <c:numCache>
                <c:formatCode>0</c:formatCode>
                <c:ptCount val="7"/>
                <c:pt idx="0">
                  <c:v>2008</c:v>
                </c:pt>
                <c:pt idx="1">
                  <c:v>2009</c:v>
                </c:pt>
                <c:pt idx="2">
                  <c:v>2010</c:v>
                </c:pt>
                <c:pt idx="3">
                  <c:v>2011</c:v>
                </c:pt>
                <c:pt idx="4">
                  <c:v>2012</c:v>
                </c:pt>
                <c:pt idx="5">
                  <c:v>2013</c:v>
                </c:pt>
                <c:pt idx="6">
                  <c:v>2014</c:v>
                </c:pt>
              </c:numCache>
            </c:numRef>
          </c:cat>
          <c:val>
            <c:numRef>
              <c:f>PIB_real!$F$47:$L$47</c:f>
              <c:numCache>
                <c:formatCode>#,##0.0</c:formatCode>
                <c:ptCount val="7"/>
                <c:pt idx="0">
                  <c:v>-3.6104404693839514</c:v>
                </c:pt>
                <c:pt idx="1">
                  <c:v>10.846682648322059</c:v>
                </c:pt>
                <c:pt idx="2">
                  <c:v>-6.6266673354370642</c:v>
                </c:pt>
                <c:pt idx="3">
                  <c:v>-6.2638732339448806</c:v>
                </c:pt>
                <c:pt idx="4">
                  <c:v>-4.7786617601158223</c:v>
                </c:pt>
                <c:pt idx="5">
                  <c:v>-2.6400500585875477</c:v>
                </c:pt>
                <c:pt idx="6">
                  <c:v>-3.0485597430521967</c:v>
                </c:pt>
              </c:numCache>
            </c:numRef>
          </c:val>
          <c:extLst>
            <c:ext xmlns:c16="http://schemas.microsoft.com/office/drawing/2014/chart" uri="{C3380CC4-5D6E-409C-BE32-E72D297353CC}">
              <c16:uniqueId val="{00000002-D8C1-4DA7-8BE4-6B97A6965C80}"/>
            </c:ext>
          </c:extLst>
        </c:ser>
        <c:ser>
          <c:idx val="0"/>
          <c:order val="4"/>
          <c:tx>
            <c:strRef>
              <c:f>PIB_real!$C$40</c:f>
              <c:strCache>
                <c:ptCount val="1"/>
                <c:pt idx="0">
                  <c:v>Consumo final</c:v>
                </c:pt>
              </c:strCache>
            </c:strRef>
          </c:tx>
          <c:invertIfNegative val="0"/>
          <c:cat>
            <c:numRef>
              <c:f>PIB_real!$F$3:$L$3</c:f>
              <c:numCache>
                <c:formatCode>0</c:formatCode>
                <c:ptCount val="7"/>
                <c:pt idx="0">
                  <c:v>2008</c:v>
                </c:pt>
                <c:pt idx="1">
                  <c:v>2009</c:v>
                </c:pt>
                <c:pt idx="2">
                  <c:v>2010</c:v>
                </c:pt>
                <c:pt idx="3">
                  <c:v>2011</c:v>
                </c:pt>
                <c:pt idx="4">
                  <c:v>2012</c:v>
                </c:pt>
                <c:pt idx="5">
                  <c:v>2013</c:v>
                </c:pt>
                <c:pt idx="6">
                  <c:v>2014</c:v>
                </c:pt>
              </c:numCache>
            </c:numRef>
          </c:cat>
          <c:val>
            <c:numRef>
              <c:f>PIB_real!$F$40:$L$40</c:f>
              <c:numCache>
                <c:formatCode>#,##0.0</c:formatCode>
                <c:ptCount val="7"/>
                <c:pt idx="0">
                  <c:v>2.6570995060901859</c:v>
                </c:pt>
                <c:pt idx="1">
                  <c:v>1.7458369720072784</c:v>
                </c:pt>
                <c:pt idx="2">
                  <c:v>3.7606595275105814</c:v>
                </c:pt>
                <c:pt idx="3">
                  <c:v>3.329320236642296</c:v>
                </c:pt>
                <c:pt idx="4">
                  <c:v>4.59490561731395</c:v>
                </c:pt>
                <c:pt idx="5">
                  <c:v>4.6010816250487174</c:v>
                </c:pt>
                <c:pt idx="6">
                  <c:v>4.1671031739385178</c:v>
                </c:pt>
              </c:numCache>
            </c:numRef>
          </c:val>
          <c:extLst>
            <c:ext xmlns:c16="http://schemas.microsoft.com/office/drawing/2014/chart" uri="{C3380CC4-5D6E-409C-BE32-E72D297353CC}">
              <c16:uniqueId val="{00000003-D8C1-4DA7-8BE4-6B97A6965C80}"/>
            </c:ext>
          </c:extLst>
        </c:ser>
        <c:dLbls>
          <c:showLegendKey val="0"/>
          <c:showVal val="0"/>
          <c:showCatName val="0"/>
          <c:showSerName val="0"/>
          <c:showPercent val="0"/>
          <c:showBubbleSize val="0"/>
        </c:dLbls>
        <c:gapWidth val="150"/>
        <c:overlap val="100"/>
        <c:axId val="345424256"/>
        <c:axId val="345425792"/>
      </c:barChart>
      <c:lineChart>
        <c:grouping val="standard"/>
        <c:varyColors val="0"/>
        <c:ser>
          <c:idx val="4"/>
          <c:order val="3"/>
          <c:tx>
            <c:v>PIB (crecimiento real)</c:v>
          </c:tx>
          <c:spPr>
            <a:ln>
              <a:solidFill>
                <a:schemeClr val="tx1"/>
              </a:solidFill>
            </a:ln>
          </c:spPr>
          <c:marker>
            <c:symbol val="none"/>
          </c:marker>
          <c:cat>
            <c:numRef>
              <c:f>PIB_real!$E$3:$L$3</c:f>
              <c:numCache>
                <c:formatCode>0</c:formatCode>
                <c:ptCount val="8"/>
                <c:pt idx="0">
                  <c:v>2007</c:v>
                </c:pt>
                <c:pt idx="1">
                  <c:v>2008</c:v>
                </c:pt>
                <c:pt idx="2">
                  <c:v>2009</c:v>
                </c:pt>
                <c:pt idx="3">
                  <c:v>2010</c:v>
                </c:pt>
                <c:pt idx="4">
                  <c:v>2011</c:v>
                </c:pt>
                <c:pt idx="5">
                  <c:v>2012</c:v>
                </c:pt>
                <c:pt idx="6">
                  <c:v>2013</c:v>
                </c:pt>
                <c:pt idx="7">
                  <c:v>2014</c:v>
                </c:pt>
              </c:numCache>
            </c:numRef>
          </c:cat>
          <c:val>
            <c:numRef>
              <c:f>PIB_real!$F$23:$L$23</c:f>
              <c:numCache>
                <c:formatCode>#,##0.0</c:formatCode>
                <c:ptCount val="7"/>
                <c:pt idx="0">
                  <c:v>2.4011889271438065</c:v>
                </c:pt>
                <c:pt idx="1">
                  <c:v>-1.6305202034061921</c:v>
                </c:pt>
                <c:pt idx="2">
                  <c:v>4.8594957523365707</c:v>
                </c:pt>
                <c:pt idx="3">
                  <c:v>5.6553885268151021</c:v>
                </c:pt>
                <c:pt idx="4">
                  <c:v>4.185178984470511</c:v>
                </c:pt>
                <c:pt idx="5">
                  <c:v>4.5579929792104679</c:v>
                </c:pt>
                <c:pt idx="6">
                  <c:v>4.4517020977380639</c:v>
                </c:pt>
              </c:numCache>
            </c:numRef>
          </c:val>
          <c:smooth val="0"/>
          <c:extLst>
            <c:ext xmlns:c16="http://schemas.microsoft.com/office/drawing/2014/chart" uri="{C3380CC4-5D6E-409C-BE32-E72D297353CC}">
              <c16:uniqueId val="{00000004-D8C1-4DA7-8BE4-6B97A6965C80}"/>
            </c:ext>
          </c:extLst>
        </c:ser>
        <c:dLbls>
          <c:showLegendKey val="0"/>
          <c:showVal val="0"/>
          <c:showCatName val="0"/>
          <c:showSerName val="0"/>
          <c:showPercent val="0"/>
          <c:showBubbleSize val="0"/>
        </c:dLbls>
        <c:marker val="1"/>
        <c:smooth val="0"/>
        <c:axId val="345424256"/>
        <c:axId val="345425792"/>
      </c:lineChart>
      <c:catAx>
        <c:axId val="345424256"/>
        <c:scaling>
          <c:orientation val="minMax"/>
        </c:scaling>
        <c:delete val="0"/>
        <c:axPos val="b"/>
        <c:numFmt formatCode="0" sourceLinked="1"/>
        <c:majorTickMark val="out"/>
        <c:minorTickMark val="none"/>
        <c:tickLblPos val="nextTo"/>
        <c:txPr>
          <a:bodyPr/>
          <a:lstStyle/>
          <a:p>
            <a:pPr>
              <a:defRPr sz="800"/>
            </a:pPr>
            <a:endParaRPr lang="es-BO"/>
          </a:p>
        </c:txPr>
        <c:crossAx val="345425792"/>
        <c:crosses val="autoZero"/>
        <c:auto val="1"/>
        <c:lblAlgn val="ctr"/>
        <c:lblOffset val="100"/>
        <c:noMultiLvlLbl val="0"/>
      </c:catAx>
      <c:valAx>
        <c:axId val="345425792"/>
        <c:scaling>
          <c:orientation val="minMax"/>
        </c:scaling>
        <c:delete val="0"/>
        <c:axPos val="l"/>
        <c:numFmt formatCode="#,##0.0" sourceLinked="1"/>
        <c:majorTickMark val="out"/>
        <c:minorTickMark val="none"/>
        <c:tickLblPos val="nextTo"/>
        <c:txPr>
          <a:bodyPr/>
          <a:lstStyle/>
          <a:p>
            <a:pPr>
              <a:defRPr sz="800"/>
            </a:pPr>
            <a:endParaRPr lang="es-BO"/>
          </a:p>
        </c:txPr>
        <c:crossAx val="345424256"/>
        <c:crosses val="autoZero"/>
        <c:crossBetween val="between"/>
      </c:valAx>
    </c:plotArea>
    <c:legend>
      <c:legendPos val="r"/>
      <c:layout>
        <c:manualLayout>
          <c:xMode val="edge"/>
          <c:yMode val="edge"/>
          <c:x val="0.4663804167505069"/>
          <c:y val="0.68388423797382492"/>
          <c:w val="0.48435457783249519"/>
          <c:h val="0.26970082624319475"/>
        </c:manualLayout>
      </c:layout>
      <c:overlay val="0"/>
      <c:txPr>
        <a:bodyPr/>
        <a:lstStyle/>
        <a:p>
          <a:pPr>
            <a:defRPr sz="800"/>
          </a:pPr>
          <a:endParaRPr lang="es-BO"/>
        </a:p>
      </c:txPr>
    </c:legend>
    <c:plotVisOnly val="1"/>
    <c:dispBlanksAs val="zero"/>
    <c:showDLblsOverMax val="0"/>
  </c:chart>
  <c:spPr>
    <a:ln>
      <a:noFill/>
    </a:ln>
  </c:spPr>
  <c:printSettings>
    <c:headerFooter/>
    <c:pageMargins b="0.75000000000001144" l="0.70000000000000062" r="0.70000000000000062" t="0.75000000000001144" header="0.30000000000000032" footer="0.30000000000000032"/>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4395085689520347E-2"/>
          <c:y val="0.30231875126386837"/>
          <c:w val="0.88889545784302981"/>
          <c:h val="0.64008038915476628"/>
        </c:manualLayout>
      </c:layout>
      <c:barChart>
        <c:barDir val="col"/>
        <c:grouping val="stacked"/>
        <c:varyColors val="0"/>
        <c:ser>
          <c:idx val="1"/>
          <c:order val="1"/>
          <c:tx>
            <c:strRef>
              <c:f>BP!$C$48</c:f>
              <c:strCache>
                <c:ptCount val="1"/>
                <c:pt idx="0">
                  <c:v>Saldo en cuenta de capital</c:v>
                </c:pt>
              </c:strCache>
            </c:strRef>
          </c:tx>
          <c:invertIfNegative val="0"/>
          <c:cat>
            <c:numRef>
              <c:f>BP!$D$3:$L$3</c:f>
              <c:numCache>
                <c:formatCode>0</c:formatCode>
                <c:ptCount val="9"/>
                <c:pt idx="0">
                  <c:v>2006</c:v>
                </c:pt>
                <c:pt idx="1">
                  <c:v>2007</c:v>
                </c:pt>
                <c:pt idx="2">
                  <c:v>2008</c:v>
                </c:pt>
                <c:pt idx="3">
                  <c:v>2009</c:v>
                </c:pt>
                <c:pt idx="4">
                  <c:v>2010</c:v>
                </c:pt>
                <c:pt idx="5">
                  <c:v>2011</c:v>
                </c:pt>
                <c:pt idx="6">
                  <c:v>2012</c:v>
                </c:pt>
                <c:pt idx="7">
                  <c:v>2013</c:v>
                </c:pt>
                <c:pt idx="8">
                  <c:v>2014</c:v>
                </c:pt>
              </c:numCache>
            </c:numRef>
          </c:cat>
          <c:val>
            <c:numRef>
              <c:f>BP!$D$48:$L$48</c:f>
              <c:numCache>
                <c:formatCode>#,##0.0</c:formatCode>
                <c:ptCount val="9"/>
                <c:pt idx="0">
                  <c:v>5.1295165064051493E-3</c:v>
                </c:pt>
                <c:pt idx="1">
                  <c:v>8.4532389975924604E-2</c:v>
                </c:pt>
                <c:pt idx="2">
                  <c:v>2.6423923931558783E-2</c:v>
                </c:pt>
                <c:pt idx="3">
                  <c:v>0.2122478485189277</c:v>
                </c:pt>
                <c:pt idx="4">
                  <c:v>0.15987475551720537</c:v>
                </c:pt>
                <c:pt idx="5">
                  <c:v>5.630185780653011E-2</c:v>
                </c:pt>
                <c:pt idx="6">
                  <c:v>9.0567889862998685E-2</c:v>
                </c:pt>
                <c:pt idx="7">
                  <c:v>2.1728235636448417E-2</c:v>
                </c:pt>
                <c:pt idx="8">
                  <c:v>1.8978415325563734E-2</c:v>
                </c:pt>
              </c:numCache>
            </c:numRef>
          </c:val>
          <c:extLst>
            <c:ext xmlns:c16="http://schemas.microsoft.com/office/drawing/2014/chart" uri="{C3380CC4-5D6E-409C-BE32-E72D297353CC}">
              <c16:uniqueId val="{00000000-2827-4E48-AEAA-AF3B499A497A}"/>
            </c:ext>
          </c:extLst>
        </c:ser>
        <c:ser>
          <c:idx val="2"/>
          <c:order val="2"/>
          <c:tx>
            <c:strRef>
              <c:f>BP!$C$49</c:f>
              <c:strCache>
                <c:ptCount val="1"/>
                <c:pt idx="0">
                  <c:v>Saldo en cuenta financiera</c:v>
                </c:pt>
              </c:strCache>
            </c:strRef>
          </c:tx>
          <c:invertIfNegative val="0"/>
          <c:cat>
            <c:numRef>
              <c:f>BP!$D$3:$L$3</c:f>
              <c:numCache>
                <c:formatCode>0</c:formatCode>
                <c:ptCount val="9"/>
                <c:pt idx="0">
                  <c:v>2006</c:v>
                </c:pt>
                <c:pt idx="1">
                  <c:v>2007</c:v>
                </c:pt>
                <c:pt idx="2">
                  <c:v>2008</c:v>
                </c:pt>
                <c:pt idx="3">
                  <c:v>2009</c:v>
                </c:pt>
                <c:pt idx="4">
                  <c:v>2010</c:v>
                </c:pt>
                <c:pt idx="5">
                  <c:v>2011</c:v>
                </c:pt>
                <c:pt idx="6">
                  <c:v>2012</c:v>
                </c:pt>
                <c:pt idx="7">
                  <c:v>2013</c:v>
                </c:pt>
                <c:pt idx="8">
                  <c:v>2014</c:v>
                </c:pt>
              </c:numCache>
            </c:numRef>
          </c:cat>
          <c:val>
            <c:numRef>
              <c:f>BP!$D$49:$L$49</c:f>
              <c:numCache>
                <c:formatCode>#,##0.0</c:formatCode>
                <c:ptCount val="9"/>
                <c:pt idx="0">
                  <c:v>-8.3653087825819981</c:v>
                </c:pt>
                <c:pt idx="1">
                  <c:v>-9.6171543105156854</c:v>
                </c:pt>
                <c:pt idx="2">
                  <c:v>-8.8573707178691272</c:v>
                </c:pt>
                <c:pt idx="3">
                  <c:v>-2.4643322240559549</c:v>
                </c:pt>
                <c:pt idx="4">
                  <c:v>-5.3695249045162887</c:v>
                </c:pt>
                <c:pt idx="5">
                  <c:v>-6.565682853188366</c:v>
                </c:pt>
                <c:pt idx="6">
                  <c:v>-6.4817498106493927</c:v>
                </c:pt>
                <c:pt idx="7">
                  <c:v>-7.0714436543783137</c:v>
                </c:pt>
                <c:pt idx="8">
                  <c:v>-6.4861059830428527</c:v>
                </c:pt>
              </c:numCache>
            </c:numRef>
          </c:val>
          <c:extLst>
            <c:ext xmlns:c16="http://schemas.microsoft.com/office/drawing/2014/chart" uri="{C3380CC4-5D6E-409C-BE32-E72D297353CC}">
              <c16:uniqueId val="{00000001-2827-4E48-AEAA-AF3B499A497A}"/>
            </c:ext>
          </c:extLst>
        </c:ser>
        <c:ser>
          <c:idx val="3"/>
          <c:order val="3"/>
          <c:tx>
            <c:v>Reservas brutas</c:v>
          </c:tx>
          <c:spPr>
            <a:solidFill>
              <a:srgbClr val="4F81BD"/>
            </a:solidFill>
          </c:spPr>
          <c:invertIfNegative val="0"/>
          <c:cat>
            <c:numRef>
              <c:f>BP!$D$3:$L$3</c:f>
              <c:numCache>
                <c:formatCode>0</c:formatCode>
                <c:ptCount val="9"/>
                <c:pt idx="0">
                  <c:v>2006</c:v>
                </c:pt>
                <c:pt idx="1">
                  <c:v>2007</c:v>
                </c:pt>
                <c:pt idx="2">
                  <c:v>2008</c:v>
                </c:pt>
                <c:pt idx="3">
                  <c:v>2009</c:v>
                </c:pt>
                <c:pt idx="4">
                  <c:v>2010</c:v>
                </c:pt>
                <c:pt idx="5">
                  <c:v>2011</c:v>
                </c:pt>
                <c:pt idx="6">
                  <c:v>2012</c:v>
                </c:pt>
                <c:pt idx="7">
                  <c:v>2013</c:v>
                </c:pt>
                <c:pt idx="8">
                  <c:v>2014</c:v>
                </c:pt>
              </c:numCache>
            </c:numRef>
          </c:cat>
          <c:val>
            <c:numRef>
              <c:f>BP!$D$50:$L$50</c:f>
              <c:numCache>
                <c:formatCode>#,##0.0</c:formatCode>
                <c:ptCount val="9"/>
                <c:pt idx="0">
                  <c:v>3.5011281754627142</c:v>
                </c:pt>
                <c:pt idx="1">
                  <c:v>4.0579534565329469</c:v>
                </c:pt>
                <c:pt idx="2">
                  <c:v>-1.2426385848895212</c:v>
                </c:pt>
                <c:pt idx="3">
                  <c:v>0.94619581183652324</c:v>
                </c:pt>
                <c:pt idx="4">
                  <c:v>1.6736142783713424</c:v>
                </c:pt>
                <c:pt idx="5">
                  <c:v>0.34510953581410153</c:v>
                </c:pt>
                <c:pt idx="6">
                  <c:v>0.12064387614383551</c:v>
                </c:pt>
                <c:pt idx="7">
                  <c:v>-7.0565562449954849E-2</c:v>
                </c:pt>
                <c:pt idx="8">
                  <c:v>-0.51567846905456349</c:v>
                </c:pt>
              </c:numCache>
            </c:numRef>
          </c:val>
          <c:extLst>
            <c:ext xmlns:c16="http://schemas.microsoft.com/office/drawing/2014/chart" uri="{C3380CC4-5D6E-409C-BE32-E72D297353CC}">
              <c16:uniqueId val="{00000002-2827-4E48-AEAA-AF3B499A497A}"/>
            </c:ext>
          </c:extLst>
        </c:ser>
        <c:dLbls>
          <c:showLegendKey val="0"/>
          <c:showVal val="0"/>
          <c:showCatName val="0"/>
          <c:showSerName val="0"/>
          <c:showPercent val="0"/>
          <c:showBubbleSize val="0"/>
        </c:dLbls>
        <c:gapWidth val="150"/>
        <c:overlap val="100"/>
        <c:axId val="345397888"/>
        <c:axId val="345452928"/>
      </c:barChart>
      <c:lineChart>
        <c:grouping val="standard"/>
        <c:varyColors val="0"/>
        <c:ser>
          <c:idx val="0"/>
          <c:order val="0"/>
          <c:tx>
            <c:strRef>
              <c:f>BP!$C$47</c:f>
              <c:strCache>
                <c:ptCount val="1"/>
                <c:pt idx="0">
                  <c:v>Saldo en cuenta corriente</c:v>
                </c:pt>
              </c:strCache>
            </c:strRef>
          </c:tx>
          <c:spPr>
            <a:ln w="28575">
              <a:solidFill>
                <a:schemeClr val="tx1"/>
              </a:solidFill>
            </a:ln>
          </c:spPr>
          <c:marker>
            <c:symbol val="none"/>
          </c:marker>
          <c:cat>
            <c:numRef>
              <c:f>BP!$D$3:$L$3</c:f>
              <c:numCache>
                <c:formatCode>0</c:formatCode>
                <c:ptCount val="9"/>
                <c:pt idx="0">
                  <c:v>2006</c:v>
                </c:pt>
                <c:pt idx="1">
                  <c:v>2007</c:v>
                </c:pt>
                <c:pt idx="2">
                  <c:v>2008</c:v>
                </c:pt>
                <c:pt idx="3">
                  <c:v>2009</c:v>
                </c:pt>
                <c:pt idx="4">
                  <c:v>2010</c:v>
                </c:pt>
                <c:pt idx="5">
                  <c:v>2011</c:v>
                </c:pt>
                <c:pt idx="6">
                  <c:v>2012</c:v>
                </c:pt>
                <c:pt idx="7">
                  <c:v>2013</c:v>
                </c:pt>
                <c:pt idx="8">
                  <c:v>2014</c:v>
                </c:pt>
              </c:numCache>
            </c:numRef>
          </c:cat>
          <c:val>
            <c:numRef>
              <c:f>BP!$D$47:$L$47</c:f>
              <c:numCache>
                <c:formatCode>#,##0.0</c:formatCode>
                <c:ptCount val="9"/>
                <c:pt idx="0">
                  <c:v>-5.1348842132647015</c:v>
                </c:pt>
                <c:pt idx="1">
                  <c:v>-5.4744907226829644</c:v>
                </c:pt>
                <c:pt idx="2">
                  <c:v>-10.277953980623307</c:v>
                </c:pt>
                <c:pt idx="3">
                  <c:v>-1.6113772743383565</c:v>
                </c:pt>
                <c:pt idx="4">
                  <c:v>-3.8850529437402859</c:v>
                </c:pt>
                <c:pt idx="5">
                  <c:v>-6.2464852013359886</c:v>
                </c:pt>
                <c:pt idx="6">
                  <c:v>-6.5773303948117663</c:v>
                </c:pt>
                <c:pt idx="7">
                  <c:v>-6.6368463917212992</c:v>
                </c:pt>
                <c:pt idx="8">
                  <c:v>-7.0207628674229792</c:v>
                </c:pt>
              </c:numCache>
            </c:numRef>
          </c:val>
          <c:smooth val="0"/>
          <c:extLst>
            <c:ext xmlns:c16="http://schemas.microsoft.com/office/drawing/2014/chart" uri="{C3380CC4-5D6E-409C-BE32-E72D297353CC}">
              <c16:uniqueId val="{00000003-2827-4E48-AEAA-AF3B499A497A}"/>
            </c:ext>
          </c:extLst>
        </c:ser>
        <c:dLbls>
          <c:showLegendKey val="0"/>
          <c:showVal val="0"/>
          <c:showCatName val="0"/>
          <c:showSerName val="0"/>
          <c:showPercent val="0"/>
          <c:showBubbleSize val="0"/>
        </c:dLbls>
        <c:marker val="1"/>
        <c:smooth val="0"/>
        <c:axId val="345397888"/>
        <c:axId val="345452928"/>
      </c:lineChart>
      <c:catAx>
        <c:axId val="345397888"/>
        <c:scaling>
          <c:orientation val="minMax"/>
        </c:scaling>
        <c:delete val="0"/>
        <c:axPos val="b"/>
        <c:numFmt formatCode="0" sourceLinked="1"/>
        <c:majorTickMark val="out"/>
        <c:minorTickMark val="none"/>
        <c:tickLblPos val="nextTo"/>
        <c:txPr>
          <a:bodyPr/>
          <a:lstStyle/>
          <a:p>
            <a:pPr>
              <a:defRPr sz="800"/>
            </a:pPr>
            <a:endParaRPr lang="es-BO"/>
          </a:p>
        </c:txPr>
        <c:crossAx val="345452928"/>
        <c:crosses val="autoZero"/>
        <c:auto val="1"/>
        <c:lblAlgn val="ctr"/>
        <c:lblOffset val="100"/>
        <c:noMultiLvlLbl val="0"/>
      </c:catAx>
      <c:valAx>
        <c:axId val="345452928"/>
        <c:scaling>
          <c:orientation val="minMax"/>
        </c:scaling>
        <c:delete val="0"/>
        <c:axPos val="l"/>
        <c:numFmt formatCode="#,##0.0" sourceLinked="1"/>
        <c:majorTickMark val="out"/>
        <c:minorTickMark val="none"/>
        <c:tickLblPos val="nextTo"/>
        <c:txPr>
          <a:bodyPr/>
          <a:lstStyle/>
          <a:p>
            <a:pPr>
              <a:defRPr sz="800"/>
            </a:pPr>
            <a:endParaRPr lang="es-BO"/>
          </a:p>
        </c:txPr>
        <c:crossAx val="345397888"/>
        <c:crosses val="autoZero"/>
        <c:crossBetween val="between"/>
      </c:valAx>
    </c:plotArea>
    <c:legend>
      <c:legendPos val="r"/>
      <c:layout>
        <c:manualLayout>
          <c:xMode val="edge"/>
          <c:yMode val="edge"/>
          <c:x val="0.33618533244142118"/>
          <c:y val="0.23706254594009893"/>
          <c:w val="0.48575335173687328"/>
          <c:h val="0.19224692376539401"/>
        </c:manualLayout>
      </c:layout>
      <c:overlay val="0"/>
      <c:spPr>
        <a:noFill/>
      </c:spPr>
      <c:txPr>
        <a:bodyPr/>
        <a:lstStyle/>
        <a:p>
          <a:pPr>
            <a:defRPr sz="800"/>
          </a:pPr>
          <a:endParaRPr lang="es-BO"/>
        </a:p>
      </c:txPr>
    </c:legend>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aseline="0"/>
            </a:pPr>
            <a:r>
              <a:rPr lang="es-ES" sz="800"/>
              <a:t>PII, en porcentaje del PIB</a:t>
            </a:r>
          </a:p>
        </c:rich>
      </c:tx>
      <c:layout>
        <c:manualLayout>
          <c:xMode val="edge"/>
          <c:yMode val="edge"/>
          <c:x val="0.16057033701090084"/>
          <c:y val="0.53829138654310604"/>
        </c:manualLayout>
      </c:layout>
      <c:overlay val="1"/>
    </c:title>
    <c:autoTitleDeleted val="0"/>
    <c:plotArea>
      <c:layout>
        <c:manualLayout>
          <c:layoutTarget val="inner"/>
          <c:xMode val="edge"/>
          <c:yMode val="edge"/>
          <c:x val="8.8412364917702255E-2"/>
          <c:y val="0.30206570833341756"/>
          <c:w val="0.88889545784302981"/>
          <c:h val="0.62522975967243322"/>
        </c:manualLayout>
      </c:layout>
      <c:barChart>
        <c:barDir val="col"/>
        <c:grouping val="clustered"/>
        <c:varyColors val="0"/>
        <c:ser>
          <c:idx val="2"/>
          <c:order val="0"/>
          <c:tx>
            <c:strRef>
              <c:f>PII!$C$33</c:f>
              <c:strCache>
                <c:ptCount val="1"/>
                <c:pt idx="0">
                  <c:v>Posición de inversión internacional neta</c:v>
                </c:pt>
              </c:strCache>
            </c:strRef>
          </c:tx>
          <c:spPr>
            <a:solidFill>
              <a:schemeClr val="accent1"/>
            </a:solidFill>
          </c:spPr>
          <c:invertIfNegative val="0"/>
          <c:cat>
            <c:numRef>
              <c:f>PII!$D$3:$L$3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PII!$D$33:$L$33</c:f>
              <c:numCache>
                <c:formatCode>#,##0.0</c:formatCode>
                <c:ptCount val="9"/>
                <c:pt idx="0">
                  <c:v>-16.61870084138787</c:v>
                </c:pt>
                <c:pt idx="1">
                  <c:v>-19.816465646337253</c:v>
                </c:pt>
                <c:pt idx="2">
                  <c:v>-27.760117490368135</c:v>
                </c:pt>
                <c:pt idx="3">
                  <c:v>-29.760570540357211</c:v>
                </c:pt>
                <c:pt idx="4">
                  <c:v>-28.068459176185762</c:v>
                </c:pt>
                <c:pt idx="5">
                  <c:v>-30.759060334802733</c:v>
                </c:pt>
                <c:pt idx="6">
                  <c:v>-35.164881757406221</c:v>
                </c:pt>
                <c:pt idx="7">
                  <c:v>-39.25302463982446</c:v>
                </c:pt>
                <c:pt idx="8">
                  <c:v>-44.47909316858896</c:v>
                </c:pt>
              </c:numCache>
            </c:numRef>
          </c:val>
          <c:extLst>
            <c:ext xmlns:c16="http://schemas.microsoft.com/office/drawing/2014/chart" uri="{C3380CC4-5D6E-409C-BE32-E72D297353CC}">
              <c16:uniqueId val="{00000000-6604-4FD6-BAE0-785F7DA7A15C}"/>
            </c:ext>
          </c:extLst>
        </c:ser>
        <c:dLbls>
          <c:showLegendKey val="0"/>
          <c:showVal val="0"/>
          <c:showCatName val="0"/>
          <c:showSerName val="0"/>
          <c:showPercent val="0"/>
          <c:showBubbleSize val="0"/>
        </c:dLbls>
        <c:gapWidth val="150"/>
        <c:axId val="345488000"/>
        <c:axId val="345502080"/>
      </c:barChart>
      <c:lineChart>
        <c:grouping val="standard"/>
        <c:varyColors val="0"/>
        <c:ser>
          <c:idx val="3"/>
          <c:order val="1"/>
          <c:tx>
            <c:strRef>
              <c:f>PII!$C$34</c:f>
              <c:strCache>
                <c:ptCount val="1"/>
                <c:pt idx="0">
                  <c:v>Activos</c:v>
                </c:pt>
              </c:strCache>
            </c:strRef>
          </c:tx>
          <c:spPr>
            <a:ln>
              <a:solidFill>
                <a:srgbClr val="FF0000"/>
              </a:solidFill>
              <a:prstDash val="sysDash"/>
            </a:ln>
          </c:spPr>
          <c:marker>
            <c:symbol val="none"/>
          </c:marker>
          <c:cat>
            <c:numRef>
              <c:f>PII!$D$3:$L$3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PII!$D$34:$L$34</c:f>
              <c:numCache>
                <c:formatCode>#,##0.0</c:formatCode>
                <c:ptCount val="9"/>
                <c:pt idx="0">
                  <c:v>47.391603002677165</c:v>
                </c:pt>
                <c:pt idx="1">
                  <c:v>47.03270531707647</c:v>
                </c:pt>
                <c:pt idx="2">
                  <c:v>41.484489332387902</c:v>
                </c:pt>
                <c:pt idx="3">
                  <c:v>43.378654625604248</c:v>
                </c:pt>
                <c:pt idx="4">
                  <c:v>37.977413006478841</c:v>
                </c:pt>
                <c:pt idx="5">
                  <c:v>33.700050434946625</c:v>
                </c:pt>
                <c:pt idx="6">
                  <c:v>33.254050885717483</c:v>
                </c:pt>
                <c:pt idx="7">
                  <c:v>32.818756719970565</c:v>
                </c:pt>
                <c:pt idx="8">
                  <c:v>31.742896647441558</c:v>
                </c:pt>
              </c:numCache>
            </c:numRef>
          </c:val>
          <c:smooth val="0"/>
          <c:extLst>
            <c:ext xmlns:c16="http://schemas.microsoft.com/office/drawing/2014/chart" uri="{C3380CC4-5D6E-409C-BE32-E72D297353CC}">
              <c16:uniqueId val="{00000001-6604-4FD6-BAE0-785F7DA7A15C}"/>
            </c:ext>
          </c:extLst>
        </c:ser>
        <c:ser>
          <c:idx val="0"/>
          <c:order val="2"/>
          <c:tx>
            <c:strRef>
              <c:f>PII!$C$35</c:f>
              <c:strCache>
                <c:ptCount val="1"/>
                <c:pt idx="0">
                  <c:v>Pasivos</c:v>
                </c:pt>
              </c:strCache>
            </c:strRef>
          </c:tx>
          <c:marker>
            <c:symbol val="none"/>
          </c:marker>
          <c:cat>
            <c:numRef>
              <c:f>PII!$D$3:$L$3</c:f>
              <c:numCache>
                <c:formatCode>General</c:formatCode>
                <c:ptCount val="9"/>
                <c:pt idx="0">
                  <c:v>2006</c:v>
                </c:pt>
                <c:pt idx="1">
                  <c:v>2007</c:v>
                </c:pt>
                <c:pt idx="2">
                  <c:v>2008</c:v>
                </c:pt>
                <c:pt idx="3">
                  <c:v>2009</c:v>
                </c:pt>
                <c:pt idx="4">
                  <c:v>2010</c:v>
                </c:pt>
                <c:pt idx="5">
                  <c:v>2011</c:v>
                </c:pt>
                <c:pt idx="6">
                  <c:v>2012</c:v>
                </c:pt>
                <c:pt idx="7">
                  <c:v>2013</c:v>
                </c:pt>
                <c:pt idx="8">
                  <c:v>2014</c:v>
                </c:pt>
              </c:numCache>
            </c:numRef>
          </c:cat>
          <c:val>
            <c:numRef>
              <c:f>PII!$D$35:$L$35</c:f>
              <c:numCache>
                <c:formatCode>#,##0.0</c:formatCode>
                <c:ptCount val="9"/>
                <c:pt idx="0">
                  <c:v>64.010303844065035</c:v>
                </c:pt>
                <c:pt idx="1">
                  <c:v>66.849170963413727</c:v>
                </c:pt>
                <c:pt idx="2">
                  <c:v>69.24460682275604</c:v>
                </c:pt>
                <c:pt idx="3">
                  <c:v>73.139225165961449</c:v>
                </c:pt>
                <c:pt idx="4">
                  <c:v>66.045872182664596</c:v>
                </c:pt>
                <c:pt idx="5">
                  <c:v>64.459110769749358</c:v>
                </c:pt>
                <c:pt idx="6">
                  <c:v>68.418932643123711</c:v>
                </c:pt>
                <c:pt idx="7">
                  <c:v>72.071781359795011</c:v>
                </c:pt>
                <c:pt idx="8">
                  <c:v>76.221989816030515</c:v>
                </c:pt>
              </c:numCache>
            </c:numRef>
          </c:val>
          <c:smooth val="0"/>
          <c:extLst>
            <c:ext xmlns:c16="http://schemas.microsoft.com/office/drawing/2014/chart" uri="{C3380CC4-5D6E-409C-BE32-E72D297353CC}">
              <c16:uniqueId val="{00000002-6604-4FD6-BAE0-785F7DA7A15C}"/>
            </c:ext>
          </c:extLst>
        </c:ser>
        <c:dLbls>
          <c:showLegendKey val="0"/>
          <c:showVal val="0"/>
          <c:showCatName val="0"/>
          <c:showSerName val="0"/>
          <c:showPercent val="0"/>
          <c:showBubbleSize val="0"/>
        </c:dLbls>
        <c:marker val="1"/>
        <c:smooth val="0"/>
        <c:axId val="345488000"/>
        <c:axId val="345502080"/>
      </c:lineChart>
      <c:catAx>
        <c:axId val="345488000"/>
        <c:scaling>
          <c:orientation val="minMax"/>
        </c:scaling>
        <c:delete val="0"/>
        <c:axPos val="b"/>
        <c:numFmt formatCode="General" sourceLinked="1"/>
        <c:majorTickMark val="out"/>
        <c:minorTickMark val="none"/>
        <c:tickLblPos val="nextTo"/>
        <c:txPr>
          <a:bodyPr/>
          <a:lstStyle/>
          <a:p>
            <a:pPr>
              <a:defRPr sz="800"/>
            </a:pPr>
            <a:endParaRPr lang="es-BO"/>
          </a:p>
        </c:txPr>
        <c:crossAx val="345502080"/>
        <c:crosses val="autoZero"/>
        <c:auto val="1"/>
        <c:lblAlgn val="ctr"/>
        <c:lblOffset val="100"/>
        <c:noMultiLvlLbl val="0"/>
      </c:catAx>
      <c:valAx>
        <c:axId val="345502080"/>
        <c:scaling>
          <c:orientation val="minMax"/>
        </c:scaling>
        <c:delete val="0"/>
        <c:axPos val="l"/>
        <c:numFmt formatCode="#,##0.0" sourceLinked="1"/>
        <c:majorTickMark val="out"/>
        <c:minorTickMark val="none"/>
        <c:tickLblPos val="nextTo"/>
        <c:txPr>
          <a:bodyPr/>
          <a:lstStyle/>
          <a:p>
            <a:pPr>
              <a:defRPr sz="800"/>
            </a:pPr>
            <a:endParaRPr lang="es-BO"/>
          </a:p>
        </c:txPr>
        <c:crossAx val="345488000"/>
        <c:crosses val="autoZero"/>
        <c:crossBetween val="between"/>
      </c:valAx>
    </c:plotArea>
    <c:legend>
      <c:legendPos val="r"/>
      <c:layout>
        <c:manualLayout>
          <c:xMode val="edge"/>
          <c:yMode val="edge"/>
          <c:x val="0.11879304496933527"/>
          <c:y val="0.79782473362638584"/>
          <c:w val="0.49271309320796963"/>
          <c:h val="0.1249605004475057"/>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a:pPr>
            <a:r>
              <a:rPr lang="es-ES" sz="800"/>
              <a:t>Índice de tipo de cambio real (2012 = 100)</a:t>
            </a:r>
          </a:p>
        </c:rich>
      </c:tx>
      <c:layout>
        <c:manualLayout>
          <c:xMode val="edge"/>
          <c:yMode val="edge"/>
          <c:x val="0.36494738032203417"/>
          <c:y val="0.8843358493207969"/>
        </c:manualLayout>
      </c:layout>
      <c:overlay val="1"/>
    </c:title>
    <c:autoTitleDeleted val="0"/>
    <c:plotArea>
      <c:layout>
        <c:manualLayout>
          <c:layoutTarget val="inner"/>
          <c:xMode val="edge"/>
          <c:yMode val="edge"/>
          <c:x val="8.7230659795174234E-2"/>
          <c:y val="0.26542261209831086"/>
          <c:w val="0.80905369374122549"/>
          <c:h val="0.55187015006991669"/>
        </c:manualLayout>
      </c:layout>
      <c:barChart>
        <c:barDir val="col"/>
        <c:grouping val="clustered"/>
        <c:varyColors val="0"/>
        <c:ser>
          <c:idx val="1"/>
          <c:order val="1"/>
          <c:tx>
            <c:strRef>
              <c:f>'TC nominal'!$B$18</c:f>
              <c:strCache>
                <c:ptCount val="1"/>
                <c:pt idx="0">
                  <c:v>Inflación interna (en porcentaje)</c:v>
                </c:pt>
              </c:strCache>
            </c:strRef>
          </c:tx>
          <c:invertIfNegative val="0"/>
          <c:cat>
            <c:numRef>
              <c:f>'TC nominal'!$C$10:$I$10</c:f>
              <c:numCache>
                <c:formatCode>0</c:formatCode>
                <c:ptCount val="7"/>
                <c:pt idx="0">
                  <c:v>2008</c:v>
                </c:pt>
                <c:pt idx="1">
                  <c:v>2009</c:v>
                </c:pt>
                <c:pt idx="2">
                  <c:v>2010</c:v>
                </c:pt>
                <c:pt idx="3">
                  <c:v>2011</c:v>
                </c:pt>
                <c:pt idx="4">
                  <c:v>2012</c:v>
                </c:pt>
                <c:pt idx="5">
                  <c:v>2013</c:v>
                </c:pt>
                <c:pt idx="6">
                  <c:v>2014</c:v>
                </c:pt>
              </c:numCache>
            </c:numRef>
          </c:cat>
          <c:val>
            <c:numRef>
              <c:f>'TC nominal'!$C$18:$I$18</c:f>
              <c:numCache>
                <c:formatCode>0.0</c:formatCode>
                <c:ptCount val="7"/>
                <c:pt idx="0">
                  <c:v>13.424650631557796</c:v>
                </c:pt>
                <c:pt idx="1">
                  <c:v>7.8427556534629019</c:v>
                </c:pt>
                <c:pt idx="2">
                  <c:v>5.6626532109607268</c:v>
                </c:pt>
                <c:pt idx="3">
                  <c:v>4.8781491879010872</c:v>
                </c:pt>
                <c:pt idx="4">
                  <c:v>4.6130302133459367</c:v>
                </c:pt>
                <c:pt idx="5">
                  <c:v>6.1358513231091649</c:v>
                </c:pt>
                <c:pt idx="6" formatCode="0.00">
                  <c:v>7.3556691967236247</c:v>
                </c:pt>
              </c:numCache>
            </c:numRef>
          </c:val>
          <c:extLst>
            <c:ext xmlns:c16="http://schemas.microsoft.com/office/drawing/2014/chart" uri="{C3380CC4-5D6E-409C-BE32-E72D297353CC}">
              <c16:uniqueId val="{00000000-5E1D-4B65-BC66-22BABABEF851}"/>
            </c:ext>
          </c:extLst>
        </c:ser>
        <c:ser>
          <c:idx val="2"/>
          <c:order val="2"/>
          <c:tx>
            <c:strRef>
              <c:f>'TC nominal'!$B$20</c:f>
              <c:strCache>
                <c:ptCount val="1"/>
                <c:pt idx="0">
                  <c:v>Inflación en socios comerciales (en porcentaje)</c:v>
                </c:pt>
              </c:strCache>
            </c:strRef>
          </c:tx>
          <c:invertIfNegative val="0"/>
          <c:cat>
            <c:numRef>
              <c:f>'TC nominal'!$C$10:$I$10</c:f>
              <c:numCache>
                <c:formatCode>0</c:formatCode>
                <c:ptCount val="7"/>
                <c:pt idx="0">
                  <c:v>2008</c:v>
                </c:pt>
                <c:pt idx="1">
                  <c:v>2009</c:v>
                </c:pt>
                <c:pt idx="2">
                  <c:v>2010</c:v>
                </c:pt>
                <c:pt idx="3">
                  <c:v>2011</c:v>
                </c:pt>
                <c:pt idx="4">
                  <c:v>2012</c:v>
                </c:pt>
                <c:pt idx="5">
                  <c:v>2013</c:v>
                </c:pt>
                <c:pt idx="6">
                  <c:v>2014</c:v>
                </c:pt>
              </c:numCache>
            </c:numRef>
          </c:cat>
          <c:val>
            <c:numRef>
              <c:f>'TC nominal'!$C$20:$I$20</c:f>
              <c:numCache>
                <c:formatCode>0.0</c:formatCode>
                <c:ptCount val="7"/>
                <c:pt idx="0">
                  <c:v>3.5952509527075844</c:v>
                </c:pt>
                <c:pt idx="1">
                  <c:v>-0.17065774831935981</c:v>
                </c:pt>
                <c:pt idx="2">
                  <c:v>1.5164247318407489</c:v>
                </c:pt>
                <c:pt idx="3">
                  <c:v>2.8675084033778688</c:v>
                </c:pt>
                <c:pt idx="4">
                  <c:v>1.9575440825266084</c:v>
                </c:pt>
                <c:pt idx="5">
                  <c:v>1.5</c:v>
                </c:pt>
                <c:pt idx="6" formatCode="#,##0.0">
                  <c:v>1.5</c:v>
                </c:pt>
              </c:numCache>
            </c:numRef>
          </c:val>
          <c:extLst>
            <c:ext xmlns:c16="http://schemas.microsoft.com/office/drawing/2014/chart" uri="{C3380CC4-5D6E-409C-BE32-E72D297353CC}">
              <c16:uniqueId val="{00000001-5E1D-4B65-BC66-22BABABEF851}"/>
            </c:ext>
          </c:extLst>
        </c:ser>
        <c:dLbls>
          <c:showLegendKey val="0"/>
          <c:showVal val="0"/>
          <c:showCatName val="0"/>
          <c:showSerName val="0"/>
          <c:showPercent val="0"/>
          <c:showBubbleSize val="0"/>
        </c:dLbls>
        <c:gapWidth val="150"/>
        <c:axId val="341988096"/>
        <c:axId val="341978112"/>
      </c:barChart>
      <c:lineChart>
        <c:grouping val="standard"/>
        <c:varyColors val="0"/>
        <c:ser>
          <c:idx val="0"/>
          <c:order val="0"/>
          <c:tx>
            <c:strRef>
              <c:f>'TC nominal'!$B$22</c:f>
              <c:strCache>
                <c:ptCount val="1"/>
                <c:pt idx="0">
                  <c:v>Índice de tipo de cambio real (2012=100)1/ </c:v>
                </c:pt>
              </c:strCache>
            </c:strRef>
          </c:tx>
          <c:marker>
            <c:symbol val="none"/>
          </c:marker>
          <c:cat>
            <c:numRef>
              <c:f>'TC nominal'!$C$10:$I$10</c:f>
              <c:numCache>
                <c:formatCode>0</c:formatCode>
                <c:ptCount val="7"/>
                <c:pt idx="0">
                  <c:v>2008</c:v>
                </c:pt>
                <c:pt idx="1">
                  <c:v>2009</c:v>
                </c:pt>
                <c:pt idx="2">
                  <c:v>2010</c:v>
                </c:pt>
                <c:pt idx="3">
                  <c:v>2011</c:v>
                </c:pt>
                <c:pt idx="4">
                  <c:v>2012</c:v>
                </c:pt>
                <c:pt idx="5">
                  <c:v>2013</c:v>
                </c:pt>
                <c:pt idx="6">
                  <c:v>2014</c:v>
                </c:pt>
              </c:numCache>
            </c:numRef>
          </c:cat>
          <c:val>
            <c:numRef>
              <c:f>'TC nominal'!$C$22:$I$22</c:f>
              <c:numCache>
                <c:formatCode>0.0</c:formatCode>
                <c:ptCount val="7"/>
                <c:pt idx="0">
                  <c:v>121.17953211036611</c:v>
                </c:pt>
                <c:pt idx="1">
                  <c:v>122.20505458470026</c:v>
                </c:pt>
                <c:pt idx="2">
                  <c:v>107.6901181007282</c:v>
                </c:pt>
                <c:pt idx="3">
                  <c:v>101.7227415353677</c:v>
                </c:pt>
                <c:pt idx="4">
                  <c:v>100</c:v>
                </c:pt>
                <c:pt idx="5">
                  <c:v>99.269809863715537</c:v>
                </c:pt>
                <c:pt idx="6" formatCode="#,##0.0">
                  <c:v>99.683978681011283</c:v>
                </c:pt>
              </c:numCache>
            </c:numRef>
          </c:val>
          <c:smooth val="0"/>
          <c:extLst>
            <c:ext xmlns:c16="http://schemas.microsoft.com/office/drawing/2014/chart" uri="{C3380CC4-5D6E-409C-BE32-E72D297353CC}">
              <c16:uniqueId val="{00000002-5E1D-4B65-BC66-22BABABEF851}"/>
            </c:ext>
          </c:extLst>
        </c:ser>
        <c:dLbls>
          <c:showLegendKey val="0"/>
          <c:showVal val="0"/>
          <c:showCatName val="0"/>
          <c:showSerName val="0"/>
          <c:showPercent val="0"/>
          <c:showBubbleSize val="0"/>
        </c:dLbls>
        <c:marker val="1"/>
        <c:smooth val="0"/>
        <c:axId val="341975040"/>
        <c:axId val="341976576"/>
      </c:lineChart>
      <c:catAx>
        <c:axId val="341975040"/>
        <c:scaling>
          <c:orientation val="minMax"/>
        </c:scaling>
        <c:delete val="0"/>
        <c:axPos val="b"/>
        <c:numFmt formatCode="0" sourceLinked="1"/>
        <c:majorTickMark val="out"/>
        <c:minorTickMark val="none"/>
        <c:tickLblPos val="nextTo"/>
        <c:txPr>
          <a:bodyPr/>
          <a:lstStyle/>
          <a:p>
            <a:pPr>
              <a:defRPr sz="800"/>
            </a:pPr>
            <a:endParaRPr lang="es-BO"/>
          </a:p>
        </c:txPr>
        <c:crossAx val="341976576"/>
        <c:crosses val="autoZero"/>
        <c:auto val="1"/>
        <c:lblAlgn val="ctr"/>
        <c:lblOffset val="100"/>
        <c:noMultiLvlLbl val="0"/>
      </c:catAx>
      <c:valAx>
        <c:axId val="341976576"/>
        <c:scaling>
          <c:orientation val="minMax"/>
        </c:scaling>
        <c:delete val="0"/>
        <c:axPos val="l"/>
        <c:numFmt formatCode="0.0" sourceLinked="1"/>
        <c:majorTickMark val="out"/>
        <c:minorTickMark val="none"/>
        <c:tickLblPos val="nextTo"/>
        <c:txPr>
          <a:bodyPr/>
          <a:lstStyle/>
          <a:p>
            <a:pPr>
              <a:defRPr sz="800"/>
            </a:pPr>
            <a:endParaRPr lang="es-BO"/>
          </a:p>
        </c:txPr>
        <c:crossAx val="341975040"/>
        <c:crosses val="autoZero"/>
        <c:crossBetween val="between"/>
      </c:valAx>
      <c:valAx>
        <c:axId val="341978112"/>
        <c:scaling>
          <c:orientation val="minMax"/>
        </c:scaling>
        <c:delete val="0"/>
        <c:axPos val="r"/>
        <c:numFmt formatCode="0.0" sourceLinked="1"/>
        <c:majorTickMark val="out"/>
        <c:minorTickMark val="none"/>
        <c:tickLblPos val="nextTo"/>
        <c:txPr>
          <a:bodyPr/>
          <a:lstStyle/>
          <a:p>
            <a:pPr>
              <a:defRPr sz="800"/>
            </a:pPr>
            <a:endParaRPr lang="es-BO"/>
          </a:p>
        </c:txPr>
        <c:crossAx val="341988096"/>
        <c:crosses val="max"/>
        <c:crossBetween val="between"/>
      </c:valAx>
      <c:catAx>
        <c:axId val="341988096"/>
        <c:scaling>
          <c:orientation val="minMax"/>
        </c:scaling>
        <c:delete val="1"/>
        <c:axPos val="b"/>
        <c:numFmt formatCode="0" sourceLinked="1"/>
        <c:majorTickMark val="out"/>
        <c:minorTickMark val="none"/>
        <c:tickLblPos val="none"/>
        <c:crossAx val="341978112"/>
        <c:crosses val="autoZero"/>
        <c:auto val="1"/>
        <c:lblAlgn val="ctr"/>
        <c:lblOffset val="100"/>
        <c:noMultiLvlLbl val="0"/>
      </c:catAx>
    </c:plotArea>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95344783726999E-2"/>
          <c:y val="0.27322866976861226"/>
          <c:w val="0.8363049868568575"/>
          <c:h val="0.5232696357715515"/>
        </c:manualLayout>
      </c:layout>
      <c:barChart>
        <c:barDir val="col"/>
        <c:grouping val="clustered"/>
        <c:varyColors val="0"/>
        <c:ser>
          <c:idx val="3"/>
          <c:order val="0"/>
          <c:tx>
            <c:strRef>
              <c:f>EX_Stock_Ind!$C$13</c:f>
              <c:strCache>
                <c:ptCount val="1"/>
                <c:pt idx="0">
                  <c:v>Reservas, en meses de importaciones de bienes y servicios</c:v>
                </c:pt>
              </c:strCache>
            </c:strRef>
          </c:tx>
          <c:spPr>
            <a:ln>
              <a:solidFill>
                <a:sysClr val="windowText" lastClr="000000"/>
              </a:solidFill>
            </a:ln>
          </c:spPr>
          <c:invertIfNegative val="0"/>
          <c:cat>
            <c:numRef>
              <c:f>EX_Stock_Ind!$F$3:$L$3</c:f>
              <c:numCache>
                <c:formatCode>General</c:formatCode>
                <c:ptCount val="7"/>
                <c:pt idx="0">
                  <c:v>2008</c:v>
                </c:pt>
                <c:pt idx="1">
                  <c:v>2009</c:v>
                </c:pt>
                <c:pt idx="2">
                  <c:v>2010</c:v>
                </c:pt>
                <c:pt idx="3">
                  <c:v>2011</c:v>
                </c:pt>
                <c:pt idx="4">
                  <c:v>2012</c:v>
                </c:pt>
                <c:pt idx="5">
                  <c:v>2013</c:v>
                </c:pt>
                <c:pt idx="6">
                  <c:v>2014</c:v>
                </c:pt>
              </c:numCache>
            </c:numRef>
          </c:cat>
          <c:val>
            <c:numRef>
              <c:f>EX_Stock_Ind!$F$13:$L$13</c:f>
              <c:numCache>
                <c:formatCode>#,##0.0</c:formatCode>
                <c:ptCount val="7"/>
                <c:pt idx="0">
                  <c:v>3.7114513676672645</c:v>
                </c:pt>
                <c:pt idx="1">
                  <c:v>3.3106332331640043</c:v>
                </c:pt>
                <c:pt idx="2">
                  <c:v>3.2169384372995697</c:v>
                </c:pt>
                <c:pt idx="3">
                  <c:v>2.9821837688561987</c:v>
                </c:pt>
                <c:pt idx="4">
                  <c:v>2.8376926543968959</c:v>
                </c:pt>
                <c:pt idx="5">
                  <c:v>2.6258452100939378</c:v>
                </c:pt>
                <c:pt idx="6">
                  <c:v>2.5029508081115828</c:v>
                </c:pt>
              </c:numCache>
            </c:numRef>
          </c:val>
          <c:extLst>
            <c:ext xmlns:c16="http://schemas.microsoft.com/office/drawing/2014/chart" uri="{C3380CC4-5D6E-409C-BE32-E72D297353CC}">
              <c16:uniqueId val="{00000000-2D80-48B3-BEF5-AB98F71DB6E8}"/>
            </c:ext>
          </c:extLst>
        </c:ser>
        <c:dLbls>
          <c:showLegendKey val="0"/>
          <c:showVal val="0"/>
          <c:showCatName val="0"/>
          <c:showSerName val="0"/>
          <c:showPercent val="0"/>
          <c:showBubbleSize val="0"/>
        </c:dLbls>
        <c:gapWidth val="150"/>
        <c:axId val="345815680"/>
        <c:axId val="345821568"/>
      </c:barChart>
      <c:lineChart>
        <c:grouping val="standard"/>
        <c:varyColors val="0"/>
        <c:ser>
          <c:idx val="0"/>
          <c:order val="1"/>
          <c:tx>
            <c:v>Activos de reserva (en millones de USD, der.)</c:v>
          </c:tx>
          <c:val>
            <c:numRef>
              <c:f>EX_Stock_Ind!$F$32:$L$32</c:f>
              <c:numCache>
                <c:formatCode>#,##0</c:formatCode>
                <c:ptCount val="7"/>
                <c:pt idx="0">
                  <c:v>3798.7</c:v>
                </c:pt>
                <c:pt idx="1">
                  <c:v>4066.2</c:v>
                </c:pt>
                <c:pt idx="2">
                  <c:v>4629.7</c:v>
                </c:pt>
                <c:pt idx="3">
                  <c:v>4758.3</c:v>
                </c:pt>
                <c:pt idx="4">
                  <c:v>4808.2716085310276</c:v>
                </c:pt>
                <c:pt idx="5">
                  <c:v>4779.042817354617</c:v>
                </c:pt>
                <c:pt idx="6">
                  <c:v>4534.496255279988</c:v>
                </c:pt>
              </c:numCache>
            </c:numRef>
          </c:val>
          <c:smooth val="0"/>
          <c:extLst>
            <c:ext xmlns:c16="http://schemas.microsoft.com/office/drawing/2014/chart" uri="{C3380CC4-5D6E-409C-BE32-E72D297353CC}">
              <c16:uniqueId val="{00000001-2D80-48B3-BEF5-AB98F71DB6E8}"/>
            </c:ext>
          </c:extLst>
        </c:ser>
        <c:dLbls>
          <c:showLegendKey val="0"/>
          <c:showVal val="0"/>
          <c:showCatName val="0"/>
          <c:showSerName val="0"/>
          <c:showPercent val="0"/>
          <c:showBubbleSize val="0"/>
        </c:dLbls>
        <c:marker val="1"/>
        <c:smooth val="0"/>
        <c:axId val="345824640"/>
        <c:axId val="345823104"/>
      </c:lineChart>
      <c:catAx>
        <c:axId val="345815680"/>
        <c:scaling>
          <c:orientation val="minMax"/>
        </c:scaling>
        <c:delete val="0"/>
        <c:axPos val="b"/>
        <c:numFmt formatCode="General" sourceLinked="1"/>
        <c:majorTickMark val="out"/>
        <c:minorTickMark val="none"/>
        <c:tickLblPos val="nextTo"/>
        <c:txPr>
          <a:bodyPr/>
          <a:lstStyle/>
          <a:p>
            <a:pPr>
              <a:defRPr sz="800"/>
            </a:pPr>
            <a:endParaRPr lang="es-BO"/>
          </a:p>
        </c:txPr>
        <c:crossAx val="345821568"/>
        <c:crosses val="autoZero"/>
        <c:auto val="1"/>
        <c:lblAlgn val="ctr"/>
        <c:lblOffset val="100"/>
        <c:noMultiLvlLbl val="0"/>
      </c:catAx>
      <c:valAx>
        <c:axId val="345821568"/>
        <c:scaling>
          <c:orientation val="minMax"/>
          <c:min val="1"/>
        </c:scaling>
        <c:delete val="0"/>
        <c:axPos val="l"/>
        <c:numFmt formatCode="#,##0.0" sourceLinked="1"/>
        <c:majorTickMark val="out"/>
        <c:minorTickMark val="none"/>
        <c:tickLblPos val="nextTo"/>
        <c:txPr>
          <a:bodyPr/>
          <a:lstStyle/>
          <a:p>
            <a:pPr>
              <a:defRPr sz="800"/>
            </a:pPr>
            <a:endParaRPr lang="es-BO"/>
          </a:p>
        </c:txPr>
        <c:crossAx val="345815680"/>
        <c:crosses val="autoZero"/>
        <c:crossBetween val="between"/>
        <c:majorUnit val="0.5"/>
      </c:valAx>
      <c:valAx>
        <c:axId val="345823104"/>
        <c:scaling>
          <c:orientation val="minMax"/>
        </c:scaling>
        <c:delete val="0"/>
        <c:axPos val="r"/>
        <c:numFmt formatCode="#,##0" sourceLinked="1"/>
        <c:majorTickMark val="out"/>
        <c:minorTickMark val="none"/>
        <c:tickLblPos val="nextTo"/>
        <c:txPr>
          <a:bodyPr/>
          <a:lstStyle/>
          <a:p>
            <a:pPr>
              <a:defRPr sz="800"/>
            </a:pPr>
            <a:endParaRPr lang="es-BO"/>
          </a:p>
        </c:txPr>
        <c:crossAx val="345824640"/>
        <c:crosses val="max"/>
        <c:crossBetween val="between"/>
      </c:valAx>
      <c:catAx>
        <c:axId val="345824640"/>
        <c:scaling>
          <c:orientation val="minMax"/>
        </c:scaling>
        <c:delete val="1"/>
        <c:axPos val="b"/>
        <c:majorTickMark val="out"/>
        <c:minorTickMark val="none"/>
        <c:tickLblPos val="none"/>
        <c:crossAx val="345823104"/>
        <c:crosses val="autoZero"/>
        <c:auto val="1"/>
        <c:lblAlgn val="ctr"/>
        <c:lblOffset val="100"/>
        <c:noMultiLvlLbl val="0"/>
      </c:catAx>
    </c:plotArea>
    <c:legend>
      <c:legendPos val="r"/>
      <c:layout>
        <c:manualLayout>
          <c:xMode val="edge"/>
          <c:yMode val="edge"/>
          <c:x val="0.13656337444294744"/>
          <c:y val="0.12976667354163868"/>
          <c:w val="0.69229642261562663"/>
          <c:h val="0.14740192284767645"/>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2"/>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316839239113091E-2"/>
          <c:y val="0.10536607333766022"/>
          <c:w val="0.90102554197797158"/>
          <c:h val="0.84840875934507465"/>
        </c:manualLayout>
      </c:layout>
      <c:barChart>
        <c:barDir val="col"/>
        <c:grouping val="clustered"/>
        <c:varyColors val="0"/>
        <c:ser>
          <c:idx val="1"/>
          <c:order val="1"/>
          <c:tx>
            <c:strRef>
              <c:f>'Cuadro SEFI'!$C$38</c:f>
              <c:strCache>
                <c:ptCount val="1"/>
                <c:pt idx="0">
                  <c:v>    Impulso fiscal (expansivo +)</c:v>
                </c:pt>
              </c:strCache>
            </c:strRef>
          </c:tx>
          <c:spPr>
            <a:solidFill>
              <a:schemeClr val="accent5">
                <a:lumMod val="75000"/>
              </a:schemeClr>
            </a:solidFill>
          </c:spPr>
          <c:invertIfNegative val="0"/>
          <c:cat>
            <c:strRef>
              <c:f>'Cuadro SEFI'!$D$3:$J$3</c:f>
              <c:strCache>
                <c:ptCount val="7"/>
                <c:pt idx="0">
                  <c:v>2008</c:v>
                </c:pt>
                <c:pt idx="1">
                  <c:v>2009</c:v>
                </c:pt>
                <c:pt idx="2">
                  <c:v>2010</c:v>
                </c:pt>
                <c:pt idx="3">
                  <c:v>2011</c:v>
                </c:pt>
                <c:pt idx="4">
                  <c:v>2012</c:v>
                </c:pt>
                <c:pt idx="5">
                  <c:v>2013</c:v>
                </c:pt>
                <c:pt idx="6">
                  <c:v>Base:
2014</c:v>
                </c:pt>
              </c:strCache>
            </c:strRef>
          </c:cat>
          <c:val>
            <c:numRef>
              <c:f>'Cuadro SEFI'!$E$38:$J$38</c:f>
              <c:numCache>
                <c:formatCode>0.0</c:formatCode>
                <c:ptCount val="6"/>
                <c:pt idx="0">
                  <c:v>3.3150567967736642</c:v>
                </c:pt>
                <c:pt idx="1">
                  <c:v>2.1839871212459983</c:v>
                </c:pt>
                <c:pt idx="2">
                  <c:v>-1.3266878106123474</c:v>
                </c:pt>
                <c:pt idx="3">
                  <c:v>0.91014216766532496</c:v>
                </c:pt>
                <c:pt idx="4">
                  <c:v>2.1537206280898973</c:v>
                </c:pt>
                <c:pt idx="5">
                  <c:v>2.9503059292843519</c:v>
                </c:pt>
              </c:numCache>
            </c:numRef>
          </c:val>
          <c:extLst>
            <c:ext xmlns:c16="http://schemas.microsoft.com/office/drawing/2014/chart" uri="{C3380CC4-5D6E-409C-BE32-E72D297353CC}">
              <c16:uniqueId val="{00000000-6788-47E7-B430-0FA3234B95F4}"/>
            </c:ext>
          </c:extLst>
        </c:ser>
        <c:dLbls>
          <c:showLegendKey val="0"/>
          <c:showVal val="0"/>
          <c:showCatName val="0"/>
          <c:showSerName val="0"/>
          <c:showPercent val="0"/>
          <c:showBubbleSize val="0"/>
        </c:dLbls>
        <c:gapWidth val="150"/>
        <c:axId val="347228032"/>
        <c:axId val="347229568"/>
      </c:barChart>
      <c:lineChart>
        <c:grouping val="standard"/>
        <c:varyColors val="0"/>
        <c:ser>
          <c:idx val="0"/>
          <c:order val="0"/>
          <c:tx>
            <c:strRef>
              <c:f>'Cuadro SEFI'!$C$7</c:f>
              <c:strCache>
                <c:ptCount val="1"/>
                <c:pt idx="0">
                  <c:v>Brecha del PIB (porcentaje del PIB potencial)</c:v>
                </c:pt>
              </c:strCache>
            </c:strRef>
          </c:tx>
          <c:spPr>
            <a:ln w="34925">
              <a:solidFill>
                <a:srgbClr val="FF0000"/>
              </a:solidFill>
            </a:ln>
          </c:spPr>
          <c:marker>
            <c:symbol val="none"/>
          </c:marker>
          <c:dPt>
            <c:idx val="4"/>
            <c:bubble3D val="0"/>
            <c:spPr>
              <a:ln w="28575">
                <a:solidFill>
                  <a:srgbClr val="FF0000"/>
                </a:solidFill>
              </a:ln>
            </c:spPr>
            <c:extLst>
              <c:ext xmlns:c16="http://schemas.microsoft.com/office/drawing/2014/chart" uri="{C3380CC4-5D6E-409C-BE32-E72D297353CC}">
                <c16:uniqueId val="{00000001-6788-47E7-B430-0FA3234B95F4}"/>
              </c:ext>
            </c:extLst>
          </c:dPt>
          <c:cat>
            <c:strRef>
              <c:f>'Cuadro SEFI'!$E$3:$J$3</c:f>
              <c:strCache>
                <c:ptCount val="6"/>
                <c:pt idx="0">
                  <c:v>2009</c:v>
                </c:pt>
                <c:pt idx="1">
                  <c:v>2010</c:v>
                </c:pt>
                <c:pt idx="2">
                  <c:v>2011</c:v>
                </c:pt>
                <c:pt idx="3">
                  <c:v>2012</c:v>
                </c:pt>
                <c:pt idx="4">
                  <c:v>2013</c:v>
                </c:pt>
                <c:pt idx="5">
                  <c:v>Base:
2014</c:v>
                </c:pt>
              </c:strCache>
            </c:strRef>
          </c:cat>
          <c:val>
            <c:numRef>
              <c:f>'Cuadro SEFI'!$E$7:$J$7</c:f>
              <c:numCache>
                <c:formatCode>0.0</c:formatCode>
                <c:ptCount val="6"/>
                <c:pt idx="0">
                  <c:v>-1.5797419566411386</c:v>
                </c:pt>
                <c:pt idx="1">
                  <c:v>-1.2262807984142379</c:v>
                </c:pt>
                <c:pt idx="2">
                  <c:v>-1.3561522298677944</c:v>
                </c:pt>
                <c:pt idx="3">
                  <c:v>0.27332419190744062</c:v>
                </c:pt>
                <c:pt idx="4">
                  <c:v>0.8113223736493943</c:v>
                </c:pt>
                <c:pt idx="5">
                  <c:v>1.2491751216486748</c:v>
                </c:pt>
              </c:numCache>
            </c:numRef>
          </c:val>
          <c:smooth val="0"/>
          <c:extLst>
            <c:ext xmlns:c16="http://schemas.microsoft.com/office/drawing/2014/chart" uri="{C3380CC4-5D6E-409C-BE32-E72D297353CC}">
              <c16:uniqueId val="{00000002-6788-47E7-B430-0FA3234B95F4}"/>
            </c:ext>
          </c:extLst>
        </c:ser>
        <c:dLbls>
          <c:showLegendKey val="0"/>
          <c:showVal val="0"/>
          <c:showCatName val="0"/>
          <c:showSerName val="0"/>
          <c:showPercent val="0"/>
          <c:showBubbleSize val="0"/>
        </c:dLbls>
        <c:marker val="1"/>
        <c:smooth val="0"/>
        <c:axId val="347228032"/>
        <c:axId val="347229568"/>
      </c:lineChart>
      <c:catAx>
        <c:axId val="347228032"/>
        <c:scaling>
          <c:orientation val="minMax"/>
        </c:scaling>
        <c:delete val="0"/>
        <c:axPos val="b"/>
        <c:numFmt formatCode="General" sourceLinked="1"/>
        <c:majorTickMark val="out"/>
        <c:minorTickMark val="none"/>
        <c:tickLblPos val="nextTo"/>
        <c:txPr>
          <a:bodyPr/>
          <a:lstStyle/>
          <a:p>
            <a:pPr>
              <a:defRPr sz="800"/>
            </a:pPr>
            <a:endParaRPr lang="es-BO"/>
          </a:p>
        </c:txPr>
        <c:crossAx val="347229568"/>
        <c:crosses val="autoZero"/>
        <c:auto val="1"/>
        <c:lblAlgn val="ctr"/>
        <c:lblOffset val="100"/>
        <c:noMultiLvlLbl val="0"/>
      </c:catAx>
      <c:valAx>
        <c:axId val="347229568"/>
        <c:scaling>
          <c:orientation val="minMax"/>
        </c:scaling>
        <c:delete val="0"/>
        <c:axPos val="l"/>
        <c:numFmt formatCode="0.0" sourceLinked="1"/>
        <c:majorTickMark val="out"/>
        <c:minorTickMark val="none"/>
        <c:tickLblPos val="nextTo"/>
        <c:txPr>
          <a:bodyPr/>
          <a:lstStyle/>
          <a:p>
            <a:pPr>
              <a:defRPr sz="800"/>
            </a:pPr>
            <a:endParaRPr lang="es-BO"/>
          </a:p>
        </c:txPr>
        <c:crossAx val="347228032"/>
        <c:crosses val="autoZero"/>
        <c:crossBetween val="between"/>
      </c:valAx>
    </c:plotArea>
    <c:legend>
      <c:legendPos val="b"/>
      <c:layout>
        <c:manualLayout>
          <c:xMode val="edge"/>
          <c:yMode val="edge"/>
          <c:x val="0.20086396140909571"/>
          <c:y val="0.12976667354163871"/>
          <c:w val="0.5"/>
          <c:h val="0.12964557311721953"/>
        </c:manualLayout>
      </c:layout>
      <c:overlay val="0"/>
      <c:spPr>
        <a:noFill/>
      </c:spPr>
      <c:txPr>
        <a:bodyPr/>
        <a:lstStyle/>
        <a:p>
          <a:pPr>
            <a:defRPr sz="800"/>
          </a:pPr>
          <a:endParaRPr lang="es-BO"/>
        </a:p>
      </c:txPr>
    </c:legend>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083296432037183E-2"/>
          <c:y val="0.11462495766215652"/>
          <c:w val="0.81497658730532607"/>
          <c:h val="0.75980260630821295"/>
        </c:manualLayout>
      </c:layout>
      <c:barChart>
        <c:barDir val="col"/>
        <c:grouping val="clustered"/>
        <c:varyColors val="0"/>
        <c:ser>
          <c:idx val="1"/>
          <c:order val="0"/>
          <c:tx>
            <c:strRef>
              <c:f>Gob_Stock_Ind!$C$10</c:f>
              <c:strCache>
                <c:ptCount val="1"/>
                <c:pt idx="0">
                  <c:v>General Government liabilities-to-GDP</c:v>
                </c:pt>
              </c:strCache>
            </c:strRef>
          </c:tx>
          <c:spPr>
            <a:solidFill>
              <a:srgbClr val="4BACC6">
                <a:lumMod val="75000"/>
              </a:srgbClr>
            </a:solidFill>
            <a:ln>
              <a:solidFill>
                <a:schemeClr val="lt1">
                  <a:shade val="50000"/>
                </a:schemeClr>
              </a:solidFill>
              <a:prstDash val="sysDash"/>
            </a:ln>
          </c:spPr>
          <c:invertIfNegative val="0"/>
          <c:cat>
            <c:numRef>
              <c:f>Gob_Stock_Ind!$F$3:$L$3</c:f>
              <c:numCache>
                <c:formatCode>General</c:formatCode>
                <c:ptCount val="3"/>
                <c:pt idx="0">
                  <c:v>2012</c:v>
                </c:pt>
                <c:pt idx="1">
                  <c:v>2013</c:v>
                </c:pt>
                <c:pt idx="2">
                  <c:v>2014</c:v>
                </c:pt>
              </c:numCache>
            </c:numRef>
          </c:cat>
          <c:val>
            <c:numRef>
              <c:f>Gob_Stock_Ind!$F$10:$L$10</c:f>
            </c:numRef>
          </c:val>
          <c:extLst>
            <c:ext xmlns:c16="http://schemas.microsoft.com/office/drawing/2014/chart" uri="{C3380CC4-5D6E-409C-BE32-E72D297353CC}">
              <c16:uniqueId val="{00000000-5BB0-472C-8849-4C7532728308}"/>
            </c:ext>
          </c:extLst>
        </c:ser>
        <c:dLbls>
          <c:showLegendKey val="0"/>
          <c:showVal val="0"/>
          <c:showCatName val="0"/>
          <c:showSerName val="0"/>
          <c:showPercent val="0"/>
          <c:showBubbleSize val="0"/>
        </c:dLbls>
        <c:gapWidth val="94"/>
        <c:overlap val="18"/>
        <c:axId val="347260416"/>
        <c:axId val="347261952"/>
      </c:barChart>
      <c:lineChart>
        <c:grouping val="standard"/>
        <c:varyColors val="0"/>
        <c:ser>
          <c:idx val="0"/>
          <c:order val="1"/>
          <c:tx>
            <c:v>Pasivos del GG (en miles de millones de moneda nacional)</c:v>
          </c:tx>
          <c:spPr>
            <a:ln>
              <a:solidFill>
                <a:srgbClr val="FFC000"/>
              </a:solidFill>
            </a:ln>
          </c:spPr>
          <c:marker>
            <c:symbol val="none"/>
          </c:marker>
          <c:cat>
            <c:numRef>
              <c:f>Gob_Stock_Ind!$F$3:$L$3</c:f>
              <c:numCache>
                <c:formatCode>General</c:formatCode>
                <c:ptCount val="3"/>
                <c:pt idx="0">
                  <c:v>2012</c:v>
                </c:pt>
                <c:pt idx="1">
                  <c:v>2013</c:v>
                </c:pt>
                <c:pt idx="2">
                  <c:v>2014</c:v>
                </c:pt>
              </c:numCache>
            </c:numRef>
          </c:cat>
          <c:val>
            <c:numRef>
              <c:f>Gob_Stock_Ind!$F$27:$L$27</c:f>
              <c:numCache>
                <c:formatCode>#,##0</c:formatCode>
                <c:ptCount val="3"/>
                <c:pt idx="0">
                  <c:v>8169.4070366247106</c:v>
                </c:pt>
                <c:pt idx="1">
                  <c:v>9764.2951572229558</c:v>
                </c:pt>
                <c:pt idx="2">
                  <c:v>12815.963816139956</c:v>
                </c:pt>
              </c:numCache>
            </c:numRef>
          </c:val>
          <c:smooth val="0"/>
          <c:extLst>
            <c:ext xmlns:c16="http://schemas.microsoft.com/office/drawing/2014/chart" uri="{C3380CC4-5D6E-409C-BE32-E72D297353CC}">
              <c16:uniqueId val="{00000001-5BB0-472C-8849-4C7532728308}"/>
            </c:ext>
          </c:extLst>
        </c:ser>
        <c:dLbls>
          <c:showLegendKey val="0"/>
          <c:showVal val="0"/>
          <c:showCatName val="0"/>
          <c:showSerName val="0"/>
          <c:showPercent val="0"/>
          <c:showBubbleSize val="0"/>
        </c:dLbls>
        <c:marker val="1"/>
        <c:smooth val="0"/>
        <c:axId val="347371776"/>
        <c:axId val="347370240"/>
      </c:lineChart>
      <c:catAx>
        <c:axId val="347260416"/>
        <c:scaling>
          <c:orientation val="minMax"/>
        </c:scaling>
        <c:delete val="0"/>
        <c:axPos val="b"/>
        <c:numFmt formatCode="General" sourceLinked="1"/>
        <c:majorTickMark val="out"/>
        <c:minorTickMark val="none"/>
        <c:tickLblPos val="nextTo"/>
        <c:txPr>
          <a:bodyPr/>
          <a:lstStyle/>
          <a:p>
            <a:pPr>
              <a:defRPr sz="800"/>
            </a:pPr>
            <a:endParaRPr lang="es-BO"/>
          </a:p>
        </c:txPr>
        <c:crossAx val="347261952"/>
        <c:crosses val="autoZero"/>
        <c:auto val="1"/>
        <c:lblAlgn val="ctr"/>
        <c:lblOffset val="100"/>
        <c:noMultiLvlLbl val="0"/>
      </c:catAx>
      <c:valAx>
        <c:axId val="347261952"/>
        <c:scaling>
          <c:orientation val="minMax"/>
        </c:scaling>
        <c:delete val="0"/>
        <c:axPos val="l"/>
        <c:numFmt formatCode="#,##0.0" sourceLinked="1"/>
        <c:majorTickMark val="out"/>
        <c:minorTickMark val="none"/>
        <c:tickLblPos val="nextTo"/>
        <c:txPr>
          <a:bodyPr/>
          <a:lstStyle/>
          <a:p>
            <a:pPr>
              <a:defRPr sz="800"/>
            </a:pPr>
            <a:endParaRPr lang="es-BO"/>
          </a:p>
        </c:txPr>
        <c:crossAx val="347260416"/>
        <c:crosses val="autoZero"/>
        <c:crossBetween val="between"/>
      </c:valAx>
      <c:valAx>
        <c:axId val="347370240"/>
        <c:scaling>
          <c:orientation val="minMax"/>
        </c:scaling>
        <c:delete val="0"/>
        <c:axPos val="r"/>
        <c:numFmt formatCode="#,##0" sourceLinked="1"/>
        <c:majorTickMark val="out"/>
        <c:minorTickMark val="none"/>
        <c:tickLblPos val="nextTo"/>
        <c:txPr>
          <a:bodyPr/>
          <a:lstStyle/>
          <a:p>
            <a:pPr>
              <a:defRPr sz="800"/>
            </a:pPr>
            <a:endParaRPr lang="es-BO"/>
          </a:p>
        </c:txPr>
        <c:crossAx val="347371776"/>
        <c:crosses val="max"/>
        <c:crossBetween val="between"/>
      </c:valAx>
      <c:catAx>
        <c:axId val="347371776"/>
        <c:scaling>
          <c:orientation val="minMax"/>
        </c:scaling>
        <c:delete val="1"/>
        <c:axPos val="b"/>
        <c:numFmt formatCode="General" sourceLinked="1"/>
        <c:majorTickMark val="out"/>
        <c:minorTickMark val="none"/>
        <c:tickLblPos val="none"/>
        <c:crossAx val="347370240"/>
        <c:crosses val="autoZero"/>
        <c:auto val="1"/>
        <c:lblAlgn val="ctr"/>
        <c:lblOffset val="100"/>
        <c:noMultiLvlLbl val="0"/>
      </c:catAx>
    </c:plotArea>
    <c:legend>
      <c:legendPos val="r"/>
      <c:layout>
        <c:manualLayout>
          <c:xMode val="edge"/>
          <c:yMode val="edge"/>
          <c:x val="9.0183627130460992E-2"/>
          <c:y val="9.1317288788560547E-2"/>
          <c:w val="0.29823863047512661"/>
          <c:h val="0.24352538473037608"/>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36183153059754E-2"/>
          <c:y val="0.18123723972059597"/>
          <c:w val="0.88894742640516955"/>
          <c:h val="0.68080407177865421"/>
        </c:manualLayout>
      </c:layout>
      <c:lineChart>
        <c:grouping val="standard"/>
        <c:varyColors val="0"/>
        <c:ser>
          <c:idx val="0"/>
          <c:order val="0"/>
          <c:tx>
            <c:v>Tasa de política monetaria</c:v>
          </c:tx>
          <c:spPr>
            <a:ln w="28575">
              <a:solidFill>
                <a:schemeClr val="tx1"/>
              </a:solidFill>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SEFI'!$D$46:$J$46</c:f>
              <c:numCache>
                <c:formatCode>0.00</c:formatCode>
                <c:ptCount val="7"/>
                <c:pt idx="0">
                  <c:v>7.9574999999999996</c:v>
                </c:pt>
                <c:pt idx="1">
                  <c:v>9.5399999999999991</c:v>
                </c:pt>
                <c:pt idx="2">
                  <c:v>8.2550000000000008</c:v>
                </c:pt>
                <c:pt idx="3">
                  <c:v>5.6416666666666702</c:v>
                </c:pt>
                <c:pt idx="4" formatCode="0.0">
                  <c:v>5</c:v>
                </c:pt>
                <c:pt idx="5" formatCode="0.0">
                  <c:v>8.8660414593936352</c:v>
                </c:pt>
                <c:pt idx="6" formatCode="0.0">
                  <c:v>9.6716905157123403</c:v>
                </c:pt>
              </c:numCache>
            </c:numRef>
          </c:val>
          <c:smooth val="0"/>
          <c:extLst>
            <c:ext xmlns:c16="http://schemas.microsoft.com/office/drawing/2014/chart" uri="{C3380CC4-5D6E-409C-BE32-E72D297353CC}">
              <c16:uniqueId val="{00000000-2FA8-4D34-AD01-BACB9769265B}"/>
            </c:ext>
          </c:extLst>
        </c:ser>
        <c:ser>
          <c:idx val="1"/>
          <c:order val="1"/>
          <c:tx>
            <c:v>Tasa interbancaria, promedio</c:v>
          </c:tx>
          <c:spPr>
            <a:ln>
              <a:solidFill>
                <a:srgbClr val="FF0000"/>
              </a:solidFill>
              <a:prstDash val="sysDash"/>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SEFI'!$D$47:$J$47</c:f>
              <c:numCache>
                <c:formatCode>0.00</c:formatCode>
                <c:ptCount val="7"/>
                <c:pt idx="0">
                  <c:v>11.5</c:v>
                </c:pt>
                <c:pt idx="1">
                  <c:v>8.25</c:v>
                </c:pt>
                <c:pt idx="2">
                  <c:v>8</c:v>
                </c:pt>
                <c:pt idx="3">
                  <c:v>8</c:v>
                </c:pt>
                <c:pt idx="4" formatCode="0.0">
                  <c:v>9.25</c:v>
                </c:pt>
                <c:pt idx="5" formatCode="0.0">
                  <c:v>12.2</c:v>
                </c:pt>
                <c:pt idx="6" formatCode="0.0">
                  <c:v>14.67169051571234</c:v>
                </c:pt>
              </c:numCache>
            </c:numRef>
          </c:val>
          <c:smooth val="0"/>
          <c:extLst>
            <c:ext xmlns:c16="http://schemas.microsoft.com/office/drawing/2014/chart" uri="{C3380CC4-5D6E-409C-BE32-E72D297353CC}">
              <c16:uniqueId val="{00000001-2FA8-4D34-AD01-BACB9769265B}"/>
            </c:ext>
          </c:extLst>
        </c:ser>
        <c:dLbls>
          <c:showLegendKey val="0"/>
          <c:showVal val="0"/>
          <c:showCatName val="0"/>
          <c:showSerName val="0"/>
          <c:showPercent val="0"/>
          <c:showBubbleSize val="0"/>
        </c:dLbls>
        <c:smooth val="0"/>
        <c:axId val="347393024"/>
        <c:axId val="347296512"/>
      </c:lineChart>
      <c:catAx>
        <c:axId val="347393024"/>
        <c:scaling>
          <c:orientation val="minMax"/>
        </c:scaling>
        <c:delete val="0"/>
        <c:axPos val="b"/>
        <c:numFmt formatCode="General" sourceLinked="1"/>
        <c:majorTickMark val="out"/>
        <c:minorTickMark val="none"/>
        <c:tickLblPos val="nextTo"/>
        <c:txPr>
          <a:bodyPr/>
          <a:lstStyle/>
          <a:p>
            <a:pPr>
              <a:defRPr sz="800"/>
            </a:pPr>
            <a:endParaRPr lang="es-BO"/>
          </a:p>
        </c:txPr>
        <c:crossAx val="347296512"/>
        <c:crosses val="autoZero"/>
        <c:auto val="1"/>
        <c:lblAlgn val="ctr"/>
        <c:lblOffset val="100"/>
        <c:noMultiLvlLbl val="0"/>
      </c:catAx>
      <c:valAx>
        <c:axId val="347296512"/>
        <c:scaling>
          <c:orientation val="minMax"/>
        </c:scaling>
        <c:delete val="0"/>
        <c:axPos val="l"/>
        <c:numFmt formatCode="0.00" sourceLinked="1"/>
        <c:majorTickMark val="out"/>
        <c:minorTickMark val="none"/>
        <c:tickLblPos val="nextTo"/>
        <c:txPr>
          <a:bodyPr/>
          <a:lstStyle/>
          <a:p>
            <a:pPr>
              <a:defRPr sz="800"/>
            </a:pPr>
            <a:endParaRPr lang="es-BO"/>
          </a:p>
        </c:txPr>
        <c:crossAx val="347393024"/>
        <c:crosses val="autoZero"/>
        <c:crossBetween val="between"/>
      </c:valAx>
    </c:plotArea>
    <c:legend>
      <c:legendPos val="r"/>
      <c:layout>
        <c:manualLayout>
          <c:xMode val="edge"/>
          <c:yMode val="edge"/>
          <c:x val="0.14320826706667047"/>
          <c:y val="0.65880148791673487"/>
          <c:w val="0.52887343372909712"/>
          <c:h val="0.12983678958942949"/>
        </c:manualLayout>
      </c:layout>
      <c:overlay val="0"/>
      <c:spPr>
        <a:noFill/>
      </c:spPr>
      <c:txPr>
        <a:bodyPr/>
        <a:lstStyle/>
        <a:p>
          <a:pPr>
            <a:defRPr sz="800"/>
          </a:pPr>
          <a:endParaRPr lang="es-BO"/>
        </a:p>
      </c:txPr>
    </c:legend>
    <c:plotVisOnly val="1"/>
    <c:dispBlanksAs val="gap"/>
    <c:showDLblsOverMax val="0"/>
  </c:chart>
  <c:spPr>
    <a:ln w="9525">
      <a:noFill/>
    </a:ln>
  </c:spPr>
  <c:printSettings>
    <c:headerFooter/>
    <c:pageMargins b="0.75000000000000999" l="0.70000000000000062" r="0.70000000000000062" t="0.75000000000000999" header="0.30000000000000032" footer="0.30000000000000032"/>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36916684724748"/>
          <c:y val="0.19632990026244734"/>
          <c:w val="0.86197321436985352"/>
          <c:h val="0.66367914442552289"/>
        </c:manualLayout>
      </c:layout>
      <c:lineChart>
        <c:grouping val="standard"/>
        <c:varyColors val="0"/>
        <c:ser>
          <c:idx val="4"/>
          <c:order val="0"/>
          <c:tx>
            <c:v>Dinero en sentido amplio (crecimiento, en porcentaje)</c:v>
          </c:tx>
          <c:spPr>
            <a:ln>
              <a:solidFill>
                <a:schemeClr val="tx1"/>
              </a:solidFill>
            </a:ln>
          </c:spPr>
          <c:marker>
            <c:symbol val="none"/>
          </c:marker>
          <c:cat>
            <c:strRef>
              <c:f>'Cuadro SEFI'!$D$3:$J$3</c:f>
              <c:strCache>
                <c:ptCount val="7"/>
                <c:pt idx="0">
                  <c:v>2008</c:v>
                </c:pt>
                <c:pt idx="1">
                  <c:v>2009</c:v>
                </c:pt>
                <c:pt idx="2">
                  <c:v>2010</c:v>
                </c:pt>
                <c:pt idx="3">
                  <c:v>2011</c:v>
                </c:pt>
                <c:pt idx="4">
                  <c:v>2012</c:v>
                </c:pt>
                <c:pt idx="5">
                  <c:v>2013</c:v>
                </c:pt>
                <c:pt idx="6">
                  <c:v>Base:
2014</c:v>
                </c:pt>
              </c:strCache>
            </c:strRef>
          </c:cat>
          <c:val>
            <c:numRef>
              <c:f>'Cuadro SEFI'!$D$43:$J$43</c:f>
              <c:numCache>
                <c:formatCode>0.0</c:formatCode>
                <c:ptCount val="7"/>
                <c:pt idx="0">
                  <c:v>17.401568400401462</c:v>
                </c:pt>
                <c:pt idx="1">
                  <c:v>8.0332619156457756</c:v>
                </c:pt>
                <c:pt idx="2">
                  <c:v>0.79500650702062026</c:v>
                </c:pt>
                <c:pt idx="3">
                  <c:v>7.3200398965608784</c:v>
                </c:pt>
                <c:pt idx="4">
                  <c:v>9.1000000000001737</c:v>
                </c:pt>
                <c:pt idx="5">
                  <c:v>9.0006393646420495</c:v>
                </c:pt>
                <c:pt idx="6">
                  <c:v>8.1977180652962218</c:v>
                </c:pt>
              </c:numCache>
            </c:numRef>
          </c:val>
          <c:smooth val="0"/>
          <c:extLst>
            <c:ext xmlns:c16="http://schemas.microsoft.com/office/drawing/2014/chart" uri="{C3380CC4-5D6E-409C-BE32-E72D297353CC}">
              <c16:uniqueId val="{00000000-BD7C-4499-BCF3-759644CA37D3}"/>
            </c:ext>
          </c:extLst>
        </c:ser>
        <c:ser>
          <c:idx val="0"/>
          <c:order val="1"/>
          <c:tx>
            <c:v>Crecimiento del crédito del sector privado (porcentaje, interanual)</c:v>
          </c:tx>
          <c:marker>
            <c:symbol val="none"/>
          </c:marker>
          <c:val>
            <c:numRef>
              <c:f>'Cuadro SEFI'!$D$44:$J$44</c:f>
              <c:numCache>
                <c:formatCode>0.0</c:formatCode>
                <c:ptCount val="7"/>
                <c:pt idx="0">
                  <c:v>31.618641837669053</c:v>
                </c:pt>
                <c:pt idx="1">
                  <c:v>5.2990319807857693</c:v>
                </c:pt>
                <c:pt idx="2">
                  <c:v>4.9429232491799615</c:v>
                </c:pt>
                <c:pt idx="3">
                  <c:v>12.39287832682068</c:v>
                </c:pt>
                <c:pt idx="4">
                  <c:v>8.0410538882814411</c:v>
                </c:pt>
                <c:pt idx="5">
                  <c:v>6.8386354631617987</c:v>
                </c:pt>
                <c:pt idx="6">
                  <c:v>2.9443062548665204</c:v>
                </c:pt>
              </c:numCache>
            </c:numRef>
          </c:val>
          <c:smooth val="0"/>
          <c:extLst>
            <c:ext xmlns:c16="http://schemas.microsoft.com/office/drawing/2014/chart" uri="{C3380CC4-5D6E-409C-BE32-E72D297353CC}">
              <c16:uniqueId val="{00000001-BD7C-4499-BCF3-759644CA37D3}"/>
            </c:ext>
          </c:extLst>
        </c:ser>
        <c:dLbls>
          <c:showLegendKey val="0"/>
          <c:showVal val="0"/>
          <c:showCatName val="0"/>
          <c:showSerName val="0"/>
          <c:showPercent val="0"/>
          <c:showBubbleSize val="0"/>
        </c:dLbls>
        <c:smooth val="0"/>
        <c:axId val="347315200"/>
        <c:axId val="347339776"/>
      </c:lineChart>
      <c:catAx>
        <c:axId val="347315200"/>
        <c:scaling>
          <c:orientation val="minMax"/>
        </c:scaling>
        <c:delete val="0"/>
        <c:axPos val="b"/>
        <c:numFmt formatCode="General" sourceLinked="1"/>
        <c:majorTickMark val="out"/>
        <c:minorTickMark val="none"/>
        <c:tickLblPos val="nextTo"/>
        <c:txPr>
          <a:bodyPr/>
          <a:lstStyle/>
          <a:p>
            <a:pPr>
              <a:defRPr sz="800"/>
            </a:pPr>
            <a:endParaRPr lang="es-BO"/>
          </a:p>
        </c:txPr>
        <c:crossAx val="347339776"/>
        <c:crosses val="autoZero"/>
        <c:auto val="1"/>
        <c:lblAlgn val="ctr"/>
        <c:lblOffset val="100"/>
        <c:noMultiLvlLbl val="0"/>
      </c:catAx>
      <c:valAx>
        <c:axId val="347339776"/>
        <c:scaling>
          <c:orientation val="minMax"/>
        </c:scaling>
        <c:delete val="0"/>
        <c:axPos val="l"/>
        <c:numFmt formatCode="0.0" sourceLinked="1"/>
        <c:majorTickMark val="out"/>
        <c:minorTickMark val="none"/>
        <c:tickLblPos val="nextTo"/>
        <c:txPr>
          <a:bodyPr/>
          <a:lstStyle/>
          <a:p>
            <a:pPr>
              <a:defRPr sz="800"/>
            </a:pPr>
            <a:endParaRPr lang="es-BO"/>
          </a:p>
        </c:txPr>
        <c:crossAx val="347315200"/>
        <c:crosses val="autoZero"/>
        <c:crossBetween val="between"/>
      </c:valAx>
    </c:plotArea>
    <c:legend>
      <c:legendPos val="r"/>
      <c:layout>
        <c:manualLayout>
          <c:xMode val="edge"/>
          <c:yMode val="edge"/>
          <c:x val="0.17976097381735268"/>
          <c:y val="0.20666544304779494"/>
          <c:w val="0.73746007593815655"/>
          <c:h val="0.12337105737700266"/>
        </c:manualLayout>
      </c:layout>
      <c:overlay val="0"/>
      <c:spPr>
        <a:noFill/>
      </c:spPr>
      <c:txPr>
        <a:bodyPr/>
        <a:lstStyle/>
        <a:p>
          <a:pPr>
            <a:defRPr sz="800"/>
          </a:pPr>
          <a:endParaRPr lang="es-BO"/>
        </a:p>
      </c:txPr>
    </c:legend>
    <c:plotVisOnly val="1"/>
    <c:dispBlanksAs val="gap"/>
    <c:showDLblsOverMax val="0"/>
  </c:chart>
  <c:spPr>
    <a:ln w="9525">
      <a:noFill/>
    </a:ln>
  </c:spPr>
  <c:txPr>
    <a:bodyPr/>
    <a:lstStyle/>
    <a:p>
      <a:pPr>
        <a:defRPr sz="1200"/>
      </a:pPr>
      <a:endParaRPr lang="es-BO"/>
    </a:p>
  </c:txPr>
  <c:printSettings>
    <c:headerFooter/>
    <c:pageMargins b="0.75000000000000999" l="0.70000000000000062" r="0.70000000000000062" t="0.75000000000000999"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2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38.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vmlDrawing3.v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15.emf"/><Relationship Id="rId1" Type="http://schemas.openxmlformats.org/officeDocument/2006/relationships/image" Target="../media/image14.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6</xdr:col>
      <xdr:colOff>575018</xdr:colOff>
      <xdr:row>20</xdr:row>
      <xdr:rowOff>27535</xdr:rowOff>
    </xdr:from>
    <xdr:to>
      <xdr:col>6</xdr:col>
      <xdr:colOff>575378</xdr:colOff>
      <xdr:row>20</xdr:row>
      <xdr:rowOff>27895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 5">
              <a:extLst>
                <a:ext uri="{FF2B5EF4-FFF2-40B4-BE49-F238E27FC236}">
                  <a16:creationId xmlns:a16="http://schemas.microsoft.com/office/drawing/2014/main" id="{00000000-0008-0000-0300-000006000000}"/>
                </a:ext>
              </a:extLst>
            </xdr14:cNvPr>
            <xdr14:cNvContentPartPr/>
          </xdr14:nvContentPartPr>
          <xdr14:nvPr macro=""/>
          <xdr14:xfrm>
            <a:off x="5001545" y="3359553"/>
            <a:ext cx="360" cy="360"/>
          </xdr14:xfrm>
        </xdr:contentPart>
      </mc:Choice>
      <mc:Fallback xmlns="">
        <xdr:pic>
          <xdr:nvPicPr>
            <xdr:cNvPr id="6" name="Ink 5"/>
            <xdr:cNvPicPr/>
          </xdr:nvPicPr>
          <xdr:blipFill>
            <a:blip xmlns:r="http://schemas.openxmlformats.org/officeDocument/2006/relationships" r:embed="rId2"/>
            <a:stretch>
              <a:fillRect/>
            </a:stretch>
          </xdr:blipFill>
          <xdr:spPr>
            <a:xfrm>
              <a:off x="4986425" y="3344433"/>
              <a:ext cx="30600" cy="30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495300</xdr:colOff>
      <xdr:row>23</xdr:row>
      <xdr:rowOff>9525</xdr:rowOff>
    </xdr:from>
    <xdr:to>
      <xdr:col>19</xdr:col>
      <xdr:colOff>57150</xdr:colOff>
      <xdr:row>37</xdr:row>
      <xdr:rowOff>152400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40</xdr:row>
      <xdr:rowOff>0</xdr:rowOff>
    </xdr:from>
    <xdr:to>
      <xdr:col>26</xdr:col>
      <xdr:colOff>373591</xdr:colOff>
      <xdr:row>59</xdr:row>
      <xdr:rowOff>158750</xdr:rowOff>
    </xdr:to>
    <xdr:pic>
      <xdr:nvPicPr>
        <xdr:cNvPr id="3" name="Picture 5">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020300" y="7715250"/>
          <a:ext cx="8974666" cy="3778250"/>
        </a:xfrm>
        <a:prstGeom prst="rect">
          <a:avLst/>
        </a:prstGeom>
        <a:noFill/>
        <a:ln w="1">
          <a:noFill/>
          <a:miter lim="800000"/>
          <a:headEnd/>
          <a:tailEnd type="none" w="med" len="med"/>
        </a:ln>
        <a:effectLst/>
      </xdr:spPr>
    </xdr:pic>
    <xdr:clientData/>
  </xdr:twoCellAnchor>
  <xdr:twoCellAnchor>
    <xdr:from>
      <xdr:col>11</xdr:col>
      <xdr:colOff>504825</xdr:colOff>
      <xdr:row>6</xdr:row>
      <xdr:rowOff>28575</xdr:rowOff>
    </xdr:from>
    <xdr:to>
      <xdr:col>19</xdr:col>
      <xdr:colOff>66675</xdr:colOff>
      <xdr:row>20</xdr:row>
      <xdr:rowOff>19050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0.15208</cdr:x>
      <cdr:y>0.05085</cdr:y>
    </cdr:from>
    <cdr:to>
      <cdr:x>0.86667</cdr:x>
      <cdr:y>0.15593</cdr:y>
    </cdr:to>
    <cdr:sp macro="" textlink="">
      <cdr:nvSpPr>
        <cdr:cNvPr id="2" name="TextBox 1"/>
        <cdr:cNvSpPr txBox="1"/>
      </cdr:nvSpPr>
      <cdr:spPr>
        <a:xfrm xmlns:a="http://schemas.openxmlformats.org/drawingml/2006/main">
          <a:off x="695325" y="142875"/>
          <a:ext cx="326707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ES" sz="1100" b="1"/>
            <a:t>producto tendencia</a:t>
          </a:r>
          <a:r>
            <a:rPr lang="es-ES" sz="1100" b="1" baseline="0"/>
            <a:t>l </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0</xdr:colOff>
      <xdr:row>39</xdr:row>
      <xdr:rowOff>0</xdr:rowOff>
    </xdr:from>
    <xdr:to>
      <xdr:col>14</xdr:col>
      <xdr:colOff>571500</xdr:colOff>
      <xdr:row>63</xdr:row>
      <xdr:rowOff>9525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39</xdr:row>
      <xdr:rowOff>0</xdr:rowOff>
    </xdr:from>
    <xdr:to>
      <xdr:col>4</xdr:col>
      <xdr:colOff>323850</xdr:colOff>
      <xdr:row>63</xdr:row>
      <xdr:rowOff>9525</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64</xdr:row>
      <xdr:rowOff>0</xdr:rowOff>
    </xdr:from>
    <xdr:to>
      <xdr:col>4</xdr:col>
      <xdr:colOff>323850</xdr:colOff>
      <xdr:row>88</xdr:row>
      <xdr:rowOff>9525</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64</xdr:row>
      <xdr:rowOff>0</xdr:rowOff>
    </xdr:from>
    <xdr:to>
      <xdr:col>14</xdr:col>
      <xdr:colOff>571500</xdr:colOff>
      <xdr:row>88</xdr:row>
      <xdr:rowOff>9525</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885825</xdr:colOff>
      <xdr:row>43</xdr:row>
      <xdr:rowOff>142875</xdr:rowOff>
    </xdr:from>
    <xdr:to>
      <xdr:col>5</xdr:col>
      <xdr:colOff>628650</xdr:colOff>
      <xdr:row>60</xdr:row>
      <xdr:rowOff>57150</xdr:rowOff>
    </xdr:to>
    <xdr:graphicFrame macro="">
      <xdr:nvGraphicFramePr>
        <xdr:cNvPr id="9" name="Chart 8">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504825</xdr:colOff>
      <xdr:row>82</xdr:row>
      <xdr:rowOff>66675</xdr:rowOff>
    </xdr:from>
    <xdr:to>
      <xdr:col>8</xdr:col>
      <xdr:colOff>57150</xdr:colOff>
      <xdr:row>83</xdr:row>
      <xdr:rowOff>104775</xdr:rowOff>
    </xdr:to>
    <xdr:pic>
      <xdr:nvPicPr>
        <xdr:cNvPr id="110728" name="Picture 136">
          <a:extLst>
            <a:ext uri="{FF2B5EF4-FFF2-40B4-BE49-F238E27FC236}">
              <a16:creationId xmlns:a16="http://schemas.microsoft.com/office/drawing/2014/main" id="{00000000-0008-0000-0E00-000088B001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96275" y="27660600"/>
          <a:ext cx="209550" cy="228600"/>
        </a:xfrm>
        <a:prstGeom prst="rect">
          <a:avLst/>
        </a:prstGeom>
        <a:solidFill>
          <a:srgbClr val="FFFFFF"/>
        </a:solidFill>
        <a:ln w="9525">
          <a:solidFill>
            <a:srgbClr val="000000"/>
          </a:solidFill>
          <a:miter lim="800000"/>
          <a:headEnd/>
          <a:tailEnd/>
        </a:ln>
      </xdr:spPr>
    </xdr:pic>
    <xdr:clientData/>
  </xdr:twoCellAnchor>
  <xdr:twoCellAnchor editAs="oneCell">
    <xdr:from>
      <xdr:col>7</xdr:col>
      <xdr:colOff>257175</xdr:colOff>
      <xdr:row>84</xdr:row>
      <xdr:rowOff>28575</xdr:rowOff>
    </xdr:from>
    <xdr:to>
      <xdr:col>7</xdr:col>
      <xdr:colOff>371475</xdr:colOff>
      <xdr:row>85</xdr:row>
      <xdr:rowOff>76200</xdr:rowOff>
    </xdr:to>
    <xdr:pic>
      <xdr:nvPicPr>
        <xdr:cNvPr id="110729" name="Picture 137">
          <a:extLst>
            <a:ext uri="{FF2B5EF4-FFF2-40B4-BE49-F238E27FC236}">
              <a16:creationId xmlns:a16="http://schemas.microsoft.com/office/drawing/2014/main" id="{00000000-0008-0000-0E00-000089B001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48625" y="28003500"/>
          <a:ext cx="114300" cy="238125"/>
        </a:xfrm>
        <a:prstGeom prst="rect">
          <a:avLst/>
        </a:prstGeom>
        <a:solidFill>
          <a:srgbClr val="FFFFFF"/>
        </a:solidFill>
        <a:ln w="9525">
          <a:solidFill>
            <a:srgbClr val="000000"/>
          </a:solid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4</xdr:col>
          <xdr:colOff>561975</xdr:colOff>
          <xdr:row>84</xdr:row>
          <xdr:rowOff>28575</xdr:rowOff>
        </xdr:from>
        <xdr:to>
          <xdr:col>6</xdr:col>
          <xdr:colOff>647700</xdr:colOff>
          <xdr:row>85</xdr:row>
          <xdr:rowOff>76200</xdr:rowOff>
        </xdr:to>
        <xdr:sp macro="" textlink="">
          <xdr:nvSpPr>
            <xdr:cNvPr id="110695" name="Object 103" hidden="1">
              <a:extLst>
                <a:ext uri="{63B3BB69-23CF-44E3-9099-C40C66FF867C}">
                  <a14:compatExt spid="_x0000_s110695"/>
                </a:ext>
                <a:ext uri="{FF2B5EF4-FFF2-40B4-BE49-F238E27FC236}">
                  <a16:creationId xmlns:a16="http://schemas.microsoft.com/office/drawing/2014/main" id="{00000000-0008-0000-0E00-000067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82</xdr:row>
          <xdr:rowOff>152400</xdr:rowOff>
        </xdr:from>
        <xdr:to>
          <xdr:col>5</xdr:col>
          <xdr:colOff>76200</xdr:colOff>
          <xdr:row>84</xdr:row>
          <xdr:rowOff>19050</xdr:rowOff>
        </xdr:to>
        <xdr:sp macro="" textlink="">
          <xdr:nvSpPr>
            <xdr:cNvPr id="110696" name="Object 104" hidden="1">
              <a:extLst>
                <a:ext uri="{63B3BB69-23CF-44E3-9099-C40C66FF867C}">
                  <a14:compatExt spid="_x0000_s110696"/>
                </a:ext>
                <a:ext uri="{FF2B5EF4-FFF2-40B4-BE49-F238E27FC236}">
                  <a16:creationId xmlns:a16="http://schemas.microsoft.com/office/drawing/2014/main" id="{00000000-0008-0000-0E00-000068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238125</xdr:colOff>
          <xdr:row>82</xdr:row>
          <xdr:rowOff>152400</xdr:rowOff>
        </xdr:from>
        <xdr:to>
          <xdr:col>5</xdr:col>
          <xdr:colOff>447675</xdr:colOff>
          <xdr:row>84</xdr:row>
          <xdr:rowOff>0</xdr:rowOff>
        </xdr:to>
        <xdr:sp macro="" textlink="">
          <xdr:nvSpPr>
            <xdr:cNvPr id="110697" name="Object 105" hidden="1">
              <a:extLst>
                <a:ext uri="{63B3BB69-23CF-44E3-9099-C40C66FF867C}">
                  <a14:compatExt spid="_x0000_s110697"/>
                </a:ext>
                <a:ext uri="{FF2B5EF4-FFF2-40B4-BE49-F238E27FC236}">
                  <a16:creationId xmlns:a16="http://schemas.microsoft.com/office/drawing/2014/main" id="{00000000-0008-0000-0E00-000069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638175</xdr:colOff>
          <xdr:row>82</xdr:row>
          <xdr:rowOff>180975</xdr:rowOff>
        </xdr:from>
        <xdr:to>
          <xdr:col>6</xdr:col>
          <xdr:colOff>752475</xdr:colOff>
          <xdr:row>84</xdr:row>
          <xdr:rowOff>38100</xdr:rowOff>
        </xdr:to>
        <xdr:sp macro="" textlink="">
          <xdr:nvSpPr>
            <xdr:cNvPr id="110698" name="Object 106" hidden="1">
              <a:extLst>
                <a:ext uri="{63B3BB69-23CF-44E3-9099-C40C66FF867C}">
                  <a14:compatExt spid="_x0000_s110698"/>
                </a:ext>
                <a:ext uri="{FF2B5EF4-FFF2-40B4-BE49-F238E27FC236}">
                  <a16:creationId xmlns:a16="http://schemas.microsoft.com/office/drawing/2014/main" id="{00000000-0008-0000-0E00-00006A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704850</xdr:colOff>
          <xdr:row>82</xdr:row>
          <xdr:rowOff>114300</xdr:rowOff>
        </xdr:from>
        <xdr:to>
          <xdr:col>6</xdr:col>
          <xdr:colOff>561975</xdr:colOff>
          <xdr:row>83</xdr:row>
          <xdr:rowOff>123825</xdr:rowOff>
        </xdr:to>
        <xdr:sp macro="" textlink="">
          <xdr:nvSpPr>
            <xdr:cNvPr id="110699" name="Object 107" hidden="1">
              <a:extLst>
                <a:ext uri="{63B3BB69-23CF-44E3-9099-C40C66FF867C}">
                  <a14:compatExt spid="_x0000_s110699"/>
                </a:ext>
                <a:ext uri="{FF2B5EF4-FFF2-40B4-BE49-F238E27FC236}">
                  <a16:creationId xmlns:a16="http://schemas.microsoft.com/office/drawing/2014/main" id="{00000000-0008-0000-0E00-00006B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819150</xdr:colOff>
          <xdr:row>96</xdr:row>
          <xdr:rowOff>180975</xdr:rowOff>
        </xdr:from>
        <xdr:to>
          <xdr:col>1</xdr:col>
          <xdr:colOff>3314700</xdr:colOff>
          <xdr:row>98</xdr:row>
          <xdr:rowOff>57150</xdr:rowOff>
        </xdr:to>
        <xdr:sp macro="" textlink="">
          <xdr:nvSpPr>
            <xdr:cNvPr id="110700" name="Object 108" hidden="1">
              <a:extLst>
                <a:ext uri="{63B3BB69-23CF-44E3-9099-C40C66FF867C}">
                  <a14:compatExt spid="_x0000_s110700"/>
                </a:ext>
                <a:ext uri="{FF2B5EF4-FFF2-40B4-BE49-F238E27FC236}">
                  <a16:creationId xmlns:a16="http://schemas.microsoft.com/office/drawing/2014/main" id="{00000000-0008-0000-0E00-00006C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914400</xdr:colOff>
          <xdr:row>85</xdr:row>
          <xdr:rowOff>85725</xdr:rowOff>
        </xdr:from>
        <xdr:to>
          <xdr:col>4</xdr:col>
          <xdr:colOff>266700</xdr:colOff>
          <xdr:row>86</xdr:row>
          <xdr:rowOff>133350</xdr:rowOff>
        </xdr:to>
        <xdr:sp macro="" textlink="">
          <xdr:nvSpPr>
            <xdr:cNvPr id="110703" name="Object 111" hidden="1">
              <a:extLst>
                <a:ext uri="{63B3BB69-23CF-44E3-9099-C40C66FF867C}">
                  <a14:compatExt spid="_x0000_s110703"/>
                </a:ext>
                <a:ext uri="{FF2B5EF4-FFF2-40B4-BE49-F238E27FC236}">
                  <a16:creationId xmlns:a16="http://schemas.microsoft.com/office/drawing/2014/main" id="{00000000-0008-0000-0E00-00006F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1038225</xdr:colOff>
          <xdr:row>94</xdr:row>
          <xdr:rowOff>95250</xdr:rowOff>
        </xdr:from>
        <xdr:to>
          <xdr:col>2</xdr:col>
          <xdr:colOff>19050</xdr:colOff>
          <xdr:row>95</xdr:row>
          <xdr:rowOff>180975</xdr:rowOff>
        </xdr:to>
        <xdr:sp macro="" textlink="">
          <xdr:nvSpPr>
            <xdr:cNvPr id="110710" name="Object 118" hidden="1">
              <a:extLst>
                <a:ext uri="{63B3BB69-23CF-44E3-9099-C40C66FF867C}">
                  <a14:compatExt spid="_x0000_s110710"/>
                </a:ext>
                <a:ext uri="{FF2B5EF4-FFF2-40B4-BE49-F238E27FC236}">
                  <a16:creationId xmlns:a16="http://schemas.microsoft.com/office/drawing/2014/main" id="{00000000-0008-0000-0E00-000076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1162050</xdr:colOff>
          <xdr:row>90</xdr:row>
          <xdr:rowOff>104775</xdr:rowOff>
        </xdr:from>
        <xdr:to>
          <xdr:col>1</xdr:col>
          <xdr:colOff>2638425</xdr:colOff>
          <xdr:row>91</xdr:row>
          <xdr:rowOff>152400</xdr:rowOff>
        </xdr:to>
        <xdr:sp macro="" textlink="">
          <xdr:nvSpPr>
            <xdr:cNvPr id="110713" name="Object 121" hidden="1">
              <a:extLst>
                <a:ext uri="{63B3BB69-23CF-44E3-9099-C40C66FF867C}">
                  <a14:compatExt spid="_x0000_s110713"/>
                </a:ext>
                <a:ext uri="{FF2B5EF4-FFF2-40B4-BE49-F238E27FC236}">
                  <a16:creationId xmlns:a16="http://schemas.microsoft.com/office/drawing/2014/main" id="{00000000-0008-0000-0E00-000079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82</xdr:row>
          <xdr:rowOff>104775</xdr:rowOff>
        </xdr:from>
        <xdr:to>
          <xdr:col>7</xdr:col>
          <xdr:colOff>371475</xdr:colOff>
          <xdr:row>83</xdr:row>
          <xdr:rowOff>161925</xdr:rowOff>
        </xdr:to>
        <xdr:sp macro="" textlink="">
          <xdr:nvSpPr>
            <xdr:cNvPr id="110727" name="Object 135" hidden="1">
              <a:extLst>
                <a:ext uri="{63B3BB69-23CF-44E3-9099-C40C66FF867C}">
                  <a14:compatExt spid="_x0000_s110727"/>
                </a:ext>
                <a:ext uri="{FF2B5EF4-FFF2-40B4-BE49-F238E27FC236}">
                  <a16:creationId xmlns:a16="http://schemas.microsoft.com/office/drawing/2014/main" id="{00000000-0008-0000-0E00-000087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190500</xdr:colOff>
          <xdr:row>83</xdr:row>
          <xdr:rowOff>66675</xdr:rowOff>
        </xdr:from>
        <xdr:to>
          <xdr:col>9</xdr:col>
          <xdr:colOff>133350</xdr:colOff>
          <xdr:row>84</xdr:row>
          <xdr:rowOff>76200</xdr:rowOff>
        </xdr:to>
        <xdr:sp macro="" textlink="">
          <xdr:nvSpPr>
            <xdr:cNvPr id="110730" name="Object 138" hidden="1">
              <a:extLst>
                <a:ext uri="{63B3BB69-23CF-44E3-9099-C40C66FF867C}">
                  <a14:compatExt spid="_x0000_s110730"/>
                </a:ext>
                <a:ext uri="{FF2B5EF4-FFF2-40B4-BE49-F238E27FC236}">
                  <a16:creationId xmlns:a16="http://schemas.microsoft.com/office/drawing/2014/main" id="{00000000-0008-0000-0E00-00008A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762000</xdr:colOff>
          <xdr:row>87</xdr:row>
          <xdr:rowOff>57150</xdr:rowOff>
        </xdr:from>
        <xdr:to>
          <xdr:col>8</xdr:col>
          <xdr:colOff>38100</xdr:colOff>
          <xdr:row>88</xdr:row>
          <xdr:rowOff>104775</xdr:rowOff>
        </xdr:to>
        <xdr:sp macro="" textlink="">
          <xdr:nvSpPr>
            <xdr:cNvPr id="110731" name="Object 139" hidden="1">
              <a:extLst>
                <a:ext uri="{63B3BB69-23CF-44E3-9099-C40C66FF867C}">
                  <a14:compatExt spid="_x0000_s110731"/>
                </a:ext>
                <a:ext uri="{FF2B5EF4-FFF2-40B4-BE49-F238E27FC236}">
                  <a16:creationId xmlns:a16="http://schemas.microsoft.com/office/drawing/2014/main" id="{00000000-0008-0000-0E00-00008B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88</xdr:row>
          <xdr:rowOff>9525</xdr:rowOff>
        </xdr:from>
        <xdr:to>
          <xdr:col>1</xdr:col>
          <xdr:colOff>3295650</xdr:colOff>
          <xdr:row>89</xdr:row>
          <xdr:rowOff>76200</xdr:rowOff>
        </xdr:to>
        <xdr:sp macro="" textlink="">
          <xdr:nvSpPr>
            <xdr:cNvPr id="110732" name="Object 140" hidden="1">
              <a:extLst>
                <a:ext uri="{63B3BB69-23CF-44E3-9099-C40C66FF867C}">
                  <a14:compatExt spid="_x0000_s110732"/>
                </a:ext>
                <a:ext uri="{FF2B5EF4-FFF2-40B4-BE49-F238E27FC236}">
                  <a16:creationId xmlns:a16="http://schemas.microsoft.com/office/drawing/2014/main" id="{00000000-0008-0000-0E00-00008C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933450</xdr:colOff>
          <xdr:row>83</xdr:row>
          <xdr:rowOff>57150</xdr:rowOff>
        </xdr:from>
        <xdr:to>
          <xdr:col>3</xdr:col>
          <xdr:colOff>619125</xdr:colOff>
          <xdr:row>84</xdr:row>
          <xdr:rowOff>123825</xdr:rowOff>
        </xdr:to>
        <xdr:sp macro="" textlink="">
          <xdr:nvSpPr>
            <xdr:cNvPr id="110733" name="Object 141" hidden="1">
              <a:extLst>
                <a:ext uri="{63B3BB69-23CF-44E3-9099-C40C66FF867C}">
                  <a14:compatExt spid="_x0000_s110733"/>
                </a:ext>
                <a:ext uri="{FF2B5EF4-FFF2-40B4-BE49-F238E27FC236}">
                  <a16:creationId xmlns:a16="http://schemas.microsoft.com/office/drawing/2014/main" id="{00000000-0008-0000-0E00-00008DB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xdr:col>
      <xdr:colOff>2190750</xdr:colOff>
      <xdr:row>43</xdr:row>
      <xdr:rowOff>180975</xdr:rowOff>
    </xdr:from>
    <xdr:to>
      <xdr:col>4</xdr:col>
      <xdr:colOff>38100</xdr:colOff>
      <xdr:row>45</xdr:row>
      <xdr:rowOff>104775</xdr:rowOff>
    </xdr:to>
    <xdr:sp macro="" textlink="">
      <xdr:nvSpPr>
        <xdr:cNvPr id="20" name="TextBox 19">
          <a:extLst>
            <a:ext uri="{FF2B5EF4-FFF2-40B4-BE49-F238E27FC236}">
              <a16:creationId xmlns:a16="http://schemas.microsoft.com/office/drawing/2014/main" id="{00000000-0008-0000-0E00-000014000000}"/>
            </a:ext>
          </a:extLst>
        </xdr:cNvPr>
        <xdr:cNvSpPr txBox="1"/>
      </xdr:nvSpPr>
      <xdr:spPr>
        <a:xfrm>
          <a:off x="2190750" y="8743950"/>
          <a:ext cx="282892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Tipo de cambio real en Macronia:</a:t>
          </a:r>
          <a:r>
            <a:rPr lang="en-US" sz="1100" baseline="0"/>
            <a:t> 2009-2014</a:t>
          </a:r>
          <a:endParaRPr lang="en-US"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0.07599</cdr:x>
      <cdr:y>0.92226</cdr:y>
    </cdr:from>
    <cdr:to>
      <cdr:x>0.4573</cdr:x>
      <cdr:y>0.99283</cdr:y>
    </cdr:to>
    <cdr:sp macro="" textlink="">
      <cdr:nvSpPr>
        <cdr:cNvPr id="2" name="TextBox 1"/>
        <cdr:cNvSpPr txBox="1"/>
      </cdr:nvSpPr>
      <cdr:spPr>
        <a:xfrm xmlns:a="http://schemas.openxmlformats.org/drawingml/2006/main">
          <a:off x="406773" y="2907685"/>
          <a:ext cx="2041152" cy="2224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a:t>1/ aumento = depreciación</a:t>
          </a:r>
        </a:p>
      </cdr:txBody>
    </cdr:sp>
  </cdr:relSizeAnchor>
  <cdr:relSizeAnchor xmlns:cdr="http://schemas.openxmlformats.org/drawingml/2006/chartDrawing">
    <cdr:from>
      <cdr:x>0.17231</cdr:x>
      <cdr:y>0.12322</cdr:y>
    </cdr:from>
    <cdr:to>
      <cdr:x>0.88064</cdr:x>
      <cdr:y>0.38016</cdr:y>
    </cdr:to>
    <cdr:sp macro="" textlink="">
      <cdr:nvSpPr>
        <cdr:cNvPr id="4" name="TextBox 3"/>
        <cdr:cNvSpPr txBox="1"/>
      </cdr:nvSpPr>
      <cdr:spPr>
        <a:xfrm xmlns:a="http://schemas.openxmlformats.org/drawingml/2006/main">
          <a:off x="817364" y="369699"/>
          <a:ext cx="3359928" cy="7709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000" i="1">
              <a:latin typeface="+mn-lt"/>
              <a:ea typeface="+mn-ea"/>
              <a:cs typeface="+mn-cs"/>
            </a:rPr>
            <a:t>La tendencia de apreciación observada en el tipo de cambio real </a:t>
          </a:r>
          <a:r>
            <a:rPr lang="es-ES" sz="1000" i="1" baseline="0">
              <a:latin typeface="+mn-lt"/>
              <a:ea typeface="+mn-ea"/>
              <a:cs typeface="+mn-cs"/>
            </a:rPr>
            <a:t>se modera una vez que </a:t>
          </a:r>
          <a:r>
            <a:rPr lang="es-ES" sz="1000" i="1">
              <a:latin typeface="+mn-lt"/>
              <a:ea typeface="+mn-ea"/>
              <a:cs typeface="+mn-cs"/>
            </a:rPr>
            <a:t>se agota </a:t>
          </a:r>
          <a:r>
            <a:rPr lang="es-ES" sz="1000" i="1" baseline="0">
              <a:latin typeface="+mn-lt"/>
              <a:ea typeface="+mn-ea"/>
              <a:cs typeface="+mn-cs"/>
            </a:rPr>
            <a:t>el impulso </a:t>
          </a:r>
          <a:r>
            <a:rPr lang="es-ES" sz="1000" i="1">
              <a:latin typeface="+mn-lt"/>
              <a:ea typeface="+mn-ea"/>
              <a:cs typeface="+mn-cs"/>
            </a:rPr>
            <a:t>inicial al crecimiento de la productividad </a:t>
          </a:r>
          <a:r>
            <a:rPr lang="es-ES" sz="1000" i="1" baseline="0">
              <a:latin typeface="+mn-lt"/>
              <a:ea typeface="+mn-ea"/>
              <a:cs typeface="+mn-cs"/>
            </a:rPr>
            <a:t>de los últimos años. </a:t>
          </a:r>
        </a:p>
      </cdr:txBody>
    </cdr:sp>
  </cdr:relSizeAnchor>
  <cdr:relSizeAnchor xmlns:cdr="http://schemas.openxmlformats.org/drawingml/2006/chartDrawing">
    <cdr:from>
      <cdr:x>0.22691</cdr:x>
      <cdr:y>0</cdr:y>
    </cdr:from>
    <cdr:to>
      <cdr:x>0.78985</cdr:x>
      <cdr:y>0.07925</cdr:y>
    </cdr:to>
    <cdr:pic>
      <cdr:nvPicPr>
        <cdr:cNvPr id="5" name="chart">
          <a:extLst xmlns:a="http://schemas.openxmlformats.org/drawingml/2006/main">
            <a:ext uri="{FF2B5EF4-FFF2-40B4-BE49-F238E27FC236}">
              <a16:creationId xmlns:a16="http://schemas.microsoft.com/office/drawing/2014/main" id="{07D4B891-96DF-4409-A4BF-D765F6C3934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076325" y="0"/>
          <a:ext cx="2670279" cy="23776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52</xdr:row>
      <xdr:rowOff>0</xdr:rowOff>
    </xdr:from>
    <xdr:to>
      <xdr:col>4</xdr:col>
      <xdr:colOff>171450</xdr:colOff>
      <xdr:row>76</xdr:row>
      <xdr:rowOff>9525</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52</xdr:row>
      <xdr:rowOff>0</xdr:rowOff>
    </xdr:from>
    <xdr:to>
      <xdr:col>13</xdr:col>
      <xdr:colOff>571500</xdr:colOff>
      <xdr:row>76</xdr:row>
      <xdr:rowOff>9525</xdr:rowOff>
    </xdr:to>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38100</xdr:colOff>
      <xdr:row>8</xdr:row>
      <xdr:rowOff>133350</xdr:rowOff>
    </xdr:from>
    <xdr:to>
      <xdr:col>26</xdr:col>
      <xdr:colOff>1119</xdr:colOff>
      <xdr:row>48</xdr:row>
      <xdr:rowOff>87406</xdr:rowOff>
    </xdr:to>
    <xdr:pic>
      <xdr:nvPicPr>
        <xdr:cNvPr id="321537" name="Picture 1">
          <a:extLst>
            <a:ext uri="{FF2B5EF4-FFF2-40B4-BE49-F238E27FC236}">
              <a16:creationId xmlns:a16="http://schemas.microsoft.com/office/drawing/2014/main" id="{00000000-0008-0000-1800-000001E804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582525" y="2352675"/>
          <a:ext cx="6877049" cy="8096250"/>
        </a:xfrm>
        <a:prstGeom prst="rect">
          <a:avLst/>
        </a:prstGeom>
        <a:noFill/>
        <a:ln w="1">
          <a:noFill/>
          <a:miter lim="800000"/>
          <a:headEnd/>
          <a:tailEnd type="none" w="med" len="med"/>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39</xdr:row>
      <xdr:rowOff>123825</xdr:rowOff>
    </xdr:from>
    <xdr:to>
      <xdr:col>3</xdr:col>
      <xdr:colOff>533400</xdr:colOff>
      <xdr:row>60</xdr:row>
      <xdr:rowOff>9525</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39</xdr:row>
      <xdr:rowOff>95250</xdr:rowOff>
    </xdr:from>
    <xdr:to>
      <xdr:col>12</xdr:col>
      <xdr:colOff>476250</xdr:colOff>
      <xdr:row>60</xdr:row>
      <xdr:rowOff>9525</xdr:rowOff>
    </xdr:to>
    <xdr:graphicFrame macro="">
      <xdr:nvGraphicFramePr>
        <xdr:cNvPr id="3" name="Chart 2">
          <a:extLst>
            <a:ext uri="{FF2B5EF4-FFF2-40B4-BE49-F238E27FC236}">
              <a16:creationId xmlns:a16="http://schemas.microsoft.com/office/drawing/2014/main" id="{00000000-0008-0000-1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62</xdr:row>
      <xdr:rowOff>76200</xdr:rowOff>
    </xdr:from>
    <xdr:to>
      <xdr:col>3</xdr:col>
      <xdr:colOff>400050</xdr:colOff>
      <xdr:row>85</xdr:row>
      <xdr:rowOff>9525</xdr:rowOff>
    </xdr:to>
    <xdr:graphicFrame macro="">
      <xdr:nvGraphicFramePr>
        <xdr:cNvPr id="4" name="Chart 3">
          <a:extLst>
            <a:ext uri="{FF2B5EF4-FFF2-40B4-BE49-F238E27FC236}">
              <a16:creationId xmlns:a16="http://schemas.microsoft.com/office/drawing/2014/main" id="{00000000-0008-0000-1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0.08511</cdr:x>
      <cdr:y>0.01663</cdr:y>
    </cdr:from>
    <cdr:to>
      <cdr:x>0.89499</cdr:x>
      <cdr:y>0.13513</cdr:y>
    </cdr:to>
    <cdr:sp macro="" textlink="">
      <cdr:nvSpPr>
        <cdr:cNvPr id="2" name="Text Box 1"/>
        <cdr:cNvSpPr txBox="1">
          <a:spLocks xmlns:a="http://schemas.openxmlformats.org/drawingml/2006/main" noChangeArrowheads="1"/>
        </cdr:cNvSpPr>
      </cdr:nvSpPr>
      <cdr:spPr bwMode="auto">
        <a:xfrm xmlns:a="http://schemas.openxmlformats.org/drawingml/2006/main">
          <a:off x="495299" y="76199"/>
          <a:ext cx="4713317" cy="54292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54864" tIns="41148" rIns="0" bIns="0" anchor="t" upright="1">
          <a:noAutofit/>
        </a:bodyPr>
        <a:lstStyle xmlns:a="http://schemas.openxmlformats.org/drawingml/2006/main"/>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sz="1000"/>
          </a:pPr>
          <a:r>
            <a:rPr lang="es-ES" sz="1400" b="1" i="0" u="none" strike="noStrike" baseline="0">
              <a:solidFill>
                <a:srgbClr val="4B82AD"/>
              </a:solidFill>
              <a:latin typeface="Segoe UI"/>
              <a:ea typeface="+mn-ea"/>
              <a:cs typeface="Arial"/>
            </a:rPr>
            <a:t>Indicadores de deuda del gobierno general, </a:t>
          </a:r>
        </a:p>
        <a:p xmlns:a="http://schemas.openxmlformats.org/drawingml/2006/main">
          <a:pPr algn="ctr">
            <a:defRPr sz="1000"/>
          </a:pPr>
          <a:r>
            <a:rPr lang="es-ES" sz="1400" b="1" i="0" u="none" strike="noStrike" baseline="0">
              <a:solidFill>
                <a:srgbClr val="4B82AD"/>
              </a:solidFill>
              <a:latin typeface="Segoe UI"/>
              <a:ea typeface="+mn-ea"/>
              <a:cs typeface="Arial"/>
            </a:rPr>
            <a:t>(en porcentaje)</a:t>
          </a:r>
        </a:p>
      </cdr:txBody>
    </cdr:sp>
  </cdr:relSizeAnchor>
  <cdr:relSizeAnchor xmlns:cdr="http://schemas.openxmlformats.org/drawingml/2006/chartDrawing">
    <cdr:from>
      <cdr:x>0.04276</cdr:x>
      <cdr:y>0.92491</cdr:y>
    </cdr:from>
    <cdr:to>
      <cdr:x>0.0507</cdr:x>
      <cdr:y>1</cdr:y>
    </cdr:to>
    <cdr:sp macro="" textlink="">
      <cdr:nvSpPr>
        <cdr:cNvPr id="3" name="Text Box 4"/>
        <cdr:cNvSpPr txBox="1">
          <a:spLocks xmlns:a="http://schemas.openxmlformats.org/drawingml/2006/main" noChangeArrowheads="1"/>
        </cdr:cNvSpPr>
      </cdr:nvSpPr>
      <cdr:spPr bwMode="auto">
        <a:xfrm xmlns:a="http://schemas.openxmlformats.org/drawingml/2006/main">
          <a:off x="248854" y="4330916"/>
          <a:ext cx="46231" cy="34400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36576" rIns="0" bIns="0" anchor="t" upright="1">
          <a:spAutoFit/>
        </a:bodyPr>
        <a:lstStyle xmlns:a="http://schemas.openxmlformats.org/drawingml/2006/main"/>
        <a:p xmlns:a="http://schemas.openxmlformats.org/drawingml/2006/main">
          <a:pPr algn="l" rtl="0">
            <a:defRPr sz="1000"/>
          </a:pPr>
          <a:endParaRPr lang="en-US" sz="1800" b="0" i="0" u="none" strike="noStrike" baseline="0">
            <a:solidFill>
              <a:srgbClr val="000000"/>
            </a:solidFill>
            <a:latin typeface="Segoe UI"/>
            <a:cs typeface="Arial"/>
          </a:endParaRPr>
        </a:p>
      </cdr:txBody>
    </cdr:sp>
  </cdr:relSizeAnchor>
  <cdr:relSizeAnchor xmlns:cdr="http://schemas.openxmlformats.org/drawingml/2006/chartDrawing">
    <cdr:from>
      <cdr:x>0.8289</cdr:x>
      <cdr:y>0.11954</cdr:y>
    </cdr:from>
    <cdr:to>
      <cdr:x>0.90875</cdr:x>
      <cdr:y>0.75884</cdr:y>
    </cdr:to>
    <cdr:sp macro="" textlink="">
      <cdr:nvSpPr>
        <cdr:cNvPr id="4" name="Rectangle 3"/>
        <cdr:cNvSpPr/>
      </cdr:nvSpPr>
      <cdr:spPr>
        <a:xfrm xmlns:a="http://schemas.openxmlformats.org/drawingml/2006/main">
          <a:off x="5191125" y="547687"/>
          <a:ext cx="500062" cy="2928938"/>
        </a:xfrm>
        <a:prstGeom xmlns:a="http://schemas.openxmlformats.org/drawingml/2006/main" prst="rect">
          <a:avLst/>
        </a:prstGeom>
        <a:solidFill xmlns:a="http://schemas.openxmlformats.org/drawingml/2006/main">
          <a:schemeClr val="accent1">
            <a:alpha val="25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0</xdr:colOff>
          <xdr:row>49</xdr:row>
          <xdr:rowOff>76200</xdr:rowOff>
        </xdr:from>
        <xdr:to>
          <xdr:col>20</xdr:col>
          <xdr:colOff>85725</xdr:colOff>
          <xdr:row>51</xdr:row>
          <xdr:rowOff>123825</xdr:rowOff>
        </xdr:to>
        <xdr:sp macro="" textlink="">
          <xdr:nvSpPr>
            <xdr:cNvPr id="871426" name="Object 2" hidden="1">
              <a:extLst>
                <a:ext uri="{63B3BB69-23CF-44E3-9099-C40C66FF867C}">
                  <a14:compatExt spid="_x0000_s871426"/>
                </a:ext>
                <a:ext uri="{FF2B5EF4-FFF2-40B4-BE49-F238E27FC236}">
                  <a16:creationId xmlns:a16="http://schemas.microsoft.com/office/drawing/2014/main" id="{00000000-0008-0000-1B00-0000024C0D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55</xdr:row>
          <xdr:rowOff>114300</xdr:rowOff>
        </xdr:from>
        <xdr:to>
          <xdr:col>21</xdr:col>
          <xdr:colOff>190500</xdr:colOff>
          <xdr:row>58</xdr:row>
          <xdr:rowOff>19050</xdr:rowOff>
        </xdr:to>
        <xdr:sp macro="" textlink="">
          <xdr:nvSpPr>
            <xdr:cNvPr id="871429" name="Object 5" hidden="1">
              <a:extLst>
                <a:ext uri="{63B3BB69-23CF-44E3-9099-C40C66FF867C}">
                  <a14:compatExt spid="_x0000_s871429"/>
                </a:ext>
                <a:ext uri="{FF2B5EF4-FFF2-40B4-BE49-F238E27FC236}">
                  <a16:creationId xmlns:a16="http://schemas.microsoft.com/office/drawing/2014/main" id="{00000000-0008-0000-1B00-0000054C0D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104775</xdr:colOff>
          <xdr:row>15</xdr:row>
          <xdr:rowOff>66675</xdr:rowOff>
        </xdr:from>
        <xdr:to>
          <xdr:col>7</xdr:col>
          <xdr:colOff>371475</xdr:colOff>
          <xdr:row>17</xdr:row>
          <xdr:rowOff>123825</xdr:rowOff>
        </xdr:to>
        <xdr:sp macro="" textlink="">
          <xdr:nvSpPr>
            <xdr:cNvPr id="386049" name="Object 1" hidden="1">
              <a:extLst>
                <a:ext uri="{63B3BB69-23CF-44E3-9099-C40C66FF867C}">
                  <a14:compatExt spid="_x0000_s386049"/>
                </a:ext>
                <a:ext uri="{FF2B5EF4-FFF2-40B4-BE49-F238E27FC236}">
                  <a16:creationId xmlns:a16="http://schemas.microsoft.com/office/drawing/2014/main" id="{00000000-0008-0000-2000-000001E40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xdr:from>
      <xdr:col>1</xdr:col>
      <xdr:colOff>0</xdr:colOff>
      <xdr:row>45</xdr:row>
      <xdr:rowOff>0</xdr:rowOff>
    </xdr:from>
    <xdr:to>
      <xdr:col>4</xdr:col>
      <xdr:colOff>400050</xdr:colOff>
      <xdr:row>69</xdr:row>
      <xdr:rowOff>9525</xdr:rowOff>
    </xdr:to>
    <xdr:graphicFrame macro="">
      <xdr:nvGraphicFramePr>
        <xdr:cNvPr id="3" name="Chart 2">
          <a:extLst>
            <a:ext uri="{FF2B5EF4-FFF2-40B4-BE49-F238E27FC236}">
              <a16:creationId xmlns:a16="http://schemas.microsoft.com/office/drawing/2014/main" id="{00000000-0008-0000-2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45</xdr:row>
      <xdr:rowOff>0</xdr:rowOff>
    </xdr:from>
    <xdr:to>
      <xdr:col>14</xdr:col>
      <xdr:colOff>571500</xdr:colOff>
      <xdr:row>69</xdr:row>
      <xdr:rowOff>9525</xdr:rowOff>
    </xdr:to>
    <xdr:graphicFrame macro="">
      <xdr:nvGraphicFramePr>
        <xdr:cNvPr id="4" name="Chart 3">
          <a:extLst>
            <a:ext uri="{FF2B5EF4-FFF2-40B4-BE49-F238E27FC236}">
              <a16:creationId xmlns:a16="http://schemas.microsoft.com/office/drawing/2014/main" id="{00000000-0008-0000-2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70</xdr:row>
      <xdr:rowOff>0</xdr:rowOff>
    </xdr:from>
    <xdr:to>
      <xdr:col>4</xdr:col>
      <xdr:colOff>400050</xdr:colOff>
      <xdr:row>96</xdr:row>
      <xdr:rowOff>85725</xdr:rowOff>
    </xdr:to>
    <xdr:graphicFrame macro="">
      <xdr:nvGraphicFramePr>
        <xdr:cNvPr id="5" name="Chart 4">
          <a:extLst>
            <a:ext uri="{FF2B5EF4-FFF2-40B4-BE49-F238E27FC236}">
              <a16:creationId xmlns:a16="http://schemas.microsoft.com/office/drawing/2014/main" id="{00000000-0008-0000-2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609599</xdr:colOff>
      <xdr:row>70</xdr:row>
      <xdr:rowOff>0</xdr:rowOff>
    </xdr:from>
    <xdr:to>
      <xdr:col>15</xdr:col>
      <xdr:colOff>47624</xdr:colOff>
      <xdr:row>94</xdr:row>
      <xdr:rowOff>133350</xdr:rowOff>
    </xdr:to>
    <xdr:graphicFrame macro="">
      <xdr:nvGraphicFramePr>
        <xdr:cNvPr id="7" name="Chart 6">
          <a:extLst>
            <a:ext uri="{FF2B5EF4-FFF2-40B4-BE49-F238E27FC236}">
              <a16:creationId xmlns:a16="http://schemas.microsoft.com/office/drawing/2014/main" id="{00000000-0008-0000-2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14</xdr:col>
      <xdr:colOff>25400</xdr:colOff>
      <xdr:row>0</xdr:row>
      <xdr:rowOff>0</xdr:rowOff>
    </xdr:from>
    <xdr:to>
      <xdr:col>141</xdr:col>
      <xdr:colOff>6350</xdr:colOff>
      <xdr:row>10</xdr:row>
      <xdr:rowOff>19050</xdr:rowOff>
    </xdr:to>
    <xdr:sp macro="" textlink="">
      <xdr:nvSpPr>
        <xdr:cNvPr id="2" name="Header">
          <a:extLst>
            <a:ext uri="{FF2B5EF4-FFF2-40B4-BE49-F238E27FC236}">
              <a16:creationId xmlns:a16="http://schemas.microsoft.com/office/drawing/2014/main" id="{00000000-0008-0000-2A00-000002000000}"/>
            </a:ext>
          </a:extLst>
        </xdr:cNvPr>
        <xdr:cNvSpPr txBox="1"/>
      </xdr:nvSpPr>
      <xdr:spPr>
        <a:xfrm>
          <a:off x="825500" y="0"/>
          <a:ext cx="7239000" cy="400050"/>
        </a:xfrm>
        <a:prstGeom prst="rect">
          <a:avLst/>
        </a:prstGeom>
        <a:noFill/>
        <a:ln w="9525" cmpd="sng">
          <a:solidFill>
            <a:schemeClr val="bg1"/>
          </a:solid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s-ES" sz="1200" b="1" i="0">
              <a:solidFill>
                <a:schemeClr val="accent5"/>
              </a:solidFill>
              <a:latin typeface="Arial"/>
            </a:rPr>
            <a:t>Gráfico 1. Macronia, sector real, 2008-2013</a:t>
          </a:r>
        </a:p>
      </xdr:txBody>
    </xdr:sp>
    <xdr:clientData/>
  </xdr:twoCellAnchor>
  <xdr:twoCellAnchor editAs="absolute">
    <xdr:from>
      <xdr:col>3</xdr:col>
      <xdr:colOff>31750</xdr:colOff>
      <xdr:row>156</xdr:row>
      <xdr:rowOff>25400</xdr:rowOff>
    </xdr:from>
    <xdr:to>
      <xdr:col>127</xdr:col>
      <xdr:colOff>6350</xdr:colOff>
      <xdr:row>177</xdr:row>
      <xdr:rowOff>25400</xdr:rowOff>
    </xdr:to>
    <xdr:sp macro="" textlink="">
      <xdr:nvSpPr>
        <xdr:cNvPr id="3" name="Footer">
          <a:extLst>
            <a:ext uri="{FF2B5EF4-FFF2-40B4-BE49-F238E27FC236}">
              <a16:creationId xmlns:a16="http://schemas.microsoft.com/office/drawing/2014/main" id="{00000000-0008-0000-2A00-000003000000}"/>
            </a:ext>
          </a:extLst>
        </xdr:cNvPr>
        <xdr:cNvSpPr txBox="1"/>
      </xdr:nvSpPr>
      <xdr:spPr>
        <a:xfrm>
          <a:off x="203200" y="5969000"/>
          <a:ext cx="7061200" cy="8001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000" b="0" i="0">
              <a:latin typeface="Arial"/>
              <a:ea typeface="+mn-ea"/>
              <a:cs typeface="+mn-cs"/>
            </a:rPr>
            <a:t>Fuente: Autoridades de Macronia y cálculos del personal técnico del FMI.</a:t>
          </a: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xdr:txBody>
    </xdr:sp>
    <xdr:clientData/>
  </xdr:twoCellAnchor>
  <xdr:absoluteAnchor>
    <xdr:pos x="0" y="457200"/>
    <xdr:ext cx="4244086" cy="2642108"/>
    <xdr:graphicFrame macro="">
      <xdr:nvGraphicFramePr>
        <xdr:cNvPr id="4" name="Panel2 Chart 31">
          <a:extLst>
            <a:ext uri="{FF2B5EF4-FFF2-40B4-BE49-F238E27FC236}">
              <a16:creationId xmlns:a16="http://schemas.microsoft.com/office/drawing/2014/main" id="{00000000-0008-0000-2A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87312" y="3322637"/>
    <xdr:ext cx="4244086" cy="2642108"/>
    <xdr:graphicFrame macro="">
      <xdr:nvGraphicFramePr>
        <xdr:cNvPr id="5" name="Panel2 Chart 41">
          <a:extLst>
            <a:ext uri="{FF2B5EF4-FFF2-40B4-BE49-F238E27FC236}">
              <a16:creationId xmlns:a16="http://schemas.microsoft.com/office/drawing/2014/main" id="{00000000-0008-0000-2A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4476751" y="3354387"/>
    <xdr:ext cx="4244086" cy="2642108"/>
    <xdr:graphicFrame macro="">
      <xdr:nvGraphicFramePr>
        <xdr:cNvPr id="6" name="Panel2 Chart 51">
          <a:extLst>
            <a:ext uri="{FF2B5EF4-FFF2-40B4-BE49-F238E27FC236}">
              <a16:creationId xmlns:a16="http://schemas.microsoft.com/office/drawing/2014/main" id="{00000000-0008-0000-2A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4437063" y="457200"/>
    <xdr:ext cx="4239419" cy="2636996"/>
    <xdr:graphicFrame macro="">
      <xdr:nvGraphicFramePr>
        <xdr:cNvPr id="7" name="Panel2 Chart 61">
          <a:extLst>
            <a:ext uri="{FF2B5EF4-FFF2-40B4-BE49-F238E27FC236}">
              <a16:creationId xmlns:a16="http://schemas.microsoft.com/office/drawing/2014/main" id="{00000000-0008-0000-2A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xdr:from>
      <xdr:col>96</xdr:col>
      <xdr:colOff>6350</xdr:colOff>
      <xdr:row>129</xdr:row>
      <xdr:rowOff>30161</xdr:rowOff>
    </xdr:from>
    <xdr:to>
      <xdr:col>106</xdr:col>
      <xdr:colOff>30162</xdr:colOff>
      <xdr:row>134</xdr:row>
      <xdr:rowOff>6349</xdr:rowOff>
    </xdr:to>
    <xdr:sp macro="" textlink="">
      <xdr:nvSpPr>
        <xdr:cNvPr id="8" name="TextBox 7">
          <a:extLst>
            <a:ext uri="{FF2B5EF4-FFF2-40B4-BE49-F238E27FC236}">
              <a16:creationId xmlns:a16="http://schemas.microsoft.com/office/drawing/2014/main" id="{00000000-0008-0000-2A00-000008000000}"/>
            </a:ext>
          </a:extLst>
        </xdr:cNvPr>
        <xdr:cNvSpPr txBox="1"/>
      </xdr:nvSpPr>
      <xdr:spPr>
        <a:xfrm>
          <a:off x="5492750" y="4945061"/>
          <a:ext cx="595312" cy="16668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000"/>
            <a:t>2009</a:t>
          </a:r>
        </a:p>
      </xdr:txBody>
    </xdr:sp>
    <xdr:clientData/>
  </xdr:twoCellAnchor>
</xdr:wsDr>
</file>

<file path=xl/drawings/drawing14.xml><?xml version="1.0" encoding="utf-8"?>
<c:userShapes xmlns:c="http://schemas.openxmlformats.org/drawingml/2006/chart">
  <cdr:relSizeAnchor xmlns:cdr="http://schemas.openxmlformats.org/drawingml/2006/chartDrawing">
    <cdr:from>
      <cdr:x>0.08603</cdr:x>
      <cdr:y>0.01923</cdr:y>
    </cdr:from>
    <cdr:to>
      <cdr:x>0.97253</cdr:x>
      <cdr:y>0.22652</cdr:y>
    </cdr:to>
    <cdr:sp macro="" textlink="">
      <cdr:nvSpPr>
        <cdr:cNvPr id="2" name="TextBox 1"/>
        <cdr:cNvSpPr txBox="1"/>
      </cdr:nvSpPr>
      <cdr:spPr>
        <a:xfrm xmlns:a="http://schemas.openxmlformats.org/drawingml/2006/main">
          <a:off x="365124" y="50800"/>
          <a:ext cx="3762375" cy="5476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El crecimiento del PIB real en 2013 superó el potencial</a:t>
          </a:r>
          <a:r>
            <a:rPr lang="es-ES" sz="1100" i="1" baseline="0"/>
            <a:t>...</a:t>
          </a:r>
        </a:p>
      </cdr:txBody>
    </cdr:sp>
  </cdr:relSizeAnchor>
</c:userShapes>
</file>

<file path=xl/drawings/drawing15.xml><?xml version="1.0" encoding="utf-8"?>
<c:userShapes xmlns:c="http://schemas.openxmlformats.org/drawingml/2006/chart">
  <cdr:relSizeAnchor xmlns:cdr="http://schemas.openxmlformats.org/drawingml/2006/chartDrawing">
    <cdr:from>
      <cdr:x>0.1019</cdr:x>
      <cdr:y>0.5702</cdr:y>
    </cdr:from>
    <cdr:to>
      <cdr:x>0.99048</cdr:x>
      <cdr:y>0.75045</cdr:y>
    </cdr:to>
    <cdr:sp macro="" textlink="">
      <cdr:nvSpPr>
        <cdr:cNvPr id="2" name="Rectangle 1"/>
        <cdr:cNvSpPr/>
      </cdr:nvSpPr>
      <cdr:spPr>
        <a:xfrm xmlns:a="http://schemas.openxmlformats.org/drawingml/2006/main">
          <a:off x="432491" y="1506543"/>
          <a:ext cx="3771210" cy="476240"/>
        </a:xfrm>
        <a:prstGeom xmlns:a="http://schemas.openxmlformats.org/drawingml/2006/main" prst="rect">
          <a:avLst/>
        </a:prstGeom>
        <a:solidFill xmlns:a="http://schemas.openxmlformats.org/drawingml/2006/main">
          <a:schemeClr val="accent1">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sz="800"/>
        </a:p>
      </cdr:txBody>
    </cdr:sp>
  </cdr:relSizeAnchor>
  <cdr:relSizeAnchor xmlns:cdr="http://schemas.openxmlformats.org/drawingml/2006/chartDrawing">
    <cdr:from>
      <cdr:x>0.08603</cdr:x>
      <cdr:y>0.81234</cdr:y>
    </cdr:from>
    <cdr:to>
      <cdr:x>0.56295</cdr:x>
      <cdr:y>0.89646</cdr:y>
    </cdr:to>
    <cdr:sp macro="" textlink="">
      <cdr:nvSpPr>
        <cdr:cNvPr id="5" name="TextBox 4"/>
        <cdr:cNvSpPr txBox="1"/>
      </cdr:nvSpPr>
      <cdr:spPr>
        <a:xfrm xmlns:a="http://schemas.openxmlformats.org/drawingml/2006/main">
          <a:off x="365134" y="2146300"/>
          <a:ext cx="2024054"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Rango de meta de inflación:</a:t>
          </a:r>
          <a:r>
            <a:rPr lang="es-ES" sz="800" baseline="0"/>
            <a:t> 5% </a:t>
          </a:r>
          <a:r>
            <a:rPr lang="es-ES" sz="800"/>
            <a:t>+ o -2% </a:t>
          </a:r>
        </a:p>
      </cdr:txBody>
    </cdr:sp>
  </cdr:relSizeAnchor>
  <cdr:relSizeAnchor xmlns:cdr="http://schemas.openxmlformats.org/drawingml/2006/chartDrawing">
    <cdr:from>
      <cdr:x>0.11783</cdr:x>
      <cdr:y>0.02223</cdr:y>
    </cdr:from>
    <cdr:to>
      <cdr:x>0.95383</cdr:x>
      <cdr:y>0.18446</cdr:y>
    </cdr:to>
    <cdr:sp macro="" textlink="">
      <cdr:nvSpPr>
        <cdr:cNvPr id="4" name="TextBox 3"/>
        <cdr:cNvSpPr txBox="1"/>
      </cdr:nvSpPr>
      <cdr:spPr>
        <a:xfrm xmlns:a="http://schemas.openxmlformats.org/drawingml/2006/main">
          <a:off x="500063" y="58738"/>
          <a:ext cx="3548062"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0.08977</cdr:x>
      <cdr:y>0.02223</cdr:y>
    </cdr:from>
    <cdr:to>
      <cdr:x>0.92016</cdr:x>
      <cdr:y>0.11837</cdr:y>
    </cdr:to>
    <cdr:sp macro="" textlink="">
      <cdr:nvSpPr>
        <cdr:cNvPr id="6" name="TextBox 5"/>
        <cdr:cNvSpPr txBox="1"/>
      </cdr:nvSpPr>
      <cdr:spPr>
        <a:xfrm xmlns:a="http://schemas.openxmlformats.org/drawingml/2006/main">
          <a:off x="381000" y="58738"/>
          <a:ext cx="352425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0.04302</cdr:x>
      <cdr:y>0.02824</cdr:y>
    </cdr:from>
    <cdr:to>
      <cdr:x>0.98001</cdr:x>
      <cdr:y>0.20549</cdr:y>
    </cdr:to>
    <cdr:sp macro="" textlink="">
      <cdr:nvSpPr>
        <cdr:cNvPr id="7" name="TextBox 6"/>
        <cdr:cNvSpPr txBox="1"/>
      </cdr:nvSpPr>
      <cdr:spPr>
        <a:xfrm xmlns:a="http://schemas.openxmlformats.org/drawingml/2006/main">
          <a:off x="182563" y="74613"/>
          <a:ext cx="3976687" cy="468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...como resultado, la inflación aumentó marcadamente y casi rebasa su límite superior.</a:t>
          </a:r>
        </a:p>
      </cdr:txBody>
    </cdr:sp>
  </cdr:relSizeAnchor>
</c:userShapes>
</file>

<file path=xl/drawings/drawing16.xml><?xml version="1.0" encoding="utf-8"?>
<c:userShapes xmlns:c="http://schemas.openxmlformats.org/drawingml/2006/chart">
  <cdr:relSizeAnchor xmlns:cdr="http://schemas.openxmlformats.org/drawingml/2006/chartDrawing">
    <cdr:from>
      <cdr:x>0.04417</cdr:x>
      <cdr:y>0.93435</cdr:y>
    </cdr:from>
    <cdr:to>
      <cdr:x>0.05506</cdr:x>
      <cdr:y>1</cdr:y>
    </cdr:to>
    <cdr:sp macro="" textlink="">
      <cdr:nvSpPr>
        <cdr:cNvPr id="5" name="Text Box 4"/>
        <cdr:cNvSpPr txBox="1">
          <a:spLocks xmlns:a="http://schemas.openxmlformats.org/drawingml/2006/main" noChangeArrowheads="1"/>
        </cdr:cNvSpPr>
      </cdr:nvSpPr>
      <cdr:spPr bwMode="auto">
        <a:xfrm xmlns:a="http://schemas.openxmlformats.org/drawingml/2006/main">
          <a:off x="187461" y="2468654"/>
          <a:ext cx="46231" cy="1734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36576" rIns="0" bIns="0" anchor="t" upright="1">
          <a:spAutoFit/>
        </a:bodyPr>
        <a:lstStyle xmlns:a="http://schemas.openxmlformats.org/drawingml/2006/main"/>
        <a:p xmlns:a="http://schemas.openxmlformats.org/drawingml/2006/main">
          <a:pPr algn="l" rtl="0">
            <a:defRPr sz="1000"/>
          </a:pPr>
          <a:endParaRPr lang="en-US" sz="800" b="0" i="0" u="none" strike="noStrike" baseline="0">
            <a:solidFill>
              <a:srgbClr val="000000"/>
            </a:solidFill>
            <a:latin typeface="Segoe UI"/>
            <a:cs typeface="Arial"/>
          </a:endParaRPr>
        </a:p>
      </cdr:txBody>
    </cdr:sp>
  </cdr:relSizeAnchor>
  <cdr:relSizeAnchor xmlns:cdr="http://schemas.openxmlformats.org/drawingml/2006/chartDrawing">
    <cdr:from>
      <cdr:x>0.06359</cdr:x>
      <cdr:y>0.0012</cdr:y>
    </cdr:from>
    <cdr:to>
      <cdr:x>0.87154</cdr:x>
      <cdr:y>0.18446</cdr:y>
    </cdr:to>
    <cdr:sp macro="" textlink="">
      <cdr:nvSpPr>
        <cdr:cNvPr id="3" name="TextBox 2"/>
        <cdr:cNvSpPr txBox="1"/>
      </cdr:nvSpPr>
      <cdr:spPr>
        <a:xfrm xmlns:a="http://schemas.openxmlformats.org/drawingml/2006/main">
          <a:off x="269875" y="3175"/>
          <a:ext cx="3429000" cy="4841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Un mayor crecimiento impulsado por el gasto </a:t>
          </a:r>
          <a:r>
            <a:rPr lang="es-ES" sz="1100" i="1" baseline="0"/>
            <a:t>provocó un aumento del déficit ahorro-inversión.</a:t>
          </a:r>
        </a:p>
      </cdr:txBody>
    </cdr:sp>
  </cdr:relSizeAnchor>
</c:userShapes>
</file>

<file path=xl/drawings/drawing17.xml><?xml version="1.0" encoding="utf-8"?>
<c:userShapes xmlns:c="http://schemas.openxmlformats.org/drawingml/2006/chart">
  <cdr:relSizeAnchor xmlns:cdr="http://schemas.openxmlformats.org/drawingml/2006/chartDrawing">
    <cdr:from>
      <cdr:x>0.07676</cdr:x>
      <cdr:y>0.03732</cdr:y>
    </cdr:from>
    <cdr:to>
      <cdr:x>0.95862</cdr:x>
      <cdr:y>0.2089</cdr:y>
    </cdr:to>
    <cdr:sp macro="" textlink="">
      <cdr:nvSpPr>
        <cdr:cNvPr id="2" name="TextBox 1"/>
        <cdr:cNvSpPr txBox="1"/>
      </cdr:nvSpPr>
      <cdr:spPr>
        <a:xfrm xmlns:a="http://schemas.openxmlformats.org/drawingml/2006/main">
          <a:off x="325418" y="98413"/>
          <a:ext cx="3738582" cy="452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...debido sobre todo al mayor </a:t>
          </a:r>
          <a:r>
            <a:rPr lang="es-ES" sz="1100" i="1" baseline="0"/>
            <a:t>dinamismo del consumo y las exportaciones netas...</a:t>
          </a:r>
          <a:r>
            <a:rPr lang="es-ES" sz="1100" i="1"/>
            <a:t> </a:t>
          </a:r>
        </a:p>
      </cdr:txBody>
    </cdr:sp>
  </cdr:relSizeAnchor>
</c:userShapes>
</file>

<file path=xl/drawings/drawing18.xml><?xml version="1.0" encoding="utf-8"?>
<xdr:wsDr xmlns:xdr="http://schemas.openxmlformats.org/drawingml/2006/spreadsheetDrawing" xmlns:a="http://schemas.openxmlformats.org/drawingml/2006/main">
  <xdr:twoCellAnchor editAs="absolute">
    <xdr:from>
      <xdr:col>14</xdr:col>
      <xdr:colOff>25400</xdr:colOff>
      <xdr:row>0</xdr:row>
      <xdr:rowOff>0</xdr:rowOff>
    </xdr:from>
    <xdr:to>
      <xdr:col>141</xdr:col>
      <xdr:colOff>6350</xdr:colOff>
      <xdr:row>10</xdr:row>
      <xdr:rowOff>19050</xdr:rowOff>
    </xdr:to>
    <xdr:sp macro="" textlink="">
      <xdr:nvSpPr>
        <xdr:cNvPr id="2" name="Header">
          <a:extLst>
            <a:ext uri="{FF2B5EF4-FFF2-40B4-BE49-F238E27FC236}">
              <a16:creationId xmlns:a16="http://schemas.microsoft.com/office/drawing/2014/main" id="{00000000-0008-0000-2B00-000002000000}"/>
            </a:ext>
          </a:extLst>
        </xdr:cNvPr>
        <xdr:cNvSpPr txBox="1"/>
      </xdr:nvSpPr>
      <xdr:spPr>
        <a:xfrm>
          <a:off x="825500" y="0"/>
          <a:ext cx="7239000" cy="4000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s-ES" sz="1200" b="1" i="0">
              <a:solidFill>
                <a:schemeClr val="accent5"/>
              </a:solidFill>
              <a:latin typeface="Arial"/>
            </a:rPr>
            <a:t>Gráfico 2. Macronia, sector externo, 2008-2013</a:t>
          </a:r>
        </a:p>
        <a:p>
          <a:pPr algn="ctr"/>
          <a:endParaRPr/>
        </a:p>
        <a:p>
          <a:pPr algn="ctr"/>
          <a:endParaRPr/>
        </a:p>
      </xdr:txBody>
    </xdr:sp>
    <xdr:clientData/>
  </xdr:twoCellAnchor>
  <xdr:twoCellAnchor editAs="absolute">
    <xdr:from>
      <xdr:col>4</xdr:col>
      <xdr:colOff>1</xdr:colOff>
      <xdr:row>149</xdr:row>
      <xdr:rowOff>25400</xdr:rowOff>
    </xdr:from>
    <xdr:to>
      <xdr:col>127</xdr:col>
      <xdr:colOff>30163</xdr:colOff>
      <xdr:row>162</xdr:row>
      <xdr:rowOff>0</xdr:rowOff>
    </xdr:to>
    <xdr:sp macro="" textlink="">
      <xdr:nvSpPr>
        <xdr:cNvPr id="3" name="Footer">
          <a:extLst>
            <a:ext uri="{FF2B5EF4-FFF2-40B4-BE49-F238E27FC236}">
              <a16:creationId xmlns:a16="http://schemas.microsoft.com/office/drawing/2014/main" id="{00000000-0008-0000-2B00-000003000000}"/>
            </a:ext>
          </a:extLst>
        </xdr:cNvPr>
        <xdr:cNvSpPr txBox="1"/>
      </xdr:nvSpPr>
      <xdr:spPr>
        <a:xfrm>
          <a:off x="228601" y="5702300"/>
          <a:ext cx="7059612" cy="4699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eaLnBrk="1" fontAlgn="auto" latinLnBrk="0" hangingPunct="1"/>
          <a:r>
            <a:rPr lang="es-ES" sz="1100" b="0" i="0" baseline="0">
              <a:solidFill>
                <a:schemeClr val="dk1"/>
              </a:solidFill>
              <a:latin typeface="+mn-lt"/>
              <a:ea typeface="+mn-ea"/>
              <a:cs typeface="+mn-cs"/>
            </a:rPr>
            <a:t>Fuente: Cálculos del personal técnico del FMI.</a:t>
          </a: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xdr:txBody>
    </xdr:sp>
    <xdr:clientData/>
  </xdr:twoCellAnchor>
  <xdr:absoluteAnchor>
    <xdr:pos x="4524376" y="515937"/>
    <xdr:ext cx="4245560" cy="2492376"/>
    <xdr:graphicFrame macro="">
      <xdr:nvGraphicFramePr>
        <xdr:cNvPr id="4" name="Panel1 Chart 31">
          <a:extLst>
            <a:ext uri="{FF2B5EF4-FFF2-40B4-BE49-F238E27FC236}">
              <a16:creationId xmlns:a16="http://schemas.microsoft.com/office/drawing/2014/main" id="{00000000-0008-0000-2B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4619625" y="3267075"/>
    <xdr:ext cx="4245560" cy="2642435"/>
    <xdr:graphicFrame macro="">
      <xdr:nvGraphicFramePr>
        <xdr:cNvPr id="5" name="Panel1 Chart 41">
          <a:extLst>
            <a:ext uri="{FF2B5EF4-FFF2-40B4-BE49-F238E27FC236}">
              <a16:creationId xmlns:a16="http://schemas.microsoft.com/office/drawing/2014/main" id="{00000000-0008-0000-2B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528638"/>
    <xdr:ext cx="4245560" cy="2642435"/>
    <xdr:graphicFrame macro="">
      <xdr:nvGraphicFramePr>
        <xdr:cNvPr id="6" name="Panel1 Chart 51">
          <a:extLst>
            <a:ext uri="{FF2B5EF4-FFF2-40B4-BE49-F238E27FC236}">
              <a16:creationId xmlns:a16="http://schemas.microsoft.com/office/drawing/2014/main" id="{00000000-0008-0000-2B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34938" y="3314700"/>
    <xdr:ext cx="4245560" cy="2642435"/>
    <xdr:graphicFrame macro="">
      <xdr:nvGraphicFramePr>
        <xdr:cNvPr id="7" name="Panel1 Chart 61">
          <a:extLst>
            <a:ext uri="{FF2B5EF4-FFF2-40B4-BE49-F238E27FC236}">
              <a16:creationId xmlns:a16="http://schemas.microsoft.com/office/drawing/2014/main" id="{00000000-0008-0000-2B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0.16638</cdr:x>
      <cdr:y>0.88211</cdr:y>
    </cdr:from>
    <cdr:to>
      <cdr:x>0.92487</cdr:x>
      <cdr:y>0.9876</cdr:y>
    </cdr:to>
    <cdr:sp macro="" textlink="">
      <cdr:nvSpPr>
        <cdr:cNvPr id="2" name="TextBox 1"/>
        <cdr:cNvSpPr txBox="1"/>
      </cdr:nvSpPr>
      <cdr:spPr>
        <a:xfrm xmlns:a="http://schemas.openxmlformats.org/drawingml/2006/main">
          <a:off x="706381" y="2198554"/>
          <a:ext cx="3220215" cy="2629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ES" sz="800" b="1"/>
            <a:t>Saldos principales de la BP, en porcentaje del PIB</a:t>
          </a:r>
        </a:p>
      </cdr:txBody>
    </cdr:sp>
  </cdr:relSizeAnchor>
  <cdr:relSizeAnchor xmlns:cdr="http://schemas.openxmlformats.org/drawingml/2006/chartDrawing">
    <cdr:from>
      <cdr:x>0.05048</cdr:x>
      <cdr:y>0.03822</cdr:y>
    </cdr:from>
    <cdr:to>
      <cdr:x>0.94789</cdr:x>
      <cdr:y>0.19745</cdr:y>
    </cdr:to>
    <cdr:sp macro="" textlink="">
      <cdr:nvSpPr>
        <cdr:cNvPr id="4" name="TextBox 3"/>
        <cdr:cNvSpPr txBox="1"/>
      </cdr:nvSpPr>
      <cdr:spPr>
        <a:xfrm xmlns:a="http://schemas.openxmlformats.org/drawingml/2006/main">
          <a:off x="214312" y="95250"/>
          <a:ext cx="3810000" cy="396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0.05235</cdr:x>
      <cdr:y>0.01592</cdr:y>
    </cdr:from>
    <cdr:to>
      <cdr:x>0.97593</cdr:x>
      <cdr:y>0.22293</cdr:y>
    </cdr:to>
    <cdr:sp macro="" textlink="">
      <cdr:nvSpPr>
        <cdr:cNvPr id="5" name="TextBox 4"/>
        <cdr:cNvSpPr txBox="1"/>
      </cdr:nvSpPr>
      <cdr:spPr>
        <a:xfrm xmlns:a="http://schemas.openxmlformats.org/drawingml/2006/main">
          <a:off x="222249" y="39687"/>
          <a:ext cx="3921125" cy="515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 y eso ha provocado un deterioro de la cuenta corriente</a:t>
          </a:r>
          <a:r>
            <a:rPr lang="es-ES" sz="1100" i="1" baseline="0"/>
            <a:t>. A pesar de las cuantiosas entradas financieras, el superávit en BP está contrayéndose...</a:t>
          </a:r>
        </a:p>
      </cdr:txBody>
    </cdr:sp>
  </cdr:relSizeAnchor>
</c:userShapes>
</file>

<file path=xl/drawings/drawing20.xml><?xml version="1.0" encoding="utf-8"?>
<c:userShapes xmlns:c="http://schemas.openxmlformats.org/drawingml/2006/chart">
  <cdr:relSizeAnchor xmlns:cdr="http://schemas.openxmlformats.org/drawingml/2006/chartDrawing">
    <cdr:from>
      <cdr:x>0.87872</cdr:x>
      <cdr:y>0.11114</cdr:y>
    </cdr:from>
    <cdr:to>
      <cdr:x>0.95797</cdr:x>
      <cdr:y>0.92771</cdr:y>
    </cdr:to>
    <cdr:sp macro="" textlink="">
      <cdr:nvSpPr>
        <cdr:cNvPr id="2" name="Rectangle 1"/>
        <cdr:cNvSpPr/>
      </cdr:nvSpPr>
      <cdr:spPr>
        <a:xfrm xmlns:a="http://schemas.openxmlformats.org/drawingml/2006/main">
          <a:off x="3730648" y="293684"/>
          <a:ext cx="336461" cy="2157733"/>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dr:relSizeAnchor xmlns:cdr="http://schemas.openxmlformats.org/drawingml/2006/chartDrawing">
    <cdr:from>
      <cdr:x>0.05796</cdr:x>
      <cdr:y>0.03424</cdr:y>
    </cdr:from>
    <cdr:to>
      <cdr:x>0.88993</cdr:x>
      <cdr:y>0.25353</cdr:y>
    </cdr:to>
    <cdr:sp macro="" textlink="">
      <cdr:nvSpPr>
        <cdr:cNvPr id="3" name="TextBox 2"/>
        <cdr:cNvSpPr txBox="1"/>
      </cdr:nvSpPr>
      <cdr:spPr>
        <a:xfrm xmlns:a="http://schemas.openxmlformats.org/drawingml/2006/main">
          <a:off x="246063" y="90488"/>
          <a:ext cx="3532187" cy="5794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...lo cual incrementó la </a:t>
          </a:r>
          <a:r>
            <a:rPr lang="es-ES" sz="1100" i="1" baseline="0"/>
            <a:t>posición de inversión internacional neta negativa del país. </a:t>
          </a:r>
        </a:p>
      </cdr:txBody>
    </cdr:sp>
  </cdr:relSizeAnchor>
</c:userShapes>
</file>

<file path=xl/drawings/drawing21.xml><?xml version="1.0" encoding="utf-8"?>
<c:userShapes xmlns:c="http://schemas.openxmlformats.org/drawingml/2006/chart">
  <cdr:relSizeAnchor xmlns:cdr="http://schemas.openxmlformats.org/drawingml/2006/chartDrawing">
    <cdr:from>
      <cdr:x>0.08238</cdr:x>
      <cdr:y>0.89727</cdr:y>
    </cdr:from>
    <cdr:to>
      <cdr:x>0.50321</cdr:x>
      <cdr:y>0.9681</cdr:y>
    </cdr:to>
    <cdr:sp macro="" textlink="">
      <cdr:nvSpPr>
        <cdr:cNvPr id="2" name="TextBox 1"/>
        <cdr:cNvSpPr txBox="1"/>
      </cdr:nvSpPr>
      <cdr:spPr>
        <a:xfrm xmlns:a="http://schemas.openxmlformats.org/drawingml/2006/main">
          <a:off x="349749" y="2370970"/>
          <a:ext cx="1786659" cy="1871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baseline="30000"/>
            <a:t>1</a:t>
          </a:r>
          <a:r>
            <a:rPr lang="es-ES" sz="800"/>
            <a:t> aumento = depreciación</a:t>
          </a:r>
        </a:p>
      </cdr:txBody>
    </cdr:sp>
  </cdr:relSizeAnchor>
  <cdr:relSizeAnchor xmlns:cdr="http://schemas.openxmlformats.org/drawingml/2006/chartDrawing">
    <cdr:from>
      <cdr:x>0.09562</cdr:x>
      <cdr:y>0.04798</cdr:y>
    </cdr:from>
    <cdr:to>
      <cdr:x>0.87871</cdr:x>
      <cdr:y>0.33163</cdr:y>
    </cdr:to>
    <cdr:sp macro="" textlink="">
      <cdr:nvSpPr>
        <cdr:cNvPr id="4" name="TextBox 3"/>
        <cdr:cNvSpPr txBox="1"/>
      </cdr:nvSpPr>
      <cdr:spPr>
        <a:xfrm xmlns:a="http://schemas.openxmlformats.org/drawingml/2006/main">
          <a:off x="405963" y="126771"/>
          <a:ext cx="3324663" cy="7495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latin typeface="+mn-lt"/>
              <a:ea typeface="+mn-ea"/>
              <a:cs typeface="+mn-cs"/>
            </a:rPr>
            <a:t>La tendencia de apreciación del tipo de cambio real </a:t>
          </a:r>
          <a:r>
            <a:rPr lang="es-ES" sz="1100" i="1" baseline="0">
              <a:latin typeface="+mn-lt"/>
              <a:ea typeface="+mn-ea"/>
              <a:cs typeface="+mn-cs"/>
            </a:rPr>
            <a:t>se he debido sobre todo a los diferenciales de inflación...</a:t>
          </a:r>
        </a:p>
      </cdr:txBody>
    </cdr:sp>
  </cdr:relSizeAnchor>
  <cdr:relSizeAnchor xmlns:cdr="http://schemas.openxmlformats.org/drawingml/2006/chartDrawing">
    <cdr:from>
      <cdr:x>0.03178</cdr:x>
      <cdr:y>0.01922</cdr:y>
    </cdr:from>
    <cdr:to>
      <cdr:x>0.9778</cdr:x>
      <cdr:y>0.32562</cdr:y>
    </cdr:to>
    <cdr:sp macro="" textlink="">
      <cdr:nvSpPr>
        <cdr:cNvPr id="6" name="TextBox 5"/>
        <cdr:cNvSpPr txBox="1"/>
      </cdr:nvSpPr>
      <cdr:spPr>
        <a:xfrm xmlns:a="http://schemas.openxmlformats.org/drawingml/2006/main">
          <a:off x="134938" y="50800"/>
          <a:ext cx="4016375" cy="809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0.29727</cdr:x>
      <cdr:y>0.40372</cdr:y>
    </cdr:from>
    <cdr:to>
      <cdr:x>0.4487</cdr:x>
      <cdr:y>0.58695</cdr:y>
    </cdr:to>
    <cdr:sp macro="" textlink="">
      <cdr:nvSpPr>
        <cdr:cNvPr id="7" name="TextBox 6"/>
        <cdr:cNvSpPr txBox="1"/>
      </cdr:nvSpPr>
      <cdr:spPr>
        <a:xfrm xmlns:a="http://schemas.openxmlformats.org/drawingml/2006/main">
          <a:off x="1262063" y="1066799"/>
          <a:ext cx="642937" cy="4841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Inflación en socios comerciales</a:t>
          </a:r>
        </a:p>
      </cdr:txBody>
    </cdr:sp>
  </cdr:relSizeAnchor>
  <cdr:relSizeAnchor xmlns:cdr="http://schemas.openxmlformats.org/drawingml/2006/chartDrawing">
    <cdr:from>
      <cdr:x>0.58332</cdr:x>
      <cdr:y>0.46079</cdr:y>
    </cdr:from>
    <cdr:to>
      <cdr:x>0.86189</cdr:x>
      <cdr:y>0.55091</cdr:y>
    </cdr:to>
    <cdr:sp macro="" textlink="">
      <cdr:nvSpPr>
        <cdr:cNvPr id="8" name="TextBox 7"/>
        <cdr:cNvSpPr txBox="1"/>
      </cdr:nvSpPr>
      <cdr:spPr>
        <a:xfrm xmlns:a="http://schemas.openxmlformats.org/drawingml/2006/main">
          <a:off x="2476521" y="1217600"/>
          <a:ext cx="1182685" cy="2381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Tasa de inflación interna</a:t>
          </a:r>
        </a:p>
      </cdr:txBody>
    </cdr:sp>
  </cdr:relSizeAnchor>
  <cdr:relSizeAnchor xmlns:cdr="http://schemas.openxmlformats.org/drawingml/2006/chartDrawing">
    <cdr:from>
      <cdr:x>0.75532</cdr:x>
      <cdr:y>0.53589</cdr:y>
    </cdr:from>
    <cdr:to>
      <cdr:x>0.7871</cdr:x>
      <cdr:y>0.59597</cdr:y>
    </cdr:to>
    <cdr:sp macro="" textlink="">
      <cdr:nvSpPr>
        <cdr:cNvPr id="10" name="Straight Arrow Connector 9"/>
        <cdr:cNvSpPr/>
      </cdr:nvSpPr>
      <cdr:spPr>
        <a:xfrm xmlns:a="http://schemas.openxmlformats.org/drawingml/2006/main">
          <a:off x="3206750" y="1416050"/>
          <a:ext cx="134937" cy="158749"/>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0.31409</cdr:x>
      <cdr:y>0.56893</cdr:y>
    </cdr:from>
    <cdr:to>
      <cdr:x>0.33466</cdr:x>
      <cdr:y>0.72213</cdr:y>
    </cdr:to>
    <cdr:sp macro="" textlink="">
      <cdr:nvSpPr>
        <cdr:cNvPr id="12" name="Straight Arrow Connector 11"/>
        <cdr:cNvSpPr/>
      </cdr:nvSpPr>
      <cdr:spPr>
        <a:xfrm xmlns:a="http://schemas.openxmlformats.org/drawingml/2006/main" flipH="1">
          <a:off x="1333479" y="1503363"/>
          <a:ext cx="87333" cy="404806"/>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22.xml><?xml version="1.0" encoding="utf-8"?>
<c:userShapes xmlns:c="http://schemas.openxmlformats.org/drawingml/2006/chart">
  <cdr:relSizeAnchor xmlns:cdr="http://schemas.openxmlformats.org/drawingml/2006/chartDrawing">
    <cdr:from>
      <cdr:x>0.04276</cdr:x>
      <cdr:y>0.93436</cdr:y>
    </cdr:from>
    <cdr:to>
      <cdr:x>0.05365</cdr:x>
      <cdr:y>1</cdr:y>
    </cdr:to>
    <cdr:sp macro="" textlink="">
      <cdr:nvSpPr>
        <cdr:cNvPr id="3" name="Text Box 4"/>
        <cdr:cNvSpPr txBox="1">
          <a:spLocks xmlns:a="http://schemas.openxmlformats.org/drawingml/2006/main" noChangeArrowheads="1"/>
        </cdr:cNvSpPr>
      </cdr:nvSpPr>
      <cdr:spPr bwMode="auto">
        <a:xfrm xmlns:a="http://schemas.openxmlformats.org/drawingml/2006/main">
          <a:off x="181540" y="2468990"/>
          <a:ext cx="46231" cy="1734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36576" rIns="0" bIns="0" anchor="t" upright="1">
          <a:spAutoFit/>
        </a:bodyPr>
        <a:lstStyle xmlns:a="http://schemas.openxmlformats.org/drawingml/2006/main"/>
        <a:p xmlns:a="http://schemas.openxmlformats.org/drawingml/2006/main">
          <a:pPr algn="l" rtl="0">
            <a:defRPr sz="1000"/>
          </a:pPr>
          <a:endParaRPr lang="en-US" sz="800" b="0" i="0" u="none" strike="noStrike" baseline="0">
            <a:solidFill>
              <a:srgbClr val="000000"/>
            </a:solidFill>
            <a:latin typeface="Segoe UI"/>
            <a:cs typeface="Arial"/>
          </a:endParaRPr>
        </a:p>
      </cdr:txBody>
    </cdr:sp>
  </cdr:relSizeAnchor>
  <cdr:relSizeAnchor xmlns:cdr="http://schemas.openxmlformats.org/drawingml/2006/chartDrawing">
    <cdr:from>
      <cdr:x>0.043</cdr:x>
      <cdr:y>0.02824</cdr:y>
    </cdr:from>
    <cdr:to>
      <cdr:x>0.95537</cdr:x>
      <cdr:y>0.19044</cdr:y>
    </cdr:to>
    <cdr:sp macro="" textlink="">
      <cdr:nvSpPr>
        <cdr:cNvPr id="4" name="TextBox 3"/>
        <cdr:cNvSpPr txBox="1"/>
      </cdr:nvSpPr>
      <cdr:spPr>
        <a:xfrm xmlns:a="http://schemas.openxmlformats.org/drawingml/2006/main">
          <a:off x="182562" y="74613"/>
          <a:ext cx="387350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s-ES" sz="1100" i="1"/>
            <a:t>...y los activos de reservas empezaron a </a:t>
          </a:r>
          <a:r>
            <a:rPr lang="es-ES" sz="1100" i="1" baseline="0">
              <a:latin typeface="+mn-lt"/>
              <a:ea typeface="+mn-ea"/>
              <a:cs typeface="+mn-cs"/>
            </a:rPr>
            <a:t>situarse por debajo del nivel de tres meses de cobertura de las importaciones...</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a:p>
      </cdr:txBody>
    </cdr:sp>
  </cdr:relSizeAnchor>
</c:userShapes>
</file>

<file path=xl/drawings/drawing23.xml><?xml version="1.0" encoding="utf-8"?>
<xdr:wsDr xmlns:xdr="http://schemas.openxmlformats.org/drawingml/2006/spreadsheetDrawing" xmlns:a="http://schemas.openxmlformats.org/drawingml/2006/main">
  <xdr:twoCellAnchor editAs="absolute">
    <xdr:from>
      <xdr:col>14</xdr:col>
      <xdr:colOff>25400</xdr:colOff>
      <xdr:row>0</xdr:row>
      <xdr:rowOff>0</xdr:rowOff>
    </xdr:from>
    <xdr:to>
      <xdr:col>141</xdr:col>
      <xdr:colOff>6350</xdr:colOff>
      <xdr:row>10</xdr:row>
      <xdr:rowOff>19050</xdr:rowOff>
    </xdr:to>
    <xdr:sp macro="" textlink="">
      <xdr:nvSpPr>
        <xdr:cNvPr id="2" name="Header">
          <a:extLst>
            <a:ext uri="{FF2B5EF4-FFF2-40B4-BE49-F238E27FC236}">
              <a16:creationId xmlns:a16="http://schemas.microsoft.com/office/drawing/2014/main" id="{00000000-0008-0000-2C00-000002000000}"/>
            </a:ext>
          </a:extLst>
        </xdr:cNvPr>
        <xdr:cNvSpPr txBox="1"/>
      </xdr:nvSpPr>
      <xdr:spPr>
        <a:xfrm>
          <a:off x="825500" y="0"/>
          <a:ext cx="7239000" cy="4000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s-ES" sz="1100" b="1" i="0">
              <a:solidFill>
                <a:schemeClr val="accent5"/>
              </a:solidFill>
              <a:latin typeface="Arial"/>
            </a:rPr>
            <a:t>Gráfico 3. Macronia,</a:t>
          </a:r>
          <a:r>
            <a:rPr lang="es-ES" sz="1100" b="1" i="0" baseline="0">
              <a:solidFill>
                <a:schemeClr val="accent5"/>
              </a:solidFill>
              <a:latin typeface="Arial"/>
            </a:rPr>
            <a:t> orientación fiscal y monetaria 2008-2013</a:t>
          </a:r>
        </a:p>
        <a:p>
          <a:pPr algn="ctr"/>
          <a:endParaRPr/>
        </a:p>
      </xdr:txBody>
    </xdr:sp>
    <xdr:clientData/>
  </xdr:twoCellAnchor>
  <xdr:twoCellAnchor editAs="absolute">
    <xdr:from>
      <xdr:col>3</xdr:col>
      <xdr:colOff>47625</xdr:colOff>
      <xdr:row>146</xdr:row>
      <xdr:rowOff>25400</xdr:rowOff>
    </xdr:from>
    <xdr:to>
      <xdr:col>127</xdr:col>
      <xdr:colOff>22225</xdr:colOff>
      <xdr:row>159</xdr:row>
      <xdr:rowOff>7937</xdr:rowOff>
    </xdr:to>
    <xdr:sp macro="" textlink="">
      <xdr:nvSpPr>
        <xdr:cNvPr id="3" name="Footer">
          <a:extLst>
            <a:ext uri="{FF2B5EF4-FFF2-40B4-BE49-F238E27FC236}">
              <a16:creationId xmlns:a16="http://schemas.microsoft.com/office/drawing/2014/main" id="{00000000-0008-0000-2C00-000003000000}"/>
            </a:ext>
          </a:extLst>
        </xdr:cNvPr>
        <xdr:cNvSpPr txBox="1"/>
      </xdr:nvSpPr>
      <xdr:spPr>
        <a:xfrm>
          <a:off x="219075" y="5588000"/>
          <a:ext cx="7061200" cy="4778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b="0" i="0" baseline="0">
              <a:solidFill>
                <a:schemeClr val="dk1"/>
              </a:solidFill>
              <a:latin typeface="+mn-lt"/>
              <a:ea typeface="+mn-ea"/>
              <a:cs typeface="+mn-cs"/>
            </a:rPr>
            <a:t>Fuente: Cálculos del personal técnico del FMI.</a:t>
          </a: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xdr:txBody>
    </xdr:sp>
    <xdr:clientData/>
  </xdr:twoCellAnchor>
  <xdr:absoluteAnchor>
    <xdr:pos x="0" y="457200"/>
    <xdr:ext cx="4245560" cy="2642435"/>
    <xdr:graphicFrame macro="">
      <xdr:nvGraphicFramePr>
        <xdr:cNvPr id="4" name="Panel1 Chart 31">
          <a:extLst>
            <a:ext uri="{FF2B5EF4-FFF2-40B4-BE49-F238E27FC236}">
              <a16:creationId xmlns:a16="http://schemas.microsoft.com/office/drawing/2014/main" id="{00000000-0008-0000-2C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4572000" y="457200"/>
    <xdr:ext cx="4245560" cy="2642435"/>
    <xdr:graphicFrame macro="">
      <xdr:nvGraphicFramePr>
        <xdr:cNvPr id="5" name="Panel1 Chart 41">
          <a:extLst>
            <a:ext uri="{FF2B5EF4-FFF2-40B4-BE49-F238E27FC236}">
              <a16:creationId xmlns:a16="http://schemas.microsoft.com/office/drawing/2014/main" id="{00000000-0008-0000-2C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124200"/>
    <xdr:ext cx="4247988" cy="2641008"/>
    <xdr:graphicFrame macro="">
      <xdr:nvGraphicFramePr>
        <xdr:cNvPr id="6" name="Panel1 Chart 51">
          <a:extLst>
            <a:ext uri="{FF2B5EF4-FFF2-40B4-BE49-F238E27FC236}">
              <a16:creationId xmlns:a16="http://schemas.microsoft.com/office/drawing/2014/main" id="{00000000-0008-0000-2C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4572000" y="3124200"/>
    <xdr:ext cx="4245560" cy="2642435"/>
    <xdr:graphicFrame macro="">
      <xdr:nvGraphicFramePr>
        <xdr:cNvPr id="7" name="Panel1 Chart 61">
          <a:extLst>
            <a:ext uri="{FF2B5EF4-FFF2-40B4-BE49-F238E27FC236}">
              <a16:creationId xmlns:a16="http://schemas.microsoft.com/office/drawing/2014/main" id="{00000000-0008-0000-2C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xdr:from>
      <xdr:col>9</xdr:col>
      <xdr:colOff>15875</xdr:colOff>
      <xdr:row>11</xdr:row>
      <xdr:rowOff>0</xdr:rowOff>
    </xdr:from>
    <xdr:to>
      <xdr:col>73</xdr:col>
      <xdr:colOff>7938</xdr:colOff>
      <xdr:row>25</xdr:row>
      <xdr:rowOff>7937</xdr:rowOff>
    </xdr:to>
    <xdr:sp macro="" textlink="">
      <xdr:nvSpPr>
        <xdr:cNvPr id="8" name="TextBox 7">
          <a:extLst>
            <a:ext uri="{FF2B5EF4-FFF2-40B4-BE49-F238E27FC236}">
              <a16:creationId xmlns:a16="http://schemas.microsoft.com/office/drawing/2014/main" id="{00000000-0008-0000-2C00-000008000000}"/>
            </a:ext>
          </a:extLst>
        </xdr:cNvPr>
        <xdr:cNvSpPr txBox="1"/>
      </xdr:nvSpPr>
      <xdr:spPr>
        <a:xfrm>
          <a:off x="530225" y="419100"/>
          <a:ext cx="3649663"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i="1"/>
            <a:t>La brecha del producto </a:t>
          </a:r>
          <a:r>
            <a:rPr lang="es-ES" sz="1100" i="1" baseline="0"/>
            <a:t>se amplió debido a un orientación cada vez más expansiva en 2012-13...</a:t>
          </a:r>
        </a:p>
      </xdr:txBody>
    </xdr:sp>
    <xdr:clientData/>
  </xdr:twoCellAnchor>
</xdr:wsDr>
</file>

<file path=xl/drawings/drawing24.xml><?xml version="1.0" encoding="utf-8"?>
<c:userShapes xmlns:c="http://schemas.openxmlformats.org/drawingml/2006/chart">
  <cdr:relSizeAnchor xmlns:cdr="http://schemas.openxmlformats.org/drawingml/2006/chartDrawing">
    <cdr:from>
      <cdr:x>0.29942</cdr:x>
      <cdr:y>0.01558</cdr:y>
    </cdr:from>
    <cdr:to>
      <cdr:x>0.70757</cdr:x>
      <cdr:y>0.0873</cdr:y>
    </cdr:to>
    <cdr:sp macro="" textlink="">
      <cdr:nvSpPr>
        <cdr:cNvPr id="2" name="TextBox 1"/>
        <cdr:cNvSpPr txBox="1"/>
      </cdr:nvSpPr>
      <cdr:spPr>
        <a:xfrm xmlns:a="http://schemas.openxmlformats.org/drawingml/2006/main">
          <a:off x="1271200" y="41174"/>
          <a:ext cx="1732837" cy="1895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800" b="1"/>
        </a:p>
      </cdr:txBody>
    </cdr:sp>
  </cdr:relSizeAnchor>
</c:userShapes>
</file>

<file path=xl/drawings/drawing25.xml><?xml version="1.0" encoding="utf-8"?>
<c:userShapes xmlns:c="http://schemas.openxmlformats.org/drawingml/2006/chart">
  <cdr:relSizeAnchor xmlns:cdr="http://schemas.openxmlformats.org/drawingml/2006/chartDrawing">
    <cdr:from>
      <cdr:x>0.08413</cdr:x>
      <cdr:y>0.0012</cdr:y>
    </cdr:from>
    <cdr:to>
      <cdr:x>0.92732</cdr:x>
      <cdr:y>0.15139</cdr:y>
    </cdr:to>
    <cdr:sp macro="" textlink="">
      <cdr:nvSpPr>
        <cdr:cNvPr id="3" name="TextBox 2"/>
        <cdr:cNvSpPr txBox="1"/>
      </cdr:nvSpPr>
      <cdr:spPr>
        <a:xfrm xmlns:a="http://schemas.openxmlformats.org/drawingml/2006/main">
          <a:off x="357188" y="3175"/>
          <a:ext cx="3579812" cy="3968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...que hizo que aumentara la deuda del gobierno general.</a:t>
          </a:r>
        </a:p>
      </cdr:txBody>
    </cdr:sp>
  </cdr:relSizeAnchor>
</c:userShapes>
</file>

<file path=xl/drawings/drawing26.xml><?xml version="1.0" encoding="utf-8"?>
<c:userShapes xmlns:c="http://schemas.openxmlformats.org/drawingml/2006/chart">
  <cdr:relSizeAnchor xmlns:cdr="http://schemas.openxmlformats.org/drawingml/2006/chartDrawing">
    <cdr:from>
      <cdr:x>0.08067</cdr:x>
      <cdr:y>0.02116</cdr:y>
    </cdr:from>
    <cdr:to>
      <cdr:x>0.99219</cdr:x>
      <cdr:y>0.29574</cdr:y>
    </cdr:to>
    <cdr:sp macro="" textlink="">
      <cdr:nvSpPr>
        <cdr:cNvPr id="2" name="TextBox 1"/>
        <cdr:cNvSpPr txBox="1"/>
      </cdr:nvSpPr>
      <cdr:spPr>
        <a:xfrm xmlns:a="http://schemas.openxmlformats.org/drawingml/2006/main">
          <a:off x="342685" y="55884"/>
          <a:ext cx="3872126" cy="7251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b="0" i="1"/>
            <a:t>A raíz de la política fiscal </a:t>
          </a:r>
          <a:r>
            <a:rPr lang="es-ES" sz="1100" b="0" i="1" baseline="0"/>
            <a:t>expansiva adoptada en 2013, la política monetaria se endureció y las tasas de interés activas han empezado a subir...</a:t>
          </a:r>
        </a:p>
      </cdr:txBody>
    </cdr:sp>
  </cdr:relSizeAnchor>
  <cdr:relSizeAnchor xmlns:cdr="http://schemas.openxmlformats.org/drawingml/2006/chartDrawing">
    <cdr:from>
      <cdr:x>0.29143</cdr:x>
      <cdr:y>0.23877</cdr:y>
    </cdr:from>
    <cdr:to>
      <cdr:x>0.46182</cdr:x>
      <cdr:y>0.31451</cdr:y>
    </cdr:to>
    <cdr:sp macro="" textlink="">
      <cdr:nvSpPr>
        <cdr:cNvPr id="3" name="TextBox 2"/>
        <cdr:cNvSpPr txBox="1"/>
      </cdr:nvSpPr>
      <cdr:spPr>
        <a:xfrm xmlns:a="http://schemas.openxmlformats.org/drawingml/2006/main">
          <a:off x="2526547" y="1501398"/>
          <a:ext cx="1477182" cy="476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a:p>
      </cdr:txBody>
    </cdr:sp>
  </cdr:relSizeAnchor>
  <cdr:relSizeAnchor xmlns:cdr="http://schemas.openxmlformats.org/drawingml/2006/chartDrawing">
    <cdr:from>
      <cdr:x>0.23759</cdr:x>
      <cdr:y>0.16209</cdr:y>
    </cdr:from>
    <cdr:to>
      <cdr:x>0.41668</cdr:x>
      <cdr:y>0.22962</cdr:y>
    </cdr:to>
    <cdr:sp macro="" textlink="">
      <cdr:nvSpPr>
        <cdr:cNvPr id="5" name="TextBox 4"/>
        <cdr:cNvSpPr txBox="1"/>
      </cdr:nvSpPr>
      <cdr:spPr>
        <a:xfrm xmlns:a="http://schemas.openxmlformats.org/drawingml/2006/main">
          <a:off x="1009273" y="428092"/>
          <a:ext cx="760789" cy="178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a:p>
      </cdr:txBody>
    </cdr:sp>
  </cdr:relSizeAnchor>
</c:userShapes>
</file>

<file path=xl/drawings/drawing27.xml><?xml version="1.0" encoding="utf-8"?>
<c:userShapes xmlns:c="http://schemas.openxmlformats.org/drawingml/2006/chart">
  <cdr:relSizeAnchor xmlns:cdr="http://schemas.openxmlformats.org/drawingml/2006/chartDrawing">
    <cdr:from>
      <cdr:x>0.09161</cdr:x>
      <cdr:y>0.01922</cdr:y>
    </cdr:from>
    <cdr:to>
      <cdr:x>0.94228</cdr:x>
      <cdr:y>0.19946</cdr:y>
    </cdr:to>
    <cdr:sp macro="" textlink="">
      <cdr:nvSpPr>
        <cdr:cNvPr id="2" name="TextBox 1"/>
        <cdr:cNvSpPr txBox="1"/>
      </cdr:nvSpPr>
      <cdr:spPr>
        <a:xfrm xmlns:a="http://schemas.openxmlformats.org/drawingml/2006/main">
          <a:off x="388938" y="50800"/>
          <a:ext cx="3611562" cy="476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...dando lugar a una reducción del dinero en sentido amplio </a:t>
          </a:r>
          <a:r>
            <a:rPr lang="es-ES" sz="1100" i="1" baseline="0"/>
            <a:t>y el crecimiento general del crédito.</a:t>
          </a:r>
        </a:p>
      </cdr:txBody>
    </cdr:sp>
  </cdr:relSizeAnchor>
  <cdr:relSizeAnchor xmlns:cdr="http://schemas.openxmlformats.org/drawingml/2006/chartDrawing">
    <cdr:from>
      <cdr:x>0.12339</cdr:x>
      <cdr:y>0.04025</cdr:y>
    </cdr:from>
    <cdr:to>
      <cdr:x>0.9105</cdr:x>
      <cdr:y>0.15139</cdr:y>
    </cdr:to>
    <cdr:sp macro="" textlink="">
      <cdr:nvSpPr>
        <cdr:cNvPr id="3" name="TextBox 2"/>
        <cdr:cNvSpPr txBox="1"/>
      </cdr:nvSpPr>
      <cdr:spPr>
        <a:xfrm xmlns:a="http://schemas.openxmlformats.org/drawingml/2006/main">
          <a:off x="523875" y="106363"/>
          <a:ext cx="3341688" cy="2936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8.xml><?xml version="1.0" encoding="utf-8"?>
<xdr:wsDr xmlns:xdr="http://schemas.openxmlformats.org/drawingml/2006/spreadsheetDrawing" xmlns:a="http://schemas.openxmlformats.org/drawingml/2006/main">
  <xdr:twoCellAnchor editAs="absolute">
    <xdr:from>
      <xdr:col>1</xdr:col>
      <xdr:colOff>215900</xdr:colOff>
      <xdr:row>0</xdr:row>
      <xdr:rowOff>0</xdr:rowOff>
    </xdr:from>
    <xdr:to>
      <xdr:col>13</xdr:col>
      <xdr:colOff>139700</xdr:colOff>
      <xdr:row>2</xdr:row>
      <xdr:rowOff>19050</xdr:rowOff>
    </xdr:to>
    <xdr:sp macro="" textlink="">
      <xdr:nvSpPr>
        <xdr:cNvPr id="2" name="Header">
          <a:extLst>
            <a:ext uri="{FF2B5EF4-FFF2-40B4-BE49-F238E27FC236}">
              <a16:creationId xmlns:a16="http://schemas.microsoft.com/office/drawing/2014/main" id="{00000000-0008-0000-2D00-000002000000}"/>
            </a:ext>
          </a:extLst>
        </xdr:cNvPr>
        <xdr:cNvSpPr txBox="1"/>
      </xdr:nvSpPr>
      <xdr:spPr>
        <a:xfrm>
          <a:off x="825500" y="0"/>
          <a:ext cx="7239000" cy="4000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s-ES" sz="1200" b="1" i="0">
              <a:solidFill>
                <a:schemeClr val="accent5"/>
              </a:solidFill>
              <a:latin typeface="Arial"/>
            </a:rPr>
            <a:t>Gráfico 1. Macronia, sector real, 2008-2014</a:t>
          </a:r>
        </a:p>
      </xdr:txBody>
    </xdr:sp>
    <xdr:clientData/>
  </xdr:twoCellAnchor>
  <xdr:twoCellAnchor editAs="absolute">
    <xdr:from>
      <xdr:col>0</xdr:col>
      <xdr:colOff>203200</xdr:colOff>
      <xdr:row>31</xdr:row>
      <xdr:rowOff>63500</xdr:rowOff>
    </xdr:from>
    <xdr:to>
      <xdr:col>11</xdr:col>
      <xdr:colOff>558800</xdr:colOff>
      <xdr:row>35</xdr:row>
      <xdr:rowOff>101600</xdr:rowOff>
    </xdr:to>
    <xdr:sp macro="" textlink="">
      <xdr:nvSpPr>
        <xdr:cNvPr id="3" name="Footer">
          <a:extLst>
            <a:ext uri="{FF2B5EF4-FFF2-40B4-BE49-F238E27FC236}">
              <a16:creationId xmlns:a16="http://schemas.microsoft.com/office/drawing/2014/main" id="{00000000-0008-0000-2D00-000003000000}"/>
            </a:ext>
          </a:extLst>
        </xdr:cNvPr>
        <xdr:cNvSpPr txBox="1"/>
      </xdr:nvSpPr>
      <xdr:spPr>
        <a:xfrm>
          <a:off x="203200" y="5969000"/>
          <a:ext cx="7061200" cy="8001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b="0" i="0">
              <a:latin typeface="+mn-lt"/>
              <a:ea typeface="+mn-ea"/>
              <a:cs typeface="+mn-cs"/>
            </a:rPr>
            <a:t>Fuente: Autoridades de Macronia y cálculos del personal técnico del FMI.</a:t>
          </a: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xdr:txBody>
    </xdr:sp>
    <xdr:clientData/>
  </xdr:twoCellAnchor>
  <xdr:absoluteAnchor>
    <xdr:pos x="0" y="457200"/>
    <xdr:ext cx="4244086" cy="2642108"/>
    <xdr:graphicFrame macro="">
      <xdr:nvGraphicFramePr>
        <xdr:cNvPr id="4" name="Panel2 Chart 31">
          <a:extLst>
            <a:ext uri="{FF2B5EF4-FFF2-40B4-BE49-F238E27FC236}">
              <a16:creationId xmlns:a16="http://schemas.microsoft.com/office/drawing/2014/main" id="{00000000-0008-0000-2D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87312" y="3322637"/>
    <xdr:ext cx="4244086" cy="2642108"/>
    <xdr:graphicFrame macro="">
      <xdr:nvGraphicFramePr>
        <xdr:cNvPr id="5" name="Panel2 Chart 41">
          <a:extLst>
            <a:ext uri="{FF2B5EF4-FFF2-40B4-BE49-F238E27FC236}">
              <a16:creationId xmlns:a16="http://schemas.microsoft.com/office/drawing/2014/main" id="{00000000-0008-0000-2D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4476751" y="3354387"/>
    <xdr:ext cx="4244086" cy="2642108"/>
    <xdr:graphicFrame macro="">
      <xdr:nvGraphicFramePr>
        <xdr:cNvPr id="6" name="Panel2 Chart 51">
          <a:extLst>
            <a:ext uri="{FF2B5EF4-FFF2-40B4-BE49-F238E27FC236}">
              <a16:creationId xmlns:a16="http://schemas.microsoft.com/office/drawing/2014/main" id="{00000000-0008-0000-2D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4437063" y="457200"/>
    <xdr:ext cx="4239419" cy="2636996"/>
    <xdr:graphicFrame macro="">
      <xdr:nvGraphicFramePr>
        <xdr:cNvPr id="7" name="Panel2 Chart 61">
          <a:extLst>
            <a:ext uri="{FF2B5EF4-FFF2-40B4-BE49-F238E27FC236}">
              <a16:creationId xmlns:a16="http://schemas.microsoft.com/office/drawing/2014/main" id="{00000000-0008-0000-2D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0.08603</cdr:x>
      <cdr:y>0.01923</cdr:y>
    </cdr:from>
    <cdr:to>
      <cdr:x>0.97253</cdr:x>
      <cdr:y>0.22652</cdr:y>
    </cdr:to>
    <cdr:sp macro="" textlink="">
      <cdr:nvSpPr>
        <cdr:cNvPr id="2" name="TextBox 1"/>
        <cdr:cNvSpPr txBox="1"/>
      </cdr:nvSpPr>
      <cdr:spPr>
        <a:xfrm xmlns:a="http://schemas.openxmlformats.org/drawingml/2006/main">
          <a:off x="365124" y="50800"/>
          <a:ext cx="3762375" cy="5476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El crecimiento del PIB real en 2013 superó el potencial</a:t>
          </a:r>
          <a:r>
            <a:rPr lang="es-ES" sz="1100" i="1" baseline="0"/>
            <a:t>...</a:t>
          </a:r>
        </a:p>
      </cdr:txBody>
    </cdr:sp>
  </cdr:relSizeAnchor>
  <cdr:relSizeAnchor xmlns:cdr="http://schemas.openxmlformats.org/drawingml/2006/chartDrawing">
    <cdr:from>
      <cdr:x>0.84348</cdr:x>
      <cdr:y>0.18927</cdr:y>
    </cdr:from>
    <cdr:to>
      <cdr:x>0.92276</cdr:x>
      <cdr:y>0.76139</cdr:y>
    </cdr:to>
    <cdr:sp macro="" textlink="">
      <cdr:nvSpPr>
        <cdr:cNvPr id="3" name="Rectangle 2"/>
        <cdr:cNvSpPr/>
      </cdr:nvSpPr>
      <cdr:spPr>
        <a:xfrm xmlns:a="http://schemas.openxmlformats.org/drawingml/2006/main">
          <a:off x="3579813" y="500062"/>
          <a:ext cx="336461" cy="1511621"/>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30.xml><?xml version="1.0" encoding="utf-8"?>
<c:userShapes xmlns:c="http://schemas.openxmlformats.org/drawingml/2006/chart">
  <cdr:relSizeAnchor xmlns:cdr="http://schemas.openxmlformats.org/drawingml/2006/chartDrawing">
    <cdr:from>
      <cdr:x>0.06899</cdr:x>
      <cdr:y>0.57423</cdr:y>
    </cdr:from>
    <cdr:to>
      <cdr:x>0.96131</cdr:x>
      <cdr:y>0.79131</cdr:y>
    </cdr:to>
    <cdr:sp macro="" textlink="">
      <cdr:nvSpPr>
        <cdr:cNvPr id="2" name="Rectangle 1"/>
        <cdr:cNvSpPr/>
      </cdr:nvSpPr>
      <cdr:spPr>
        <a:xfrm xmlns:a="http://schemas.openxmlformats.org/drawingml/2006/main">
          <a:off x="292799" y="1517178"/>
          <a:ext cx="3787077" cy="573548"/>
        </a:xfrm>
        <a:prstGeom xmlns:a="http://schemas.openxmlformats.org/drawingml/2006/main" prst="rect">
          <a:avLst/>
        </a:prstGeom>
        <a:solidFill xmlns:a="http://schemas.openxmlformats.org/drawingml/2006/main">
          <a:schemeClr val="accent6">
            <a:lumMod val="7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sz="800"/>
        </a:p>
      </cdr:txBody>
    </cdr:sp>
  </cdr:relSizeAnchor>
  <cdr:relSizeAnchor xmlns:cdr="http://schemas.openxmlformats.org/drawingml/2006/chartDrawing">
    <cdr:from>
      <cdr:x>0.05798</cdr:x>
      <cdr:y>0.54497</cdr:y>
    </cdr:from>
    <cdr:to>
      <cdr:x>0.25809</cdr:x>
      <cdr:y>0.79432</cdr:y>
    </cdr:to>
    <cdr:sp macro="" textlink="">
      <cdr:nvSpPr>
        <cdr:cNvPr id="5" name="TextBox 4"/>
        <cdr:cNvSpPr txBox="1"/>
      </cdr:nvSpPr>
      <cdr:spPr>
        <a:xfrm xmlns:a="http://schemas.openxmlformats.org/drawingml/2006/main">
          <a:off x="246063" y="1439863"/>
          <a:ext cx="849312" cy="658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Rango de meta de inflación: punto medio+/-2% (punto medio 5%)</a:t>
          </a:r>
        </a:p>
      </cdr:txBody>
    </cdr:sp>
  </cdr:relSizeAnchor>
  <cdr:relSizeAnchor xmlns:cdr="http://schemas.openxmlformats.org/drawingml/2006/chartDrawing">
    <cdr:from>
      <cdr:x>0.11783</cdr:x>
      <cdr:y>0.02223</cdr:y>
    </cdr:from>
    <cdr:to>
      <cdr:x>0.95383</cdr:x>
      <cdr:y>0.18446</cdr:y>
    </cdr:to>
    <cdr:sp macro="" textlink="">
      <cdr:nvSpPr>
        <cdr:cNvPr id="4" name="TextBox 3"/>
        <cdr:cNvSpPr txBox="1"/>
      </cdr:nvSpPr>
      <cdr:spPr>
        <a:xfrm xmlns:a="http://schemas.openxmlformats.org/drawingml/2006/main">
          <a:off x="500063" y="58738"/>
          <a:ext cx="3548062"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0.08977</cdr:x>
      <cdr:y>0.02223</cdr:y>
    </cdr:from>
    <cdr:to>
      <cdr:x>0.92016</cdr:x>
      <cdr:y>0.11837</cdr:y>
    </cdr:to>
    <cdr:sp macro="" textlink="">
      <cdr:nvSpPr>
        <cdr:cNvPr id="6" name="TextBox 5"/>
        <cdr:cNvSpPr txBox="1"/>
      </cdr:nvSpPr>
      <cdr:spPr>
        <a:xfrm xmlns:a="http://schemas.openxmlformats.org/drawingml/2006/main">
          <a:off x="381000" y="58738"/>
          <a:ext cx="352425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0.04302</cdr:x>
      <cdr:y>0.02824</cdr:y>
    </cdr:from>
    <cdr:to>
      <cdr:x>0.98001</cdr:x>
      <cdr:y>0.20549</cdr:y>
    </cdr:to>
    <cdr:sp macro="" textlink="">
      <cdr:nvSpPr>
        <cdr:cNvPr id="7" name="TextBox 6"/>
        <cdr:cNvSpPr txBox="1"/>
      </cdr:nvSpPr>
      <cdr:spPr>
        <a:xfrm xmlns:a="http://schemas.openxmlformats.org/drawingml/2006/main">
          <a:off x="182563" y="74613"/>
          <a:ext cx="3976687" cy="468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...como resultado, la inflación aumentó marcadamente y casi rebasa su límite superior.</a:t>
          </a:r>
        </a:p>
      </cdr:txBody>
    </cdr:sp>
  </cdr:relSizeAnchor>
  <cdr:relSizeAnchor xmlns:cdr="http://schemas.openxmlformats.org/drawingml/2006/chartDrawing">
    <cdr:from>
      <cdr:x>0.88463</cdr:x>
      <cdr:y>0.26137</cdr:y>
    </cdr:from>
    <cdr:to>
      <cdr:x>0.96391</cdr:x>
      <cdr:y>0.7823</cdr:y>
    </cdr:to>
    <cdr:sp macro="" textlink="">
      <cdr:nvSpPr>
        <cdr:cNvPr id="8" name="Rectangle 7"/>
        <cdr:cNvSpPr/>
      </cdr:nvSpPr>
      <cdr:spPr>
        <a:xfrm xmlns:a="http://schemas.openxmlformats.org/drawingml/2006/main">
          <a:off x="3754438" y="690563"/>
          <a:ext cx="336461" cy="1376363"/>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31.xml><?xml version="1.0" encoding="utf-8"?>
<c:userShapes xmlns:c="http://schemas.openxmlformats.org/drawingml/2006/chart">
  <cdr:relSizeAnchor xmlns:cdr="http://schemas.openxmlformats.org/drawingml/2006/chartDrawing">
    <cdr:from>
      <cdr:x>0.04417</cdr:x>
      <cdr:y>0.93435</cdr:y>
    </cdr:from>
    <cdr:to>
      <cdr:x>0.05506</cdr:x>
      <cdr:y>1</cdr:y>
    </cdr:to>
    <cdr:sp macro="" textlink="">
      <cdr:nvSpPr>
        <cdr:cNvPr id="5" name="Text Box 4"/>
        <cdr:cNvSpPr txBox="1">
          <a:spLocks xmlns:a="http://schemas.openxmlformats.org/drawingml/2006/main" noChangeArrowheads="1"/>
        </cdr:cNvSpPr>
      </cdr:nvSpPr>
      <cdr:spPr bwMode="auto">
        <a:xfrm xmlns:a="http://schemas.openxmlformats.org/drawingml/2006/main">
          <a:off x="187461" y="2468654"/>
          <a:ext cx="46231" cy="1734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36576" rIns="0" bIns="0" anchor="t" upright="1">
          <a:spAutoFit/>
        </a:bodyPr>
        <a:lstStyle xmlns:a="http://schemas.openxmlformats.org/drawingml/2006/main"/>
        <a:p xmlns:a="http://schemas.openxmlformats.org/drawingml/2006/main">
          <a:pPr algn="l" rtl="0">
            <a:defRPr sz="1000"/>
          </a:pPr>
          <a:endParaRPr lang="en-US" sz="800" b="0" i="0" u="none" strike="noStrike" baseline="0">
            <a:solidFill>
              <a:srgbClr val="000000"/>
            </a:solidFill>
            <a:latin typeface="Segoe UI"/>
            <a:cs typeface="Arial"/>
          </a:endParaRPr>
        </a:p>
      </cdr:txBody>
    </cdr:sp>
  </cdr:relSizeAnchor>
  <cdr:relSizeAnchor xmlns:cdr="http://schemas.openxmlformats.org/drawingml/2006/chartDrawing">
    <cdr:from>
      <cdr:x>0.06359</cdr:x>
      <cdr:y>0.0012</cdr:y>
    </cdr:from>
    <cdr:to>
      <cdr:x>0.87154</cdr:x>
      <cdr:y>0.18446</cdr:y>
    </cdr:to>
    <cdr:sp macro="" textlink="">
      <cdr:nvSpPr>
        <cdr:cNvPr id="3" name="TextBox 2"/>
        <cdr:cNvSpPr txBox="1"/>
      </cdr:nvSpPr>
      <cdr:spPr>
        <a:xfrm xmlns:a="http://schemas.openxmlformats.org/drawingml/2006/main">
          <a:off x="269875" y="3175"/>
          <a:ext cx="3429000" cy="4841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Un mayor crecimiento impulsado por el gasto </a:t>
          </a:r>
          <a:r>
            <a:rPr lang="es-ES" sz="1100" i="1" baseline="0"/>
            <a:t>provocó un aumento del déficit ahorro-inversión.</a:t>
          </a:r>
        </a:p>
      </cdr:txBody>
    </cdr:sp>
  </cdr:relSizeAnchor>
  <cdr:relSizeAnchor xmlns:cdr="http://schemas.openxmlformats.org/drawingml/2006/chartDrawing">
    <cdr:from>
      <cdr:x>0.82291</cdr:x>
      <cdr:y>0.19948</cdr:y>
    </cdr:from>
    <cdr:to>
      <cdr:x>0.90219</cdr:x>
      <cdr:y>0.81234</cdr:y>
    </cdr:to>
    <cdr:sp macro="" textlink="">
      <cdr:nvSpPr>
        <cdr:cNvPr id="4" name="Rectangle 3"/>
        <cdr:cNvSpPr/>
      </cdr:nvSpPr>
      <cdr:spPr>
        <a:xfrm xmlns:a="http://schemas.openxmlformats.org/drawingml/2006/main">
          <a:off x="3492500" y="527052"/>
          <a:ext cx="336461" cy="1619250"/>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32.xml><?xml version="1.0" encoding="utf-8"?>
<c:userShapes xmlns:c="http://schemas.openxmlformats.org/drawingml/2006/chart">
  <cdr:relSizeAnchor xmlns:cdr="http://schemas.openxmlformats.org/drawingml/2006/chartDrawing">
    <cdr:from>
      <cdr:x>0.07676</cdr:x>
      <cdr:y>0.03732</cdr:y>
    </cdr:from>
    <cdr:to>
      <cdr:x>0.95862</cdr:x>
      <cdr:y>0.18181</cdr:y>
    </cdr:to>
    <cdr:sp macro="" textlink="">
      <cdr:nvSpPr>
        <cdr:cNvPr id="2" name="TextBox 1"/>
        <cdr:cNvSpPr txBox="1"/>
      </cdr:nvSpPr>
      <cdr:spPr>
        <a:xfrm xmlns:a="http://schemas.openxmlformats.org/drawingml/2006/main">
          <a:off x="325438" y="98425"/>
          <a:ext cx="3738562"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...debido sobre todo al mayor </a:t>
          </a:r>
          <a:r>
            <a:rPr lang="es-ES" sz="1100" i="1" baseline="0"/>
            <a:t>dinamismo del consumo y las exportaciones netas...</a:t>
          </a:r>
          <a:r>
            <a:rPr lang="es-ES" sz="1100" i="1"/>
            <a:t> </a:t>
          </a:r>
        </a:p>
      </cdr:txBody>
    </cdr:sp>
  </cdr:relSizeAnchor>
  <cdr:relSizeAnchor xmlns:cdr="http://schemas.openxmlformats.org/drawingml/2006/chartDrawing">
    <cdr:from>
      <cdr:x>0.87624</cdr:x>
      <cdr:y>0.23779</cdr:y>
    </cdr:from>
    <cdr:to>
      <cdr:x>0.95561</cdr:x>
      <cdr:y>0.81103</cdr:y>
    </cdr:to>
    <cdr:sp macro="" textlink="">
      <cdr:nvSpPr>
        <cdr:cNvPr id="3" name="Rectangle 2"/>
        <cdr:cNvSpPr/>
      </cdr:nvSpPr>
      <cdr:spPr>
        <a:xfrm xmlns:a="http://schemas.openxmlformats.org/drawingml/2006/main">
          <a:off x="3714750" y="627062"/>
          <a:ext cx="336461" cy="1511621"/>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33.xml><?xml version="1.0" encoding="utf-8"?>
<xdr:wsDr xmlns:xdr="http://schemas.openxmlformats.org/drawingml/2006/spreadsheetDrawing" xmlns:a="http://schemas.openxmlformats.org/drawingml/2006/main">
  <xdr:twoCellAnchor editAs="absolute">
    <xdr:from>
      <xdr:col>1</xdr:col>
      <xdr:colOff>215900</xdr:colOff>
      <xdr:row>0</xdr:row>
      <xdr:rowOff>0</xdr:rowOff>
    </xdr:from>
    <xdr:to>
      <xdr:col>13</xdr:col>
      <xdr:colOff>139700</xdr:colOff>
      <xdr:row>2</xdr:row>
      <xdr:rowOff>19050</xdr:rowOff>
    </xdr:to>
    <xdr:sp macro="" textlink="">
      <xdr:nvSpPr>
        <xdr:cNvPr id="2" name="Header">
          <a:extLst>
            <a:ext uri="{FF2B5EF4-FFF2-40B4-BE49-F238E27FC236}">
              <a16:creationId xmlns:a16="http://schemas.microsoft.com/office/drawing/2014/main" id="{00000000-0008-0000-2E00-000002000000}"/>
            </a:ext>
          </a:extLst>
        </xdr:cNvPr>
        <xdr:cNvSpPr txBox="1"/>
      </xdr:nvSpPr>
      <xdr:spPr>
        <a:xfrm>
          <a:off x="825500" y="0"/>
          <a:ext cx="7239000" cy="19240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s-ES" sz="1200" b="1" i="0">
              <a:solidFill>
                <a:schemeClr val="accent5"/>
              </a:solidFill>
              <a:latin typeface="Arial"/>
            </a:rPr>
            <a:t>Gráfico 2. Macronia, Sector externo, 2008-2014</a:t>
          </a:r>
        </a:p>
        <a:p>
          <a:pPr algn="ctr"/>
          <a:endParaRPr/>
        </a:p>
        <a:p>
          <a:pPr algn="ctr"/>
          <a:endParaRPr/>
        </a:p>
      </xdr:txBody>
    </xdr:sp>
    <xdr:clientData/>
  </xdr:twoCellAnchor>
  <xdr:twoCellAnchor editAs="absolute">
    <xdr:from>
      <xdr:col>0</xdr:col>
      <xdr:colOff>203200</xdr:colOff>
      <xdr:row>31</xdr:row>
      <xdr:rowOff>63500</xdr:rowOff>
    </xdr:from>
    <xdr:to>
      <xdr:col>11</xdr:col>
      <xdr:colOff>558800</xdr:colOff>
      <xdr:row>35</xdr:row>
      <xdr:rowOff>101600</xdr:rowOff>
    </xdr:to>
    <xdr:sp macro="" textlink="">
      <xdr:nvSpPr>
        <xdr:cNvPr id="3" name="Footer">
          <a:extLst>
            <a:ext uri="{FF2B5EF4-FFF2-40B4-BE49-F238E27FC236}">
              <a16:creationId xmlns:a16="http://schemas.microsoft.com/office/drawing/2014/main" id="{00000000-0008-0000-2E00-000003000000}"/>
            </a:ext>
          </a:extLst>
        </xdr:cNvPr>
        <xdr:cNvSpPr txBox="1"/>
      </xdr:nvSpPr>
      <xdr:spPr>
        <a:xfrm>
          <a:off x="203200" y="29743400"/>
          <a:ext cx="7061200" cy="40005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eaLnBrk="1" fontAlgn="auto" latinLnBrk="0" hangingPunct="1"/>
          <a:r>
            <a:rPr lang="es-ES" sz="1100" b="0" i="0" baseline="0">
              <a:solidFill>
                <a:schemeClr val="dk1"/>
              </a:solidFill>
              <a:latin typeface="+mn-lt"/>
              <a:ea typeface="+mn-ea"/>
              <a:cs typeface="+mn-cs"/>
            </a:rPr>
            <a:t>Fuente: Cálculos del personal técnico del FMI.</a:t>
          </a: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a:p>
          <a:pPr eaLnBrk="1" fontAlgn="auto" latinLnBrk="0" hangingPunct="1"/>
          <a:endParaRPr/>
        </a:p>
      </xdr:txBody>
    </xdr:sp>
    <xdr:clientData/>
  </xdr:twoCellAnchor>
  <xdr:absoluteAnchor>
    <xdr:pos x="4524376" y="515937"/>
    <xdr:ext cx="4245560" cy="2492376"/>
    <xdr:graphicFrame macro="">
      <xdr:nvGraphicFramePr>
        <xdr:cNvPr id="4" name="Panel1 Chart 31">
          <a:extLst>
            <a:ext uri="{FF2B5EF4-FFF2-40B4-BE49-F238E27FC236}">
              <a16:creationId xmlns:a16="http://schemas.microsoft.com/office/drawing/2014/main" id="{00000000-0008-0000-2E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4619625" y="3267075"/>
    <xdr:ext cx="4245560" cy="2642435"/>
    <xdr:graphicFrame macro="">
      <xdr:nvGraphicFramePr>
        <xdr:cNvPr id="5" name="Panel1 Chart 41">
          <a:extLst>
            <a:ext uri="{FF2B5EF4-FFF2-40B4-BE49-F238E27FC236}">
              <a16:creationId xmlns:a16="http://schemas.microsoft.com/office/drawing/2014/main" id="{00000000-0008-0000-2E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528638"/>
    <xdr:ext cx="4245560" cy="2642435"/>
    <xdr:graphicFrame macro="">
      <xdr:nvGraphicFramePr>
        <xdr:cNvPr id="6" name="Panel1 Chart 51">
          <a:extLst>
            <a:ext uri="{FF2B5EF4-FFF2-40B4-BE49-F238E27FC236}">
              <a16:creationId xmlns:a16="http://schemas.microsoft.com/office/drawing/2014/main" id="{00000000-0008-0000-2E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34938" y="3314700"/>
    <xdr:ext cx="4245560" cy="2642435"/>
    <xdr:graphicFrame macro="">
      <xdr:nvGraphicFramePr>
        <xdr:cNvPr id="7" name="Panel1 Chart 61">
          <a:extLst>
            <a:ext uri="{FF2B5EF4-FFF2-40B4-BE49-F238E27FC236}">
              <a16:creationId xmlns:a16="http://schemas.microsoft.com/office/drawing/2014/main" id="{00000000-0008-0000-2E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0.16638</cdr:x>
      <cdr:y>0.88211</cdr:y>
    </cdr:from>
    <cdr:to>
      <cdr:x>0.92487</cdr:x>
      <cdr:y>0.9876</cdr:y>
    </cdr:to>
    <cdr:sp macro="" textlink="">
      <cdr:nvSpPr>
        <cdr:cNvPr id="2" name="TextBox 1"/>
        <cdr:cNvSpPr txBox="1"/>
      </cdr:nvSpPr>
      <cdr:spPr>
        <a:xfrm xmlns:a="http://schemas.openxmlformats.org/drawingml/2006/main">
          <a:off x="706381" y="2198554"/>
          <a:ext cx="3220215" cy="2629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ES" sz="800" b="1"/>
            <a:t>Saldos principales de la BP, en porcentaje del PIB</a:t>
          </a:r>
        </a:p>
      </cdr:txBody>
    </cdr:sp>
  </cdr:relSizeAnchor>
  <cdr:relSizeAnchor xmlns:cdr="http://schemas.openxmlformats.org/drawingml/2006/chartDrawing">
    <cdr:from>
      <cdr:x>0.87744</cdr:x>
      <cdr:y>0.22931</cdr:y>
    </cdr:from>
    <cdr:to>
      <cdr:x>0.95669</cdr:x>
      <cdr:y>0.94424</cdr:y>
    </cdr:to>
    <cdr:sp macro="" textlink="">
      <cdr:nvSpPr>
        <cdr:cNvPr id="3" name="Rectangle 2"/>
        <cdr:cNvSpPr/>
      </cdr:nvSpPr>
      <cdr:spPr>
        <a:xfrm xmlns:a="http://schemas.openxmlformats.org/drawingml/2006/main">
          <a:off x="3725233" y="571539"/>
          <a:ext cx="336461" cy="1781850"/>
        </a:xfrm>
        <a:prstGeom xmlns:a="http://schemas.openxmlformats.org/drawingml/2006/main" prst="rect">
          <a:avLst/>
        </a:prstGeom>
        <a:solidFill xmlns:a="http://schemas.openxmlformats.org/drawingml/2006/main">
          <a:schemeClr val="accent1">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sz="1100"/>
        </a:p>
      </cdr:txBody>
    </cdr:sp>
  </cdr:relSizeAnchor>
  <cdr:relSizeAnchor xmlns:cdr="http://schemas.openxmlformats.org/drawingml/2006/chartDrawing">
    <cdr:from>
      <cdr:x>0.05048</cdr:x>
      <cdr:y>0.03822</cdr:y>
    </cdr:from>
    <cdr:to>
      <cdr:x>0.94789</cdr:x>
      <cdr:y>0.19745</cdr:y>
    </cdr:to>
    <cdr:sp macro="" textlink="">
      <cdr:nvSpPr>
        <cdr:cNvPr id="4" name="TextBox 3"/>
        <cdr:cNvSpPr txBox="1"/>
      </cdr:nvSpPr>
      <cdr:spPr>
        <a:xfrm xmlns:a="http://schemas.openxmlformats.org/drawingml/2006/main">
          <a:off x="214312" y="95250"/>
          <a:ext cx="3810000" cy="396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0.05235</cdr:x>
      <cdr:y>0.01592</cdr:y>
    </cdr:from>
    <cdr:to>
      <cdr:x>0.97593</cdr:x>
      <cdr:y>0.22293</cdr:y>
    </cdr:to>
    <cdr:sp macro="" textlink="">
      <cdr:nvSpPr>
        <cdr:cNvPr id="5" name="TextBox 4"/>
        <cdr:cNvSpPr txBox="1"/>
      </cdr:nvSpPr>
      <cdr:spPr>
        <a:xfrm xmlns:a="http://schemas.openxmlformats.org/drawingml/2006/main">
          <a:off x="222249" y="39687"/>
          <a:ext cx="3921125" cy="515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 y eso ha provocado un deterioro de la cuenta corriente</a:t>
          </a:r>
          <a:r>
            <a:rPr lang="es-ES" sz="1100" i="1" baseline="0"/>
            <a:t>. A pesar de las cuantiosas entradas financieras, el superávit en BP está contrayéndose...</a:t>
          </a:r>
        </a:p>
      </cdr:txBody>
    </cdr:sp>
  </cdr:relSizeAnchor>
</c:userShapes>
</file>

<file path=xl/drawings/drawing35.xml><?xml version="1.0" encoding="utf-8"?>
<c:userShapes xmlns:c="http://schemas.openxmlformats.org/drawingml/2006/chart">
  <cdr:relSizeAnchor xmlns:cdr="http://schemas.openxmlformats.org/drawingml/2006/chartDrawing">
    <cdr:from>
      <cdr:x>0.85628</cdr:x>
      <cdr:y>0.09612</cdr:y>
    </cdr:from>
    <cdr:to>
      <cdr:x>0.95423</cdr:x>
      <cdr:y>0.91269</cdr:y>
    </cdr:to>
    <cdr:sp macro="" textlink="">
      <cdr:nvSpPr>
        <cdr:cNvPr id="2" name="Rectangle 1"/>
        <cdr:cNvSpPr/>
      </cdr:nvSpPr>
      <cdr:spPr>
        <a:xfrm xmlns:a="http://schemas.openxmlformats.org/drawingml/2006/main">
          <a:off x="3635375" y="253997"/>
          <a:ext cx="415859" cy="2157733"/>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dr:relSizeAnchor xmlns:cdr="http://schemas.openxmlformats.org/drawingml/2006/chartDrawing">
    <cdr:from>
      <cdr:x>0.05796</cdr:x>
      <cdr:y>0.03424</cdr:y>
    </cdr:from>
    <cdr:to>
      <cdr:x>0.88993</cdr:x>
      <cdr:y>0.25353</cdr:y>
    </cdr:to>
    <cdr:sp macro="" textlink="">
      <cdr:nvSpPr>
        <cdr:cNvPr id="3" name="TextBox 2"/>
        <cdr:cNvSpPr txBox="1"/>
      </cdr:nvSpPr>
      <cdr:spPr>
        <a:xfrm xmlns:a="http://schemas.openxmlformats.org/drawingml/2006/main">
          <a:off x="246063" y="90488"/>
          <a:ext cx="3532187" cy="5794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...lo cual incrementó la </a:t>
          </a:r>
          <a:r>
            <a:rPr lang="es-ES" sz="1100" i="1" baseline="0"/>
            <a:t>posición de inversión internacional neta negativa del país. </a:t>
          </a:r>
        </a:p>
      </cdr:txBody>
    </cdr:sp>
  </cdr:relSizeAnchor>
</c:userShapes>
</file>

<file path=xl/drawings/drawing36.xml><?xml version="1.0" encoding="utf-8"?>
<c:userShapes xmlns:c="http://schemas.openxmlformats.org/drawingml/2006/chart">
  <cdr:relSizeAnchor xmlns:cdr="http://schemas.openxmlformats.org/drawingml/2006/chartDrawing">
    <cdr:from>
      <cdr:x>0.08238</cdr:x>
      <cdr:y>0.87624</cdr:y>
    </cdr:from>
    <cdr:to>
      <cdr:x>0.50321</cdr:x>
      <cdr:y>0.94707</cdr:y>
    </cdr:to>
    <cdr:sp macro="" textlink="">
      <cdr:nvSpPr>
        <cdr:cNvPr id="2" name="TextBox 1"/>
        <cdr:cNvSpPr txBox="1"/>
      </cdr:nvSpPr>
      <cdr:spPr>
        <a:xfrm xmlns:a="http://schemas.openxmlformats.org/drawingml/2006/main">
          <a:off x="349740" y="2315401"/>
          <a:ext cx="1786659" cy="1871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baseline="30000"/>
            <a:t>1</a:t>
          </a:r>
          <a:r>
            <a:rPr lang="es-ES" sz="800"/>
            <a:t> aumento = depreciación</a:t>
          </a:r>
        </a:p>
      </cdr:txBody>
    </cdr:sp>
  </cdr:relSizeAnchor>
  <cdr:relSizeAnchor xmlns:cdr="http://schemas.openxmlformats.org/drawingml/2006/chartDrawing">
    <cdr:from>
      <cdr:x>0.09562</cdr:x>
      <cdr:y>0.04798</cdr:y>
    </cdr:from>
    <cdr:to>
      <cdr:x>0.87871</cdr:x>
      <cdr:y>0.33163</cdr:y>
    </cdr:to>
    <cdr:sp macro="" textlink="">
      <cdr:nvSpPr>
        <cdr:cNvPr id="4" name="TextBox 3"/>
        <cdr:cNvSpPr txBox="1"/>
      </cdr:nvSpPr>
      <cdr:spPr>
        <a:xfrm xmlns:a="http://schemas.openxmlformats.org/drawingml/2006/main">
          <a:off x="405963" y="126771"/>
          <a:ext cx="3324663" cy="7495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latin typeface="+mn-lt"/>
              <a:ea typeface="+mn-ea"/>
              <a:cs typeface="+mn-cs"/>
            </a:rPr>
            <a:t>La tendencia de apreciación del tipo de cambio real </a:t>
          </a:r>
          <a:r>
            <a:rPr lang="es-ES" sz="1100" i="1" baseline="0">
              <a:latin typeface="+mn-lt"/>
              <a:ea typeface="+mn-ea"/>
              <a:cs typeface="+mn-cs"/>
            </a:rPr>
            <a:t>se he debido sobre todo a los diferenciales de inflación...</a:t>
          </a:r>
        </a:p>
      </cdr:txBody>
    </cdr:sp>
  </cdr:relSizeAnchor>
  <cdr:relSizeAnchor xmlns:cdr="http://schemas.openxmlformats.org/drawingml/2006/chartDrawing">
    <cdr:from>
      <cdr:x>0.46821</cdr:x>
      <cdr:y>0.29597</cdr:y>
    </cdr:from>
    <cdr:to>
      <cdr:x>0.74844</cdr:x>
      <cdr:y>0.38639</cdr:y>
    </cdr:to>
    <cdr:sp macro="" textlink="">
      <cdr:nvSpPr>
        <cdr:cNvPr id="5" name="TextBox 4"/>
        <cdr:cNvSpPr txBox="1"/>
      </cdr:nvSpPr>
      <cdr:spPr>
        <a:xfrm xmlns:a="http://schemas.openxmlformats.org/drawingml/2006/main">
          <a:off x="1987802" y="782080"/>
          <a:ext cx="1189734" cy="2389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Tipo de cambio real </a:t>
          </a:r>
          <a:r>
            <a:rPr lang="es-ES" sz="800" baseline="30000"/>
            <a:t>1</a:t>
          </a:r>
        </a:p>
      </cdr:txBody>
    </cdr:sp>
  </cdr:relSizeAnchor>
  <cdr:relSizeAnchor xmlns:cdr="http://schemas.openxmlformats.org/drawingml/2006/chartDrawing">
    <cdr:from>
      <cdr:x>0.03178</cdr:x>
      <cdr:y>0.01922</cdr:y>
    </cdr:from>
    <cdr:to>
      <cdr:x>0.9778</cdr:x>
      <cdr:y>0.32562</cdr:y>
    </cdr:to>
    <cdr:sp macro="" textlink="">
      <cdr:nvSpPr>
        <cdr:cNvPr id="6" name="TextBox 5"/>
        <cdr:cNvSpPr txBox="1"/>
      </cdr:nvSpPr>
      <cdr:spPr>
        <a:xfrm xmlns:a="http://schemas.openxmlformats.org/drawingml/2006/main">
          <a:off x="134938" y="50800"/>
          <a:ext cx="4016375" cy="809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0.29727</cdr:x>
      <cdr:y>0.40372</cdr:y>
    </cdr:from>
    <cdr:to>
      <cdr:x>0.4487</cdr:x>
      <cdr:y>0.58695</cdr:y>
    </cdr:to>
    <cdr:sp macro="" textlink="">
      <cdr:nvSpPr>
        <cdr:cNvPr id="7" name="TextBox 6"/>
        <cdr:cNvSpPr txBox="1"/>
      </cdr:nvSpPr>
      <cdr:spPr>
        <a:xfrm xmlns:a="http://schemas.openxmlformats.org/drawingml/2006/main">
          <a:off x="1262063" y="1066799"/>
          <a:ext cx="642937" cy="4841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Inflación en socios comerciales</a:t>
          </a:r>
        </a:p>
      </cdr:txBody>
    </cdr:sp>
  </cdr:relSizeAnchor>
  <cdr:relSizeAnchor xmlns:cdr="http://schemas.openxmlformats.org/drawingml/2006/chartDrawing">
    <cdr:from>
      <cdr:x>0.53658</cdr:x>
      <cdr:y>0.47881</cdr:y>
    </cdr:from>
    <cdr:to>
      <cdr:x>0.81515</cdr:x>
      <cdr:y>0.56893</cdr:y>
    </cdr:to>
    <cdr:sp macro="" textlink="">
      <cdr:nvSpPr>
        <cdr:cNvPr id="8" name="TextBox 7"/>
        <cdr:cNvSpPr txBox="1"/>
      </cdr:nvSpPr>
      <cdr:spPr>
        <a:xfrm xmlns:a="http://schemas.openxmlformats.org/drawingml/2006/main">
          <a:off x="2278062" y="1265237"/>
          <a:ext cx="1182688"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800"/>
            <a:t>Tasa de inflación interna</a:t>
          </a:r>
        </a:p>
      </cdr:txBody>
    </cdr:sp>
  </cdr:relSizeAnchor>
  <cdr:relSizeAnchor xmlns:cdr="http://schemas.openxmlformats.org/drawingml/2006/chartDrawing">
    <cdr:from>
      <cdr:x>0.60014</cdr:x>
      <cdr:y>0.5479</cdr:y>
    </cdr:from>
    <cdr:to>
      <cdr:x>0.65997</cdr:x>
      <cdr:y>0.60798</cdr:y>
    </cdr:to>
    <cdr:sp macro="" textlink="">
      <cdr:nvSpPr>
        <cdr:cNvPr id="10" name="Straight Arrow Connector 9"/>
        <cdr:cNvSpPr/>
      </cdr:nvSpPr>
      <cdr:spPr>
        <a:xfrm xmlns:a="http://schemas.openxmlformats.org/drawingml/2006/main" flipH="1">
          <a:off x="2547938" y="1447800"/>
          <a:ext cx="254000" cy="158750"/>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0.39075</cdr:x>
      <cdr:y>0.57794</cdr:y>
    </cdr:from>
    <cdr:to>
      <cdr:x>0.39822</cdr:x>
      <cdr:y>0.69509</cdr:y>
    </cdr:to>
    <cdr:sp macro="" textlink="">
      <cdr:nvSpPr>
        <cdr:cNvPr id="12" name="Straight Arrow Connector 11"/>
        <cdr:cNvSpPr/>
      </cdr:nvSpPr>
      <cdr:spPr>
        <a:xfrm xmlns:a="http://schemas.openxmlformats.org/drawingml/2006/main">
          <a:off x="1658938" y="1527175"/>
          <a:ext cx="31750" cy="309562"/>
        </a:xfrm>
        <a:prstGeom xmlns:a="http://schemas.openxmlformats.org/drawingml/2006/main" prst="straightConnector1">
          <a:avLst/>
        </a:prstGeom>
        <a:ln xmlns:a="http://schemas.openxmlformats.org/drawingml/2006/main">
          <a:tailEnd type="arrow"/>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0.78897</cdr:x>
      <cdr:y>0.24151</cdr:y>
    </cdr:from>
    <cdr:to>
      <cdr:x>0.86822</cdr:x>
      <cdr:y>0.81357</cdr:y>
    </cdr:to>
    <cdr:sp macro="" textlink="">
      <cdr:nvSpPr>
        <cdr:cNvPr id="13" name="Rectangle 12"/>
        <cdr:cNvSpPr/>
      </cdr:nvSpPr>
      <cdr:spPr>
        <a:xfrm xmlns:a="http://schemas.openxmlformats.org/drawingml/2006/main">
          <a:off x="3349625" y="638175"/>
          <a:ext cx="336461" cy="1511621"/>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37.xml><?xml version="1.0" encoding="utf-8"?>
<c:userShapes xmlns:c="http://schemas.openxmlformats.org/drawingml/2006/chart">
  <cdr:relSizeAnchor xmlns:cdr="http://schemas.openxmlformats.org/drawingml/2006/chartDrawing">
    <cdr:from>
      <cdr:x>0.04276</cdr:x>
      <cdr:y>0.93436</cdr:y>
    </cdr:from>
    <cdr:to>
      <cdr:x>0.05365</cdr:x>
      <cdr:y>1</cdr:y>
    </cdr:to>
    <cdr:sp macro="" textlink="">
      <cdr:nvSpPr>
        <cdr:cNvPr id="3" name="Text Box 4"/>
        <cdr:cNvSpPr txBox="1">
          <a:spLocks xmlns:a="http://schemas.openxmlformats.org/drawingml/2006/main" noChangeArrowheads="1"/>
        </cdr:cNvSpPr>
      </cdr:nvSpPr>
      <cdr:spPr bwMode="auto">
        <a:xfrm xmlns:a="http://schemas.openxmlformats.org/drawingml/2006/main">
          <a:off x="181540" y="2468990"/>
          <a:ext cx="46231" cy="1734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none" lIns="45720" tIns="36576" rIns="0" bIns="0" anchor="t" upright="1">
          <a:spAutoFit/>
        </a:bodyPr>
        <a:lstStyle xmlns:a="http://schemas.openxmlformats.org/drawingml/2006/main"/>
        <a:p xmlns:a="http://schemas.openxmlformats.org/drawingml/2006/main">
          <a:pPr algn="l" rtl="0">
            <a:defRPr sz="1000"/>
          </a:pPr>
          <a:endParaRPr lang="en-US" sz="800" b="0" i="0" u="none" strike="noStrike" baseline="0">
            <a:solidFill>
              <a:srgbClr val="000000"/>
            </a:solidFill>
            <a:latin typeface="Segoe UI"/>
            <a:cs typeface="Arial"/>
          </a:endParaRPr>
        </a:p>
      </cdr:txBody>
    </cdr:sp>
  </cdr:relSizeAnchor>
  <cdr:relSizeAnchor xmlns:cdr="http://schemas.openxmlformats.org/drawingml/2006/chartDrawing">
    <cdr:from>
      <cdr:x>0.043</cdr:x>
      <cdr:y>0.02824</cdr:y>
    </cdr:from>
    <cdr:to>
      <cdr:x>0.95537</cdr:x>
      <cdr:y>0.19044</cdr:y>
    </cdr:to>
    <cdr:sp macro="" textlink="">
      <cdr:nvSpPr>
        <cdr:cNvPr id="4" name="TextBox 3"/>
        <cdr:cNvSpPr txBox="1"/>
      </cdr:nvSpPr>
      <cdr:spPr>
        <a:xfrm xmlns:a="http://schemas.openxmlformats.org/drawingml/2006/main">
          <a:off x="182562" y="74613"/>
          <a:ext cx="387350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s-ES" sz="1100" i="1"/>
            <a:t>...y las reservas empezaron a </a:t>
          </a:r>
          <a:r>
            <a:rPr lang="es-ES" sz="1100" i="1" baseline="0">
              <a:latin typeface="+mn-lt"/>
              <a:ea typeface="+mn-ea"/>
              <a:cs typeface="+mn-cs"/>
            </a:rPr>
            <a:t>situarse por debajo del nivel de tres meses de cobertura de las importaciones...</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a:p>
      </cdr:txBody>
    </cdr:sp>
  </cdr:relSizeAnchor>
  <cdr:relSizeAnchor xmlns:cdr="http://schemas.openxmlformats.org/drawingml/2006/chartDrawing">
    <cdr:from>
      <cdr:x>0.80206</cdr:x>
      <cdr:y>0.21928</cdr:y>
    </cdr:from>
    <cdr:to>
      <cdr:x>0.88131</cdr:x>
      <cdr:y>0.79134</cdr:y>
    </cdr:to>
    <cdr:sp macro="" textlink="">
      <cdr:nvSpPr>
        <cdr:cNvPr id="5" name="Rectangle 4"/>
        <cdr:cNvSpPr/>
      </cdr:nvSpPr>
      <cdr:spPr>
        <a:xfrm xmlns:a="http://schemas.openxmlformats.org/drawingml/2006/main">
          <a:off x="3405187" y="579437"/>
          <a:ext cx="336461" cy="1511621"/>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38.xml><?xml version="1.0" encoding="utf-8"?>
<xdr:wsDr xmlns:xdr="http://schemas.openxmlformats.org/drawingml/2006/spreadsheetDrawing" xmlns:a="http://schemas.openxmlformats.org/drawingml/2006/main">
  <xdr:twoCellAnchor editAs="absolute">
    <xdr:from>
      <xdr:col>1</xdr:col>
      <xdr:colOff>215900</xdr:colOff>
      <xdr:row>0</xdr:row>
      <xdr:rowOff>0</xdr:rowOff>
    </xdr:from>
    <xdr:to>
      <xdr:col>12</xdr:col>
      <xdr:colOff>406400</xdr:colOff>
      <xdr:row>2</xdr:row>
      <xdr:rowOff>19050</xdr:rowOff>
    </xdr:to>
    <xdr:sp macro="" textlink="">
      <xdr:nvSpPr>
        <xdr:cNvPr id="2" name="Header">
          <a:extLst>
            <a:ext uri="{FF2B5EF4-FFF2-40B4-BE49-F238E27FC236}">
              <a16:creationId xmlns:a16="http://schemas.microsoft.com/office/drawing/2014/main" id="{00000000-0008-0000-2F00-000002000000}"/>
            </a:ext>
          </a:extLst>
        </xdr:cNvPr>
        <xdr:cNvSpPr txBox="1"/>
      </xdr:nvSpPr>
      <xdr:spPr>
        <a:xfrm>
          <a:off x="825500" y="0"/>
          <a:ext cx="7239000" cy="19240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s-ES" sz="1100" b="1" i="0">
              <a:solidFill>
                <a:schemeClr val="accent5"/>
              </a:solidFill>
              <a:latin typeface="Arial"/>
            </a:rPr>
            <a:t>Gráfico 3. Macronia,</a:t>
          </a:r>
          <a:r>
            <a:rPr lang="es-ES" sz="1100" b="1" i="0" baseline="0">
              <a:solidFill>
                <a:schemeClr val="accent5"/>
              </a:solidFill>
              <a:latin typeface="Arial"/>
            </a:rPr>
            <a:t> orientación fiscal y monetaria 2008-2014</a:t>
          </a:r>
        </a:p>
        <a:p>
          <a:pPr algn="ctr"/>
          <a:endParaRPr/>
        </a:p>
      </xdr:txBody>
    </xdr:sp>
    <xdr:clientData/>
  </xdr:twoCellAnchor>
  <xdr:twoCellAnchor editAs="absolute">
    <xdr:from>
      <xdr:col>0</xdr:col>
      <xdr:colOff>203200</xdr:colOff>
      <xdr:row>31</xdr:row>
      <xdr:rowOff>63500</xdr:rowOff>
    </xdr:from>
    <xdr:to>
      <xdr:col>11</xdr:col>
      <xdr:colOff>215900</xdr:colOff>
      <xdr:row>33</xdr:row>
      <xdr:rowOff>160337</xdr:rowOff>
    </xdr:to>
    <xdr:sp macro="" textlink="">
      <xdr:nvSpPr>
        <xdr:cNvPr id="3" name="Footer">
          <a:extLst>
            <a:ext uri="{FF2B5EF4-FFF2-40B4-BE49-F238E27FC236}">
              <a16:creationId xmlns:a16="http://schemas.microsoft.com/office/drawing/2014/main" id="{00000000-0008-0000-2F00-000003000000}"/>
            </a:ext>
          </a:extLst>
        </xdr:cNvPr>
        <xdr:cNvSpPr txBox="1"/>
      </xdr:nvSpPr>
      <xdr:spPr>
        <a:xfrm>
          <a:off x="203200" y="29743400"/>
          <a:ext cx="7061200" cy="2459037"/>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marL="0" marR="0" indent="0" defTabSz="914400" eaLnBrk="1" fontAlgn="auto" latinLnBrk="0" hangingPunct="1">
            <a:lnSpc>
              <a:spcPct val="100000"/>
            </a:lnSpc>
            <a:spcBef>
              <a:spcPts val="0"/>
            </a:spcBef>
            <a:spcAft>
              <a:spcPts val="0"/>
            </a:spcAft>
            <a:buClrTx/>
            <a:buSzTx/>
            <a:buFontTx/>
            <a:buNone/>
            <a:tabLst/>
            <a:defRPr/>
          </a:pPr>
          <a:r>
            <a:rPr lang="es-ES" sz="1100" b="0" i="0" baseline="0">
              <a:solidFill>
                <a:schemeClr val="dk1"/>
              </a:solidFill>
              <a:latin typeface="+mn-lt"/>
              <a:ea typeface="+mn-ea"/>
              <a:cs typeface="+mn-cs"/>
            </a:rPr>
            <a:t>Fuente: Cálculos del personal técnico del FMI.</a:t>
          </a: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a:p>
          <a:pPr marL="0" marR="0" indent="0" defTabSz="914400" eaLnBrk="1" fontAlgn="auto" latinLnBrk="0" hangingPunct="1">
            <a:lnSpc>
              <a:spcPct val="100000"/>
            </a:lnSpc>
            <a:spcBef>
              <a:spcPts val="0"/>
            </a:spcBef>
            <a:spcAft>
              <a:spcPts val="0"/>
            </a:spcAft>
            <a:buClrTx/>
            <a:buSzTx/>
            <a:buFontTx/>
            <a:buNone/>
            <a:tabLst/>
            <a:defRPr/>
          </a:pPr>
          <a:endParaRPr/>
        </a:p>
      </xdr:txBody>
    </xdr:sp>
    <xdr:clientData/>
  </xdr:twoCellAnchor>
  <xdr:absoluteAnchor>
    <xdr:pos x="0" y="457200"/>
    <xdr:ext cx="4245560" cy="2642435"/>
    <xdr:graphicFrame macro="">
      <xdr:nvGraphicFramePr>
        <xdr:cNvPr id="4" name="Panel1 Chart 31">
          <a:extLst>
            <a:ext uri="{FF2B5EF4-FFF2-40B4-BE49-F238E27FC236}">
              <a16:creationId xmlns:a16="http://schemas.microsoft.com/office/drawing/2014/main" id="{00000000-0008-0000-2F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4572000" y="457200"/>
    <xdr:ext cx="4245560" cy="2642435"/>
    <xdr:graphicFrame macro="">
      <xdr:nvGraphicFramePr>
        <xdr:cNvPr id="5" name="Panel1 Chart 41">
          <a:extLst>
            <a:ext uri="{FF2B5EF4-FFF2-40B4-BE49-F238E27FC236}">
              <a16:creationId xmlns:a16="http://schemas.microsoft.com/office/drawing/2014/main" id="{00000000-0008-0000-2F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124200"/>
    <xdr:ext cx="4247988" cy="2641008"/>
    <xdr:graphicFrame macro="">
      <xdr:nvGraphicFramePr>
        <xdr:cNvPr id="6" name="Panel1 Chart 51">
          <a:extLst>
            <a:ext uri="{FF2B5EF4-FFF2-40B4-BE49-F238E27FC236}">
              <a16:creationId xmlns:a16="http://schemas.microsoft.com/office/drawing/2014/main" id="{00000000-0008-0000-2F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4572000" y="3124200"/>
    <xdr:ext cx="4245560" cy="2642435"/>
    <xdr:graphicFrame macro="">
      <xdr:nvGraphicFramePr>
        <xdr:cNvPr id="7" name="Panel1 Chart 61">
          <a:extLst>
            <a:ext uri="{FF2B5EF4-FFF2-40B4-BE49-F238E27FC236}">
              <a16:creationId xmlns:a16="http://schemas.microsoft.com/office/drawing/2014/main" id="{00000000-0008-0000-2F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xdr:from>
      <xdr:col>0</xdr:col>
      <xdr:colOff>457201</xdr:colOff>
      <xdr:row>1</xdr:row>
      <xdr:rowOff>103187</xdr:rowOff>
    </xdr:from>
    <xdr:to>
      <xdr:col>5</xdr:col>
      <xdr:colOff>180975</xdr:colOff>
      <xdr:row>4</xdr:row>
      <xdr:rowOff>0</xdr:rowOff>
    </xdr:to>
    <xdr:sp macro="" textlink="">
      <xdr:nvSpPr>
        <xdr:cNvPr id="8" name="TextBox 7">
          <a:extLst>
            <a:ext uri="{FF2B5EF4-FFF2-40B4-BE49-F238E27FC236}">
              <a16:creationId xmlns:a16="http://schemas.microsoft.com/office/drawing/2014/main" id="{00000000-0008-0000-2F00-000008000000}"/>
            </a:ext>
          </a:extLst>
        </xdr:cNvPr>
        <xdr:cNvSpPr txBox="1"/>
      </xdr:nvSpPr>
      <xdr:spPr>
        <a:xfrm>
          <a:off x="457201" y="293687"/>
          <a:ext cx="2771774" cy="468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sz="1100" i="1"/>
            <a:t>La brecha del producto </a:t>
          </a:r>
          <a:r>
            <a:rPr lang="es-ES" sz="1100" i="1" baseline="0"/>
            <a:t>se amplió debido a un orientación cada vez más expansiva en 2012-13...</a:t>
          </a:r>
        </a:p>
      </xdr:txBody>
    </xdr:sp>
    <xdr:clientData/>
  </xdr:twoCellAnchor>
</xdr:wsDr>
</file>

<file path=xl/drawings/drawing39.xml><?xml version="1.0" encoding="utf-8"?>
<c:userShapes xmlns:c="http://schemas.openxmlformats.org/drawingml/2006/chart">
  <cdr:relSizeAnchor xmlns:cdr="http://schemas.openxmlformats.org/drawingml/2006/chartDrawing">
    <cdr:from>
      <cdr:x>0.29942</cdr:x>
      <cdr:y>0.01558</cdr:y>
    </cdr:from>
    <cdr:to>
      <cdr:x>0.70757</cdr:x>
      <cdr:y>0.0873</cdr:y>
    </cdr:to>
    <cdr:sp macro="" textlink="">
      <cdr:nvSpPr>
        <cdr:cNvPr id="2" name="TextBox 1"/>
        <cdr:cNvSpPr txBox="1"/>
      </cdr:nvSpPr>
      <cdr:spPr>
        <a:xfrm xmlns:a="http://schemas.openxmlformats.org/drawingml/2006/main">
          <a:off x="1271200" y="41174"/>
          <a:ext cx="1732837" cy="1895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800" b="1"/>
        </a:p>
      </cdr:txBody>
    </cdr:sp>
  </cdr:relSizeAnchor>
  <cdr:relSizeAnchor xmlns:cdr="http://schemas.openxmlformats.org/drawingml/2006/chartDrawing">
    <cdr:from>
      <cdr:x>0.85067</cdr:x>
      <cdr:y>0.10634</cdr:y>
    </cdr:from>
    <cdr:to>
      <cdr:x>0.92992</cdr:x>
      <cdr:y>0.52087</cdr:y>
    </cdr:to>
    <cdr:sp macro="" textlink="">
      <cdr:nvSpPr>
        <cdr:cNvPr id="3" name="Rectangle 2"/>
        <cdr:cNvSpPr/>
      </cdr:nvSpPr>
      <cdr:spPr>
        <a:xfrm xmlns:a="http://schemas.openxmlformats.org/drawingml/2006/main">
          <a:off x="3611562" y="280989"/>
          <a:ext cx="336461" cy="1095374"/>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40.xml><?xml version="1.0" encoding="utf-8"?>
<c:userShapes xmlns:c="http://schemas.openxmlformats.org/drawingml/2006/chart">
  <cdr:relSizeAnchor xmlns:cdr="http://schemas.openxmlformats.org/drawingml/2006/chartDrawing">
    <cdr:from>
      <cdr:x>0.08413</cdr:x>
      <cdr:y>0.0012</cdr:y>
    </cdr:from>
    <cdr:to>
      <cdr:x>0.92732</cdr:x>
      <cdr:y>0.15139</cdr:y>
    </cdr:to>
    <cdr:sp macro="" textlink="">
      <cdr:nvSpPr>
        <cdr:cNvPr id="3" name="TextBox 2"/>
        <cdr:cNvSpPr txBox="1"/>
      </cdr:nvSpPr>
      <cdr:spPr>
        <a:xfrm xmlns:a="http://schemas.openxmlformats.org/drawingml/2006/main">
          <a:off x="357188" y="3175"/>
          <a:ext cx="3579812" cy="3968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...que hizo que aumentara la deuda del gobierno general.</a:t>
          </a:r>
        </a:p>
      </cdr:txBody>
    </cdr:sp>
  </cdr:relSizeAnchor>
  <cdr:relSizeAnchor xmlns:cdr="http://schemas.openxmlformats.org/drawingml/2006/chartDrawing">
    <cdr:from>
      <cdr:x>0.71307</cdr:x>
      <cdr:y>0.11835</cdr:y>
    </cdr:from>
    <cdr:to>
      <cdr:x>0.79232</cdr:x>
      <cdr:y>0.87112</cdr:y>
    </cdr:to>
    <cdr:sp macro="" textlink="">
      <cdr:nvSpPr>
        <cdr:cNvPr id="4" name="Rectangle 3"/>
        <cdr:cNvSpPr/>
      </cdr:nvSpPr>
      <cdr:spPr>
        <a:xfrm xmlns:a="http://schemas.openxmlformats.org/drawingml/2006/main">
          <a:off x="3027365" y="312732"/>
          <a:ext cx="336461" cy="1989146"/>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41.xml><?xml version="1.0" encoding="utf-8"?>
<c:userShapes xmlns:c="http://schemas.openxmlformats.org/drawingml/2006/chart">
  <cdr:relSizeAnchor xmlns:cdr="http://schemas.openxmlformats.org/drawingml/2006/chartDrawing">
    <cdr:from>
      <cdr:x>0.08067</cdr:x>
      <cdr:y>0</cdr:y>
    </cdr:from>
    <cdr:to>
      <cdr:x>0.99219</cdr:x>
      <cdr:y>0.27458</cdr:y>
    </cdr:to>
    <cdr:sp macro="" textlink="">
      <cdr:nvSpPr>
        <cdr:cNvPr id="2" name="TextBox 1"/>
        <cdr:cNvSpPr txBox="1"/>
      </cdr:nvSpPr>
      <cdr:spPr>
        <a:xfrm xmlns:a="http://schemas.openxmlformats.org/drawingml/2006/main">
          <a:off x="342685" y="0"/>
          <a:ext cx="3872126" cy="7251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b="0" i="1"/>
            <a:t>A raíz de la política fiscal </a:t>
          </a:r>
          <a:r>
            <a:rPr lang="es-ES" sz="1100" b="0" i="1" baseline="0"/>
            <a:t>expansiva adoptada en 2013, la política monetaria se endureció y las tasas de interés activas han empezado a subir...</a:t>
          </a:r>
        </a:p>
      </cdr:txBody>
    </cdr:sp>
  </cdr:relSizeAnchor>
  <cdr:relSizeAnchor xmlns:cdr="http://schemas.openxmlformats.org/drawingml/2006/chartDrawing">
    <cdr:from>
      <cdr:x>0.29143</cdr:x>
      <cdr:y>0.23877</cdr:y>
    </cdr:from>
    <cdr:to>
      <cdr:x>0.46182</cdr:x>
      <cdr:y>0.31451</cdr:y>
    </cdr:to>
    <cdr:sp macro="" textlink="">
      <cdr:nvSpPr>
        <cdr:cNvPr id="3" name="TextBox 2"/>
        <cdr:cNvSpPr txBox="1"/>
      </cdr:nvSpPr>
      <cdr:spPr>
        <a:xfrm xmlns:a="http://schemas.openxmlformats.org/drawingml/2006/main">
          <a:off x="2526547" y="1501398"/>
          <a:ext cx="1477182" cy="476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a:p>
      </cdr:txBody>
    </cdr:sp>
  </cdr:relSizeAnchor>
  <cdr:relSizeAnchor xmlns:cdr="http://schemas.openxmlformats.org/drawingml/2006/chartDrawing">
    <cdr:from>
      <cdr:x>0.23759</cdr:x>
      <cdr:y>0.16209</cdr:y>
    </cdr:from>
    <cdr:to>
      <cdr:x>0.41668</cdr:x>
      <cdr:y>0.22962</cdr:y>
    </cdr:to>
    <cdr:sp macro="" textlink="">
      <cdr:nvSpPr>
        <cdr:cNvPr id="5" name="TextBox 4"/>
        <cdr:cNvSpPr txBox="1"/>
      </cdr:nvSpPr>
      <cdr:spPr>
        <a:xfrm xmlns:a="http://schemas.openxmlformats.org/drawingml/2006/main">
          <a:off x="1009273" y="428092"/>
          <a:ext cx="760789" cy="1783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a:p>
      </cdr:txBody>
    </cdr:sp>
  </cdr:relSizeAnchor>
  <cdr:relSizeAnchor xmlns:cdr="http://schemas.openxmlformats.org/drawingml/2006/chartDrawing">
    <cdr:from>
      <cdr:x>0.87074</cdr:x>
      <cdr:y>0.19355</cdr:y>
    </cdr:from>
    <cdr:to>
      <cdr:x>0.94994</cdr:x>
      <cdr:y>0.85656</cdr:y>
    </cdr:to>
    <cdr:sp macro="" textlink="">
      <cdr:nvSpPr>
        <cdr:cNvPr id="6" name="Rectangle 5"/>
        <cdr:cNvSpPr/>
      </cdr:nvSpPr>
      <cdr:spPr>
        <a:xfrm xmlns:a="http://schemas.openxmlformats.org/drawingml/2006/main">
          <a:off x="3698875" y="511175"/>
          <a:ext cx="336461" cy="1751012"/>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drawings/drawing42.xml><?xml version="1.0" encoding="utf-8"?>
<c:userShapes xmlns:c="http://schemas.openxmlformats.org/drawingml/2006/chart">
  <cdr:relSizeAnchor xmlns:cdr="http://schemas.openxmlformats.org/drawingml/2006/chartDrawing">
    <cdr:from>
      <cdr:x>0.09348</cdr:x>
      <cdr:y>0.01922</cdr:y>
    </cdr:from>
    <cdr:to>
      <cdr:x>0.94415</cdr:x>
      <cdr:y>0.19946</cdr:y>
    </cdr:to>
    <cdr:sp macro="" textlink="">
      <cdr:nvSpPr>
        <cdr:cNvPr id="2" name="TextBox 1"/>
        <cdr:cNvSpPr txBox="1"/>
      </cdr:nvSpPr>
      <cdr:spPr>
        <a:xfrm xmlns:a="http://schemas.openxmlformats.org/drawingml/2006/main">
          <a:off x="396873" y="50788"/>
          <a:ext cx="3611570" cy="4762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i="1"/>
            <a:t>...provocando una exclusión del crecimiento general del crédito </a:t>
          </a:r>
          <a:r>
            <a:rPr lang="es-ES" sz="1100" i="1" baseline="0"/>
            <a:t>al sector privado.</a:t>
          </a:r>
        </a:p>
      </cdr:txBody>
    </cdr:sp>
  </cdr:relSizeAnchor>
  <cdr:relSizeAnchor xmlns:cdr="http://schemas.openxmlformats.org/drawingml/2006/chartDrawing">
    <cdr:from>
      <cdr:x>0.85815</cdr:x>
      <cdr:y>0.13337</cdr:y>
    </cdr:from>
    <cdr:to>
      <cdr:x>0.9374</cdr:x>
      <cdr:y>0.85489</cdr:y>
    </cdr:to>
    <cdr:sp macro="" textlink="">
      <cdr:nvSpPr>
        <cdr:cNvPr id="4" name="Rectangle 3"/>
        <cdr:cNvSpPr/>
      </cdr:nvSpPr>
      <cdr:spPr>
        <a:xfrm xmlns:a="http://schemas.openxmlformats.org/drawingml/2006/main">
          <a:off x="3643328" y="352430"/>
          <a:ext cx="336461" cy="1906570"/>
        </a:xfrm>
        <a:prstGeom xmlns:a="http://schemas.openxmlformats.org/drawingml/2006/main" prst="rect">
          <a:avLst/>
        </a:prstGeom>
        <a:solidFill xmlns:a="http://schemas.openxmlformats.org/drawingml/2006/main">
          <a:srgbClr val="4F81BD">
            <a:alpha val="30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endParaRPr lang="en-US" sz="8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A:\WIN\Temporary%20Internet%20Files\OLK61E2\DOC\EG\CRS\WORKSHOP\TURKEY\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sfwn03p\ins\WINDOWS\TEMP\GeoBop0900_BseLin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PSGWN03P\WHD\Documents%20and%20Settings\seble\Local%20Settings\Temporary%20Internet%20Files\OLK8\2001%20Art%20IV\September%2011\Brb_BOP_2001_September50percenttoursimshortfal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My%20Documents\Dominican%20Republic\fiscal\DOFISC_A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WHD\DATA\PA\CHL\SECTORS\BOP\Bop02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CUADROS%20FISC.COMPARA969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DATA\DD\GEO\BOP\GeoBo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LCA\REAL\CONTENT.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_cuentas\ipc\indicado\varias\ITCER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DATA\C2\BRB\Sector%20Data\Real\current%20data%20files\DATA\US\ARM\REP\97ARMRED\TABLES\EDSSARMRED9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WHD\prog2000\prog2000revisi&#243;nmensualizaci&#243;noctubr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WHD\PROFINAN\Programa\prog2003\prog2003mensualizaci&#243;nener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WHD\PROFINAN\PROGRAMA%20MONETARIO\Base%20Devengado\2003\Seguimiento%20y%20base%20de%20datos\Base%20de%20datos%20del%20Programa%20Monetari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psfwn03p\ins\DATA\Rwanda\Bref1098\RWBOP998.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BOP9703_stres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WHD\Documents%20and%20Settings\radrogue\Local%20Settings\Temporary%20Internet%20Files\OLK5C\wrs238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whd\MARS\CarpetaRecuperada\MARS\INV-SPN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WHD\Documents%20and%20Settings\radrogue\Desktop\BOP-%20Baseline%20Carla%20May%2010%2004%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WHD\TEMP\Hoja%20de%20c&#225;lculo%20en%20FinancSECTOR%20P&#218;BLICO.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ocuments%20and%20Settings\pmorra\Local%20Settings\Temporary%20Internet%20Files\Content.Outlook\15J5GQXW\1Alvaro\Mexico\Venezuela\Bop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ta1\pdr\Documents%20and%20Settings\lgiorgianni\Local%20Settings\Temporary%20Internet%20Files\OLK45\DNCFP\Recursos\Proyrena\Anual\2002\Alt4_Proy20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WHD\prog2000\prog2000revisi&#243;nmensualizaci&#243;nnoviembre.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whd\DATA\ML\MEX\Other%20divisional%20data\REAL\amacr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WHD\DATA\CA\CRI\Other\Briefs\Brief-2002\CHRT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WHD\Documents%20and%20Settings\ivladkovahollar\My%20Local%20Documents\Costa%20Rica\BOP%20main%20file%20and%20other%20data\CRI-BOP.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ata1\pdr\DRAFTS\ST\RK\Requests\Christoph\debt%20restructuring%20comparison%20countries%201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data\wrs\xl97\system\WRS97TA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WHD\Documents%20and%20Settings\ivladkovahollar\Local%20Settings\Temporary%20Internet%20Files\OLK1F\BOP%20ART%20IV%202004\WEO-ex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JVI\FPP\2014%20September\Workshops\Spreadsheets\English\G17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whd\DATA\SV\VULNERABILITIES\VULNERABILITIES%202005-09\working-files\Master%20Cross%20Country%20MS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PSGWN03P\WHD\My%20Documents\LatinAmerica\Colombia\Reports%20Mission%20April%202000\Fiscal%20Tables\Fiscal%20Tabl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cunaam\c\modelo\MODELOMACRO-ESC-4.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whd\MERCAP\DORIS\ESTFIS\07-9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whd\MERCAP\DORIS\ESTFIS\01-9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DATA\MLI\Current\MLIBOP.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WHD\TRIMALEX\corrts99-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Documents%20and%20Settings\pmorra\Local%20Settings\Temporary%20Internet%20Files\Content.Outlook\15J5GQXW\Documents%20and%20Settings\athomas\Local%20Settings\Temporary%20Internet%20Files\OLK1CE\Sustain-Table-stres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PSSWN06p\wrs2\whd\system\WRSTAB.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September%2020-27,%202013\Group%20III%20-%20Mr.%20Christofides\DAY1\Potential%20Output\G17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Projections\Amber\Historical%20Budget%20Data\January%202011\Historicaltables2011_with%20MAD%20dat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WHD\WINDOWS\TEMP\CRI-BOP-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WHD\BALANZA\MERCAM\AGO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NTARES\COMUNFP&amp;AF$\MERCAP\MARIANO\TENENCIA\HACIEND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WHD\DATA\CA\CRI\EXTERNAL\Output\CRI-BOP-0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WHD\DATA\CA\CRI\Dbase\Dinput\CRI-INPUT-ABOP.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whd\DATA\CA\CRI\EXTERNAL\Output\Other-2002\CRI-INPUT-ABOP-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Monetario\users\MERCAP\TENENCIA\NUEVA\TENENCI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Users\CSANDBERG\AppData\Local\Microsoft\Windows\Temporary%20Internet%20Files\Content.Outlook\95UA1FVV\Data\Costa%20rica%20FPP-IT\FPP-IT%20HQ14.12%20Trabajos%20Practicos%20-%20Soluciones.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My%20Documents\Dominican%20Republic\external\Dobop_sr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WHD\TEMP\tasa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DATA\C2\BRB\Sector%20Data\Real\current%20data%20files\DATA\C2\TTO\REAL\archive\REAL-archiv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DATA\C2\BRB\Sector%20Data\Real\current%20data%20files\Documents%20and%20Settings\GKWON\My%20Local%20Documents\Goohoon\Trinidad\BOP\Active%20TTO%20BOP%202004%20Mission_JUne1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PSGWN03P\WHD\DATA\C2\TTO\EXTERNAL\TTO%20BOP%202003.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GDP%20table"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CPLAZO\IMAE\PR\INF1-ALEX.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DATA\C2\BRB\Sector%20Data\Real\current%20data%20files\Documents%20and%20Settings\pkufa\Local%20Settings\Temporary%20Internet%20Files\OLK1BA\ttreal03_revisedTestNewData.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www-int.imf.org/depts/pdr/Policies/Access/ExternalSustainTable_standard.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DOC\B2\CHIEF\CRI\97RED\CGOVFEB.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ATA1\FAD\BOARD\MOZAMBIQ\HIPC-2DP\DSA\Enhanced%20Tab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INDIC ACC"/>
      <sheetName val="Gov_SGO_Ind"/>
      <sheetName val="IN"/>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debt"/>
      <sheetName val="DOC"/>
      <sheetName val="Input"/>
      <sheetName val="BoP"/>
      <sheetName val="Gas"/>
      <sheetName val="ER"/>
      <sheetName val="Prog"/>
      <sheetName val="UFC_TBL"/>
      <sheetName val="IMF"/>
      <sheetName val="WB"/>
      <sheetName val="EBRD"/>
      <sheetName val="End-94"/>
      <sheetName val="Debt"/>
      <sheetName val="CPFs"/>
      <sheetName val="ControlSheet"/>
      <sheetName val="DSA_macroassump"/>
      <sheetName val="DSA-2000"/>
      <sheetName val="DSA"/>
      <sheetName val="PFP"/>
      <sheetName val="RED"/>
      <sheetName val="DSA-Tkmn"/>
      <sheetName val="Cht_NPV"/>
      <sheetName val="Cht_DS"/>
    </sheetNames>
    <sheetDataSet>
      <sheetData sheetId="0" refreshError="1"/>
      <sheetData sheetId="1" refreshError="1"/>
      <sheetData sheetId="2" refreshError="1"/>
      <sheetData sheetId="3" refreshError="1">
        <row r="358">
          <cell r="U358">
            <v>0</v>
          </cell>
          <cell r="V358">
            <v>0</v>
          </cell>
          <cell r="W358">
            <v>0</v>
          </cell>
          <cell r="X358">
            <v>0</v>
          </cell>
          <cell r="Y358">
            <v>0</v>
          </cell>
          <cell r="Z358">
            <v>0</v>
          </cell>
          <cell r="AA358">
            <v>0</v>
          </cell>
          <cell r="AB358">
            <v>0</v>
          </cell>
          <cell r="AC358">
            <v>0</v>
          </cell>
          <cell r="AD358">
            <v>0</v>
          </cell>
          <cell r="AF358">
            <v>0</v>
          </cell>
          <cell r="AG358">
            <v>1.35</v>
          </cell>
          <cell r="AH358">
            <v>1.35</v>
          </cell>
          <cell r="AI358">
            <v>1.35</v>
          </cell>
          <cell r="AJ358">
            <v>1.35</v>
          </cell>
          <cell r="AK358">
            <v>5.4</v>
          </cell>
          <cell r="AL358">
            <v>8.1000000000000014</v>
          </cell>
          <cell r="AM358">
            <v>8.1000000000000014</v>
          </cell>
          <cell r="AN358">
            <v>13.5</v>
          </cell>
          <cell r="AO358">
            <v>13.5</v>
          </cell>
          <cell r="AP358">
            <v>13.5</v>
          </cell>
          <cell r="AQ358">
            <v>13.5</v>
          </cell>
        </row>
        <row r="359">
          <cell r="U359">
            <v>0</v>
          </cell>
          <cell r="V359">
            <v>0</v>
          </cell>
          <cell r="W359">
            <v>0</v>
          </cell>
          <cell r="X359">
            <v>0</v>
          </cell>
          <cell r="Y359">
            <v>0</v>
          </cell>
          <cell r="Z359">
            <v>0</v>
          </cell>
          <cell r="AA359">
            <v>0</v>
          </cell>
          <cell r="AB359">
            <v>0</v>
          </cell>
          <cell r="AC359">
            <v>0</v>
          </cell>
          <cell r="AD359">
            <v>0</v>
          </cell>
          <cell r="AF359">
            <v>0</v>
          </cell>
          <cell r="AG359">
            <v>1000</v>
          </cell>
          <cell r="AH359">
            <v>1000</v>
          </cell>
          <cell r="AI359">
            <v>1000</v>
          </cell>
          <cell r="AJ359">
            <v>1000</v>
          </cell>
          <cell r="AK359">
            <v>4000</v>
          </cell>
          <cell r="AL359">
            <v>6000</v>
          </cell>
          <cell r="AM359">
            <v>6000</v>
          </cell>
          <cell r="AN359">
            <v>10000</v>
          </cell>
          <cell r="AO359">
            <v>10000</v>
          </cell>
          <cell r="AP359">
            <v>10000</v>
          </cell>
          <cell r="AQ359">
            <v>10000</v>
          </cell>
        </row>
      </sheetData>
      <sheetData sheetId="4" refreshError="1"/>
      <sheetData sheetId="5" refreshError="1"/>
      <sheetData sheetId="6" refreshError="1"/>
      <sheetData sheetId="7" refreshError="1"/>
      <sheetData sheetId="8" refreshError="1"/>
      <sheetData sheetId="9" refreshError="1">
        <row r="9">
          <cell r="Q9">
            <v>1996</v>
          </cell>
          <cell r="R9">
            <v>1997</v>
          </cell>
          <cell r="S9">
            <v>1997</v>
          </cell>
          <cell r="T9">
            <v>1997</v>
          </cell>
          <cell r="U9">
            <v>1997</v>
          </cell>
          <cell r="V9">
            <v>1997</v>
          </cell>
          <cell r="W9">
            <v>1998</v>
          </cell>
          <cell r="X9">
            <v>1998</v>
          </cell>
          <cell r="Y9">
            <v>1998</v>
          </cell>
          <cell r="Z9">
            <v>1998</v>
          </cell>
          <cell r="AA9">
            <v>1998</v>
          </cell>
          <cell r="AB9">
            <v>1999</v>
          </cell>
          <cell r="AC9">
            <v>1999</v>
          </cell>
          <cell r="AD9">
            <v>1999</v>
          </cell>
          <cell r="AE9">
            <v>1999</v>
          </cell>
          <cell r="AF9">
            <v>1999</v>
          </cell>
          <cell r="AG9">
            <v>2000</v>
          </cell>
          <cell r="AH9">
            <v>2001</v>
          </cell>
          <cell r="AI9">
            <v>2002</v>
          </cell>
          <cell r="AJ9">
            <v>2003</v>
          </cell>
          <cell r="AK9">
            <v>2004</v>
          </cell>
        </row>
        <row r="13">
          <cell r="Q13">
            <v>90.8</v>
          </cell>
          <cell r="R13">
            <v>14.7</v>
          </cell>
          <cell r="S13">
            <v>53.599999999999994</v>
          </cell>
          <cell r="T13">
            <v>85.9</v>
          </cell>
          <cell r="U13">
            <v>20</v>
          </cell>
          <cell r="V13">
            <v>174.2</v>
          </cell>
          <cell r="W13">
            <v>4.45</v>
          </cell>
          <cell r="X13">
            <v>0</v>
          </cell>
          <cell r="Y13">
            <v>2.2999999999999998</v>
          </cell>
          <cell r="Z13">
            <v>19.399999999999999</v>
          </cell>
          <cell r="AA13">
            <v>26.150000000000002</v>
          </cell>
          <cell r="AB13">
            <v>0</v>
          </cell>
          <cell r="AC13">
            <v>94.9</v>
          </cell>
          <cell r="AD13">
            <v>0</v>
          </cell>
          <cell r="AE13">
            <v>0</v>
          </cell>
          <cell r="AF13">
            <v>114.9</v>
          </cell>
          <cell r="AG13">
            <v>112.6</v>
          </cell>
          <cell r="AH13">
            <v>70</v>
          </cell>
          <cell r="AI13">
            <v>60</v>
          </cell>
          <cell r="AJ13">
            <v>40</v>
          </cell>
          <cell r="AK13">
            <v>40</v>
          </cell>
        </row>
        <row r="61">
          <cell r="Q61">
            <v>76.78</v>
          </cell>
          <cell r="R61">
            <v>4.33</v>
          </cell>
          <cell r="S61">
            <v>2.61</v>
          </cell>
          <cell r="T61">
            <v>12.760000000000002</v>
          </cell>
          <cell r="U61">
            <v>44.510000000000005</v>
          </cell>
          <cell r="V61">
            <v>64.210000000000008</v>
          </cell>
          <cell r="W61">
            <v>8.19</v>
          </cell>
          <cell r="X61">
            <v>9.7799999999999994</v>
          </cell>
          <cell r="Y61">
            <v>9.4499999999999993</v>
          </cell>
          <cell r="Z61">
            <v>46.13</v>
          </cell>
          <cell r="AA61">
            <v>73.55</v>
          </cell>
          <cell r="AB61">
            <v>7.9799999999999995</v>
          </cell>
          <cell r="AC61">
            <v>6.1160000000000005</v>
          </cell>
          <cell r="AD61">
            <v>38.659999999999997</v>
          </cell>
          <cell r="AE61">
            <v>5.56</v>
          </cell>
          <cell r="AF61">
            <v>58.316000000000003</v>
          </cell>
          <cell r="AG61">
            <v>74.066000000000003</v>
          </cell>
          <cell r="AH61">
            <v>98.094999999999999</v>
          </cell>
          <cell r="AI61">
            <v>84.61</v>
          </cell>
          <cell r="AJ61">
            <v>61.33</v>
          </cell>
          <cell r="AK61">
            <v>55.18</v>
          </cell>
        </row>
        <row r="62">
          <cell r="Q62">
            <v>76.78</v>
          </cell>
          <cell r="R62">
            <v>4.33</v>
          </cell>
          <cell r="S62">
            <v>2.61</v>
          </cell>
          <cell r="T62">
            <v>12.760000000000002</v>
          </cell>
          <cell r="U62">
            <v>44.510000000000005</v>
          </cell>
          <cell r="V62">
            <v>64.210000000000008</v>
          </cell>
          <cell r="W62">
            <v>8.19</v>
          </cell>
          <cell r="X62">
            <v>9.7799999999999994</v>
          </cell>
          <cell r="Y62">
            <v>9.4499999999999993</v>
          </cell>
          <cell r="Z62">
            <v>46.13</v>
          </cell>
          <cell r="AA62">
            <v>73.55</v>
          </cell>
          <cell r="AB62">
            <v>7.9799999999999995</v>
          </cell>
          <cell r="AC62">
            <v>6.1160000000000005</v>
          </cell>
          <cell r="AD62">
            <v>38.659999999999997</v>
          </cell>
          <cell r="AE62">
            <v>5.56</v>
          </cell>
          <cell r="AF62">
            <v>58.316000000000003</v>
          </cell>
          <cell r="AG62">
            <v>74.066000000000003</v>
          </cell>
          <cell r="AH62">
            <v>98.094999999999999</v>
          </cell>
          <cell r="AI62">
            <v>84.61</v>
          </cell>
          <cell r="AJ62">
            <v>61.33</v>
          </cell>
          <cell r="AK62">
            <v>55.18</v>
          </cell>
        </row>
        <row r="255">
          <cell r="Q255">
            <v>62.06</v>
          </cell>
          <cell r="R255">
            <v>0</v>
          </cell>
          <cell r="S255">
            <v>0</v>
          </cell>
          <cell r="T255">
            <v>0</v>
          </cell>
          <cell r="U255">
            <v>41.45</v>
          </cell>
          <cell r="V255">
            <v>41.45</v>
          </cell>
          <cell r="W255">
            <v>0</v>
          </cell>
          <cell r="X255">
            <v>0.4</v>
          </cell>
          <cell r="Y255">
            <v>0.94</v>
          </cell>
          <cell r="Z255">
            <v>21.05</v>
          </cell>
          <cell r="AA255">
            <v>22.39</v>
          </cell>
          <cell r="AB255">
            <v>0.66</v>
          </cell>
          <cell r="AC255">
            <v>1.37</v>
          </cell>
          <cell r="AD255">
            <v>34.9</v>
          </cell>
          <cell r="AE255">
            <v>2.41</v>
          </cell>
          <cell r="AF255">
            <v>39.339999999999996</v>
          </cell>
          <cell r="AG255">
            <v>55.938000000000002</v>
          </cell>
          <cell r="AH255">
            <v>83.715000000000003</v>
          </cell>
          <cell r="AI255">
            <v>64.623000000000005</v>
          </cell>
          <cell r="AJ255">
            <v>36.6</v>
          </cell>
          <cell r="AK255">
            <v>30.68</v>
          </cell>
        </row>
        <row r="257">
          <cell r="Q257">
            <v>14.719999999999999</v>
          </cell>
          <cell r="R257">
            <v>4.33</v>
          </cell>
          <cell r="S257">
            <v>2.61</v>
          </cell>
          <cell r="T257">
            <v>12.760000000000002</v>
          </cell>
          <cell r="U257">
            <v>3.0600000000000023</v>
          </cell>
          <cell r="V257">
            <v>22.760000000000005</v>
          </cell>
          <cell r="W257">
            <v>8.19</v>
          </cell>
          <cell r="X257">
            <v>9.379999999999999</v>
          </cell>
          <cell r="Y257">
            <v>8.51</v>
          </cell>
          <cell r="Z257">
            <v>25.080000000000002</v>
          </cell>
          <cell r="AA257">
            <v>51.16</v>
          </cell>
          <cell r="AB257">
            <v>7.3199999999999994</v>
          </cell>
          <cell r="AC257">
            <v>4.7460000000000004</v>
          </cell>
          <cell r="AD257">
            <v>3.759999999999998</v>
          </cell>
          <cell r="AE257">
            <v>3.1499999999999995</v>
          </cell>
          <cell r="AF257">
            <v>18.975999999999996</v>
          </cell>
          <cell r="AG257">
            <v>18.128</v>
          </cell>
          <cell r="AH257">
            <v>14.379999999999995</v>
          </cell>
          <cell r="AI257">
            <v>19.986999999999995</v>
          </cell>
          <cell r="AJ257">
            <v>24.729999999999997</v>
          </cell>
          <cell r="AK257">
            <v>24.5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ckfile"/>
      <sheetName val="Reserve-Tour"/>
      <sheetName val="Raw BOP Data (2)"/>
      <sheetName val="Contents"/>
      <sheetName val="Growth Data"/>
      <sheetName val="Tour input"/>
      <sheetName val="CA input"/>
      <sheetName val="CapA input"/>
      <sheetName val="CBB's BOP"/>
      <sheetName val="Ass for Proj"/>
      <sheetName val="Projections"/>
      <sheetName val="Exogen Assumptions - Baseline"/>
      <sheetName val="Old BOP backup"/>
      <sheetName val="Sheet1"/>
      <sheetName val="BOP-Baseline"/>
      <sheetName val="Raw BOP Data"/>
      <sheetName val="Raw Debt Data"/>
      <sheetName val="Exog Assumption-Originaol"/>
      <sheetName val="BOP-Adjustment"/>
      <sheetName val="ControlSheet"/>
      <sheetName val="GDP Nom - Demand side input"/>
      <sheetName val="GDP Nom - Supply side input"/>
      <sheetName val="GDP Real - Supply side input"/>
      <sheetName val="Pubsec(cy) input"/>
      <sheetName val="pubsec(fy) input"/>
      <sheetName val="Monetary input"/>
      <sheetName val="SR Debt"/>
      <sheetName val="SR Ext Vuln"/>
      <sheetName val="SR B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hared Data"/>
      <sheetName val="DOMACR Output"/>
      <sheetName val="DOMACR Output CG"/>
      <sheetName val="WEO output"/>
      <sheetName val="REDtabs"/>
      <sheetName val="Cons PS"/>
      <sheetName val="Central Govt"/>
      <sheetName val="GC Ingresos"/>
      <sheetName val="Chart1 data"/>
      <sheetName val="Chart1"/>
      <sheetName val="Enterprises"/>
      <sheetName val="Agencias&amp;Empr"/>
      <sheetName val="NFPS"/>
      <sheetName val="Gen Govt"/>
      <sheetName val="GC Gastos"/>
      <sheetName val="GC Trans"/>
      <sheetName val="DomFin2"/>
      <sheetName val="Ext Fin2"/>
      <sheetName val="Cuadro2"/>
      <sheetName val="Cuadro4a"/>
      <sheetName val="Cuadro4b"/>
      <sheetName val="InOut A"/>
      <sheetName val="InOut M"/>
      <sheetName val="WEO"/>
      <sheetName val="Georges"/>
      <sheetName val="Sheet1"/>
      <sheetName val="Sheet2"/>
      <sheetName val="DomFin"/>
      <sheetName val="Ext Fin"/>
      <sheetName val="CG RED97"/>
      <sheetName val="ConsPS RED97"/>
      <sheetName val="MacroflowXX"/>
      <sheetName val="Dom.Fin."/>
      <sheetName val="Ext.Fin."/>
      <sheetName val="CG_m"/>
      <sheetName val="CG_cumm"/>
      <sheetName val="CG_q"/>
      <sheetName val="CG_y"/>
      <sheetName val="SR_Tab03"/>
      <sheetName val="Central Gov monthly"/>
      <sheetName val="Central Gov quarterly"/>
      <sheetName val="Central Gov yearly"/>
      <sheetName val="CenGov mnth"/>
      <sheetName val="CenGov qrt_1"/>
      <sheetName val="CenGov qrt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Notes"/>
      <sheetName val="X-Ranges"/>
      <sheetName val="M-Ranges"/>
      <sheetName val="WEO Ass"/>
      <sheetName val="SR-Tab5-bop"/>
      <sheetName val="SR-Tabs7&amp;8-mt"/>
      <sheetName val="vul-ind SRversion"/>
      <sheetName val="vul-ind PDRversion"/>
      <sheetName val="Indicators"/>
      <sheetName val="BOP Stress "/>
      <sheetName val="BOPdetail"/>
      <sheetName val="Trade"/>
      <sheetName val="Debt"/>
      <sheetName val="G"/>
      <sheetName val="Profits"/>
      <sheetName val="Inv. Income"/>
      <sheetName val="NIR"/>
      <sheetName val="SA-Tab 27"/>
      <sheetName val="SA-Tab 28"/>
      <sheetName val="SA Tab 29"/>
      <sheetName val="SA Tab 30"/>
      <sheetName val="Oper.Budg."/>
      <sheetName val="OilShock"/>
      <sheetName val="K"/>
      <sheetName val="J"/>
      <sheetName val="cobra"/>
      <sheetName val="OldTab28"/>
      <sheetName val="OldTab35"/>
      <sheetName val="OldTab36"/>
      <sheetName val="Old Summ BoP"/>
      <sheetName val="Old Brf-Tbl"/>
      <sheetName val="OldSR-Tbl"/>
      <sheetName val="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MIENTO"/>
      <sheetName val="FLUJO"/>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Out-A"/>
      <sheetName val="BoP-worksheet"/>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ta(2)"/>
      <sheetName val="Tab 2"/>
      <sheetName val="Tab 3"/>
      <sheetName val="Tab 12"/>
      <sheetName val="Tab 13"/>
      <sheetName val="Tab 14"/>
      <sheetName val="Tab 15"/>
      <sheetName val="Tab 18"/>
      <sheetName val="Tab 19"/>
      <sheetName val="Tab 20"/>
      <sheetName val="IPC1988"/>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ITCN"/>
      <sheetName val="IPC1988"/>
      <sheetName val="ITCERGLOBAL"/>
      <sheetName val="ipcexterna"/>
      <sheetName val="tcexterno"/>
      <sheetName val="Hoja1"/>
      <sheetName val="CUADRO1"/>
      <sheetName val="CUADRO2"/>
      <sheetName val="GRAPUB3"/>
      <sheetName val="DATOSGRAFICA"/>
      <sheetName val="Gráfico1"/>
      <sheetName val="Gráfico2"/>
      <sheetName val="SERIE"/>
      <sheetName val="1990-2000"/>
      <sheetName val="Gráfico3"/>
      <sheetName val="Gráfico4"/>
      <sheetName val="DIC"/>
    </sheetNames>
    <sheetDataSet>
      <sheetData sheetId="0" refreshError="1"/>
      <sheetData sheetId="1" refreshError="1"/>
      <sheetData sheetId="2" refreshError="1">
        <row r="177">
          <cell r="B177" t="str">
            <v>IPC</v>
          </cell>
          <cell r="D177" t="str">
            <v>TCN</v>
          </cell>
        </row>
        <row r="178">
          <cell r="B178" t="str">
            <v>T11 ENE01</v>
          </cell>
          <cell r="C178" t="str">
            <v>ENE01-DIC00</v>
          </cell>
          <cell r="D178" t="str">
            <v>T11 ENE01</v>
          </cell>
          <cell r="E178" t="str">
            <v>ENE01-DIC00</v>
          </cell>
        </row>
        <row r="179">
          <cell r="A179" t="str">
            <v>HON</v>
          </cell>
          <cell r="B179">
            <v>0.9</v>
          </cell>
          <cell r="C179">
            <v>0.9</v>
          </cell>
          <cell r="D179">
            <v>0.1</v>
          </cell>
          <cell r="E179">
            <v>4.2</v>
          </cell>
        </row>
        <row r="180">
          <cell r="A180" t="str">
            <v>GUA</v>
          </cell>
          <cell r="B180">
            <v>1.4</v>
          </cell>
          <cell r="C180">
            <v>1.4</v>
          </cell>
          <cell r="D180">
            <v>0.8</v>
          </cell>
          <cell r="E180">
            <v>-1</v>
          </cell>
        </row>
        <row r="181">
          <cell r="A181" t="str">
            <v>C.R.</v>
          </cell>
          <cell r="B181">
            <v>1.4</v>
          </cell>
          <cell r="C181">
            <v>1.4</v>
          </cell>
          <cell r="D181">
            <v>0.5</v>
          </cell>
          <cell r="E181">
            <v>6.7</v>
          </cell>
        </row>
        <row r="182">
          <cell r="A182" t="str">
            <v>E.S.</v>
          </cell>
          <cell r="B182">
            <v>0</v>
          </cell>
          <cell r="C182">
            <v>0</v>
          </cell>
          <cell r="D182">
            <v>0.3</v>
          </cell>
          <cell r="E182">
            <v>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 val="Programa"/>
      <sheetName val="minor"/>
      <sheetName val="FINANC-95"/>
      <sheetName val="omas"/>
      <sheetName val="PROYECCIONES-PM_2000mod"/>
      <sheetName val="assumptions"/>
      <sheetName val="Q6"/>
      <sheetName val="SUPUESTOS"/>
      <sheetName val="Current"/>
      <sheetName val="Sheet1"/>
      <sheetName val="RESULTADOS"/>
      <sheetName val="SMONET-FINANC"/>
      <sheetName val="Main"/>
      <sheetName val="fiscal"/>
      <sheetName val="FMI"/>
      <sheetName val="HACIENDA"/>
      <sheetName val="contents"/>
      <sheetName val="Q2"/>
      <sheetName val="Metas"/>
      <sheetName val="C_basef14_3p10_6"/>
      <sheetName val="Links"/>
      <sheetName val="riqueza"/>
      <sheetName val="ErrCheck"/>
      <sheetName val="sei"/>
      <sheetName val="Raw_Data_UN"/>
      <sheetName val="SFISCAL-MOD"/>
      <sheetName val="S&amp;I_DANE"/>
      <sheetName val="RED47"/>
      <sheetName val="Table"/>
      <sheetName val="Table_GEF"/>
      <sheetName val="PROYECCIONES-PM_2000mod_(2)"/>
      <sheetName val="SREAL"/>
      <sheetName val="Q5"/>
      <sheetName val="PIB_EN_CORR"/>
      <sheetName val="\\data3\users3\Users\dsimard\Ap"/>
      <sheetName val="Imp"/>
      <sheetName val="DSA output"/>
      <sheetName val="Execute_Macros1"/>
      <sheetName val="Annual_Transfer1"/>
      <sheetName val="Quarterly_Transfer1"/>
      <sheetName val="Annual_Assumptions1"/>
      <sheetName val="Quarterly_Assumptions1"/>
      <sheetName val="Annual_MacroFlow1"/>
      <sheetName val="Quarterly_MacroFlow1"/>
      <sheetName val="Annual_Tables1"/>
      <sheetName val="MFLOW96_XLS1"/>
      <sheetName val="MFLOW96_XLS"/>
      <sheetName val="Execute_Macros2"/>
      <sheetName val="Annual_Transfer2"/>
      <sheetName val="Quarterly_Transfer2"/>
      <sheetName val="Annual_Assumptions2"/>
      <sheetName val="Quarterly_Assumptions2"/>
      <sheetName val="Annual_MacroFlow2"/>
      <sheetName val="Quarterly_MacroFlow2"/>
      <sheetName val="Annual_Tables2"/>
      <sheetName val="MFLOW96_XLS2"/>
      <sheetName val="Execute_Macros3"/>
      <sheetName val="Annual_Transfer3"/>
      <sheetName val="Quarterly_Transfer3"/>
      <sheetName val="Annual_Assumptions3"/>
      <sheetName val="Quarterly_Assumptions3"/>
      <sheetName val="Annual_MacroFlow3"/>
      <sheetName val="Quarterly_MacroFlow3"/>
      <sheetName val="Annual_Tables3"/>
      <sheetName val="MFLOW96_XLS3"/>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67"/>
      <sheetName val="bcospreli"/>
      <sheetName val="pm0025"/>
      <sheetName val="bcosdef"/>
      <sheetName val="pm0028"/>
      <sheetName val="bccrdef"/>
      <sheetName val="diario"/>
      <sheetName val="bccrpreli"/>
      <sheetName val="Bancos"/>
      <sheetName val="Central"/>
      <sheetName val="Programa"/>
      <sheetName val="Crédito"/>
      <sheetName val="res99"/>
      <sheetName val="SEMANAL"/>
      <sheetName val="paradoc"/>
      <sheetName val="Metas"/>
      <sheetName val="encaje"/>
      <sheetName val="omas"/>
      <sheetName val="minor"/>
      <sheetName val="origen y aplicacion"/>
      <sheetName val="PROGvrsOBS"/>
      <sheetName val="RFPROMEDIOPIB"/>
      <sheetName val="resctasmonet"/>
      <sheetName val="balanzaresumen1"/>
      <sheetName val="riqueza"/>
      <sheetName val="comparativofmi"/>
      <sheetName val="Hoja5"/>
      <sheetName val="evaluacionmetas"/>
      <sheetName val="absorcion"/>
      <sheetName val="Hoja2"/>
      <sheetName val="base FMI"/>
      <sheetName val="FMI"/>
      <sheetName val="Riq. Fin."/>
      <sheetName val="Módulo1"/>
      <sheetName val="riqfin"/>
      <sheetName val="deficit"/>
      <sheetName val="Hoja4"/>
      <sheetName val="flujo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0">
          <cell r="BH20">
            <v>0.1512</v>
          </cell>
        </row>
        <row r="27">
          <cell r="BH27">
            <v>0.14829999999999999</v>
          </cell>
        </row>
        <row r="117">
          <cell r="A117" t="str">
            <v>BANCO CENTRAL DE COSTA RICA</v>
          </cell>
        </row>
        <row r="118">
          <cell r="A118" t="str">
            <v>Activos Externos Netos</v>
          </cell>
        </row>
        <row r="119">
          <cell r="A119" t="str">
            <v xml:space="preserve">Saldos en millones </v>
          </cell>
        </row>
        <row r="121">
          <cell r="A121" t="str">
            <v>ACTIVOS EXTERNOS NETOS</v>
          </cell>
          <cell r="C121">
            <v>-87522.812410000013</v>
          </cell>
          <cell r="D121">
            <v>-80920.35788999997</v>
          </cell>
          <cell r="E121">
            <v>-92618.755799999984</v>
          </cell>
          <cell r="F121">
            <v>-38509.330259999988</v>
          </cell>
          <cell r="G121">
            <v>-44489.19956399998</v>
          </cell>
          <cell r="H121">
            <v>-35861.320871999953</v>
          </cell>
          <cell r="I121">
            <v>-40053.083199999965</v>
          </cell>
          <cell r="J121">
            <v>-40575.709600000002</v>
          </cell>
          <cell r="K121">
            <v>-38232.555999999982</v>
          </cell>
          <cell r="L121">
            <v>-17647.776000000013</v>
          </cell>
          <cell r="M121">
            <v>-21521.712</v>
          </cell>
          <cell r="N121">
            <v>-21326.599999999948</v>
          </cell>
          <cell r="O121">
            <v>196.50399999998626</v>
          </cell>
          <cell r="P121">
            <v>4160.6880000000529</v>
          </cell>
          <cell r="Q121">
            <v>8722.0399999999499</v>
          </cell>
          <cell r="R121">
            <v>21185.079999999987</v>
          </cell>
          <cell r="S121">
            <v>186.52799999999115</v>
          </cell>
          <cell r="T121">
            <v>6251.704000000027</v>
          </cell>
          <cell r="U121">
            <v>38290.440000000061</v>
          </cell>
        </row>
        <row r="122">
          <cell r="A122" t="str">
            <v>(colones)</v>
          </cell>
        </row>
        <row r="123">
          <cell r="U123">
            <v>215.62459999999987</v>
          </cell>
        </row>
        <row r="124">
          <cell r="A124" t="str">
            <v>I. RESERVAS INTERNACIONALES NETAS</v>
          </cell>
          <cell r="C124">
            <v>862.47499999999991</v>
          </cell>
          <cell r="D124">
            <v>757.54899999999998</v>
          </cell>
          <cell r="E124">
            <v>757.54899999999998</v>
          </cell>
          <cell r="F124">
            <v>986.11330000000021</v>
          </cell>
          <cell r="G124">
            <v>986.11330000000021</v>
          </cell>
          <cell r="H124">
            <v>924.7324000000001</v>
          </cell>
          <cell r="I124">
            <v>924.7324000000001</v>
          </cell>
          <cell r="J124">
            <v>886.29769999999996</v>
          </cell>
          <cell r="K124">
            <v>888.70150000000012</v>
          </cell>
          <cell r="L124">
            <v>970.59699999999998</v>
          </cell>
          <cell r="M124">
            <v>944.91700000000003</v>
          </cell>
          <cell r="N124">
            <v>931.69500000000016</v>
          </cell>
          <cell r="O124">
            <v>1024.3989999999999</v>
          </cell>
          <cell r="P124">
            <v>1033.5320000000002</v>
          </cell>
          <cell r="Q124">
            <v>1049.0879999999997</v>
          </cell>
          <cell r="R124">
            <v>1096.0729999999999</v>
          </cell>
          <cell r="S124">
            <v>997.28099999999995</v>
          </cell>
          <cell r="T124">
            <v>1004.5250000000001</v>
          </cell>
          <cell r="U124">
            <v>1140.357</v>
          </cell>
        </row>
        <row r="125">
          <cell r="A125" t="str">
            <v xml:space="preserve">   (dólares)</v>
          </cell>
        </row>
        <row r="127">
          <cell r="A127" t="str">
            <v xml:space="preserve">      1. Activos Externos</v>
          </cell>
          <cell r="C127">
            <v>945.63799999999992</v>
          </cell>
          <cell r="D127">
            <v>815.59899999999993</v>
          </cell>
          <cell r="E127">
            <v>815.59899999999993</v>
          </cell>
          <cell r="F127">
            <v>998.58130000000017</v>
          </cell>
          <cell r="G127">
            <v>998.58130000000017</v>
          </cell>
          <cell r="H127">
            <v>913.77140000000009</v>
          </cell>
          <cell r="I127">
            <v>913.77140000000009</v>
          </cell>
          <cell r="J127">
            <v>875.36270000000002</v>
          </cell>
          <cell r="K127">
            <v>877.84650000000011</v>
          </cell>
          <cell r="L127">
            <v>959.03399999999999</v>
          </cell>
          <cell r="M127">
            <v>933.85900000000004</v>
          </cell>
          <cell r="N127">
            <v>920.08700000000022</v>
          </cell>
          <cell r="O127">
            <v>1012.823</v>
          </cell>
          <cell r="P127">
            <v>1022.2230000000001</v>
          </cell>
          <cell r="Q127">
            <v>1037.7819999999997</v>
          </cell>
          <cell r="R127">
            <v>1084.7769999999998</v>
          </cell>
          <cell r="S127">
            <v>986.06399999999996</v>
          </cell>
          <cell r="T127">
            <v>993.50200000000007</v>
          </cell>
          <cell r="U127">
            <v>1129.434</v>
          </cell>
        </row>
        <row r="129">
          <cell r="A129" t="str">
            <v xml:space="preserve">      2. Obligaciones Corto Plazo</v>
          </cell>
          <cell r="C129">
            <v>83.162999999999997</v>
          </cell>
          <cell r="D129">
            <v>58.05</v>
          </cell>
          <cell r="E129">
            <v>58.05</v>
          </cell>
          <cell r="F129">
            <v>12.468</v>
          </cell>
          <cell r="G129">
            <v>12.468</v>
          </cell>
          <cell r="H129">
            <v>-10.960999999999999</v>
          </cell>
          <cell r="I129">
            <v>-10.960999999999999</v>
          </cell>
          <cell r="J129">
            <v>-10.935</v>
          </cell>
          <cell r="K129">
            <v>-10.855</v>
          </cell>
          <cell r="L129">
            <v>-11.563000000000001</v>
          </cell>
          <cell r="M129">
            <v>-11.058</v>
          </cell>
          <cell r="N129">
            <v>-11.607999999999999</v>
          </cell>
          <cell r="O129">
            <v>-11.575999999999999</v>
          </cell>
          <cell r="P129">
            <v>-11.308999999999999</v>
          </cell>
          <cell r="Q129">
            <v>-11.305999999999999</v>
          </cell>
          <cell r="R129">
            <v>-11.295999999999999</v>
          </cell>
          <cell r="S129">
            <v>-11.217000000000001</v>
          </cell>
          <cell r="T129">
            <v>-11.023</v>
          </cell>
          <cell r="U129">
            <v>-10.923</v>
          </cell>
        </row>
        <row r="131">
          <cell r="A131" t="str">
            <v xml:space="preserve">         Endeudamiento de C/Plazo</v>
          </cell>
          <cell r="C131">
            <v>13.705</v>
          </cell>
          <cell r="D131">
            <v>4.4039999999999999</v>
          </cell>
          <cell r="E131">
            <v>4.4039999999999999</v>
          </cell>
          <cell r="F131">
            <v>1.159</v>
          </cell>
          <cell r="G131">
            <v>1.159</v>
          </cell>
          <cell r="H131">
            <v>0.84799999999999998</v>
          </cell>
          <cell r="I131">
            <v>0.84799999999999998</v>
          </cell>
          <cell r="J131">
            <v>0.51900000000000002</v>
          </cell>
          <cell r="K131">
            <v>0.51900000000000002</v>
          </cell>
          <cell r="L131">
            <v>0.51900000000000002</v>
          </cell>
          <cell r="M131">
            <v>0.83899999999999997</v>
          </cell>
          <cell r="N131">
            <v>0.51800000000000002</v>
          </cell>
          <cell r="O131">
            <v>0.51800000000000002</v>
          </cell>
          <cell r="P131">
            <v>0.52800000000000002</v>
          </cell>
          <cell r="Q131">
            <v>0.53100000000000003</v>
          </cell>
          <cell r="R131">
            <v>0.59799999999999998</v>
          </cell>
          <cell r="S131">
            <v>0.83799999999999997</v>
          </cell>
          <cell r="T131">
            <v>0.84199999999999997</v>
          </cell>
          <cell r="U131">
            <v>0.83199999999999996</v>
          </cell>
        </row>
        <row r="132">
          <cell r="A132" t="str">
            <v xml:space="preserve">         Posición Neta FMI</v>
          </cell>
          <cell r="C132">
            <v>69.457999999999998</v>
          </cell>
          <cell r="D132">
            <v>53.646000000000001</v>
          </cell>
          <cell r="E132">
            <v>53.646000000000001</v>
          </cell>
          <cell r="F132">
            <v>11.308999999999999</v>
          </cell>
          <cell r="G132">
            <v>11.308999999999999</v>
          </cell>
          <cell r="H132">
            <v>-11.808999999999999</v>
          </cell>
          <cell r="I132">
            <v>-11.808999999999999</v>
          </cell>
          <cell r="J132">
            <v>-11.454000000000001</v>
          </cell>
          <cell r="K132">
            <v>-11.374000000000001</v>
          </cell>
          <cell r="L132">
            <v>-12.082000000000001</v>
          </cell>
          <cell r="M132">
            <v>-11.897</v>
          </cell>
          <cell r="N132">
            <v>-12.125999999999999</v>
          </cell>
          <cell r="O132">
            <v>-12.093999999999999</v>
          </cell>
          <cell r="P132">
            <v>-11.837</v>
          </cell>
          <cell r="Q132">
            <v>-11.837</v>
          </cell>
          <cell r="R132">
            <v>-11.894</v>
          </cell>
          <cell r="S132">
            <v>-12.055</v>
          </cell>
          <cell r="T132">
            <v>-11.865</v>
          </cell>
          <cell r="U132">
            <v>-11.755000000000001</v>
          </cell>
        </row>
        <row r="133">
          <cell r="A133" t="str">
            <v xml:space="preserve"> --------------------------------------------------</v>
          </cell>
          <cell r="F133">
            <v>41947.340000000004</v>
          </cell>
          <cell r="G133">
            <v>48461.076000000001</v>
          </cell>
          <cell r="H133">
            <v>48461.076000000001</v>
          </cell>
          <cell r="I133">
            <v>54125.600000000006</v>
          </cell>
          <cell r="J133">
            <v>54125.600000000006</v>
          </cell>
          <cell r="K133">
            <v>54125.600000000006</v>
          </cell>
          <cell r="L133">
            <v>54125.600000000006</v>
          </cell>
          <cell r="M133">
            <v>54125.600000000006</v>
          </cell>
          <cell r="N133">
            <v>54125.600000000006</v>
          </cell>
          <cell r="O133">
            <v>54125.600000000006</v>
          </cell>
          <cell r="P133">
            <v>54125.600000000006</v>
          </cell>
          <cell r="Q133">
            <v>54125.600000000006</v>
          </cell>
          <cell r="R133">
            <v>54125.600000000006</v>
          </cell>
          <cell r="S133">
            <v>54125.600000000006</v>
          </cell>
          <cell r="T133">
            <v>54125.600000000006</v>
          </cell>
          <cell r="U133">
            <v>54125.600000000006</v>
          </cell>
        </row>
        <row r="134">
          <cell r="A134" t="str">
            <v xml:space="preserve">         Depósitos de bancos en M/E 1/</v>
          </cell>
          <cell r="B134" t="str">
            <v>O</v>
          </cell>
          <cell r="C134">
            <v>598.04999999999995</v>
          </cell>
          <cell r="D134">
            <v>676.63199999999995</v>
          </cell>
          <cell r="E134">
            <v>676.63199999999995</v>
          </cell>
          <cell r="F134">
            <v>791.04100000000005</v>
          </cell>
          <cell r="G134">
            <v>791.04100000000005</v>
          </cell>
          <cell r="H134">
            <v>924.75900000000001</v>
          </cell>
          <cell r="I134">
            <v>924.75900000000001</v>
          </cell>
          <cell r="J134">
            <v>969.202</v>
          </cell>
          <cell r="K134">
            <v>956.76599999999996</v>
          </cell>
          <cell r="L134">
            <v>975.29499999999996</v>
          </cell>
          <cell r="M134">
            <v>969.41700000000003</v>
          </cell>
          <cell r="N134">
            <v>1006.351</v>
          </cell>
          <cell r="O134">
            <v>1050.229</v>
          </cell>
          <cell r="P134">
            <v>1017.902</v>
          </cell>
          <cell r="Q134">
            <v>1040.6190000000001</v>
          </cell>
          <cell r="R134">
            <v>1063.54</v>
          </cell>
          <cell r="S134">
            <v>1035.578</v>
          </cell>
          <cell r="T134">
            <v>986.97599999999989</v>
          </cell>
          <cell r="U134">
            <v>1004.577</v>
          </cell>
        </row>
        <row r="135">
          <cell r="A135" t="str">
            <v xml:space="preserve">         Atrasos deuda externa</v>
          </cell>
          <cell r="C135">
            <v>40.200000000000003</v>
          </cell>
          <cell r="D135">
            <v>90.5</v>
          </cell>
          <cell r="E135">
            <v>90.5</v>
          </cell>
          <cell r="F135">
            <v>45.2</v>
          </cell>
          <cell r="G135">
            <v>45.2</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row>
        <row r="136">
          <cell r="U136">
            <v>233061.864</v>
          </cell>
        </row>
        <row r="137">
          <cell r="A137" t="str">
            <v>II. PASIVOS EXTERNOS DE M/L PLAZO</v>
          </cell>
          <cell r="C137">
            <v>223009.01016000001</v>
          </cell>
          <cell r="D137">
            <v>199923.73029999997</v>
          </cell>
          <cell r="E137">
            <v>228826.06599999999</v>
          </cell>
          <cell r="F137">
            <v>215812.50160000005</v>
          </cell>
          <cell r="G137">
            <v>249324.65424000003</v>
          </cell>
          <cell r="H137">
            <v>227946.73499999999</v>
          </cell>
          <cell r="I137">
            <v>254591</v>
          </cell>
          <cell r="J137">
            <v>246196.77599999998</v>
          </cell>
          <cell r="K137">
            <v>244411.304</v>
          </cell>
          <cell r="L137">
            <v>242826.28</v>
          </cell>
          <cell r="M137">
            <v>240742.45600000001</v>
          </cell>
          <cell r="N137">
            <v>237479.84</v>
          </cell>
          <cell r="O137">
            <v>237464.06399999998</v>
          </cell>
          <cell r="P137">
            <v>235618.73599999998</v>
          </cell>
          <cell r="Q137">
            <v>234666.37599999999</v>
          </cell>
          <cell r="R137">
            <v>233103.85599999997</v>
          </cell>
          <cell r="S137">
            <v>231182.66399999999</v>
          </cell>
          <cell r="T137">
            <v>226798.09599999999</v>
          </cell>
          <cell r="U137">
            <v>226272.38399999996</v>
          </cell>
        </row>
        <row r="138">
          <cell r="A138" t="str">
            <v xml:space="preserve">    (colones)</v>
          </cell>
          <cell r="H138">
            <v>1097.375</v>
          </cell>
          <cell r="I138">
            <v>1097.375</v>
          </cell>
          <cell r="J138">
            <v>1061.193</v>
          </cell>
          <cell r="K138">
            <v>1053.4970000000001</v>
          </cell>
          <cell r="L138">
            <v>1046.665</v>
          </cell>
          <cell r="M138">
            <v>1037.683</v>
          </cell>
          <cell r="N138">
            <v>1023.62</v>
          </cell>
          <cell r="O138">
            <v>1023.5519999999999</v>
          </cell>
          <cell r="P138">
            <v>1015.5979999999998</v>
          </cell>
          <cell r="Q138">
            <v>1011.4929999999999</v>
          </cell>
          <cell r="R138">
            <v>1004.7579999999999</v>
          </cell>
          <cell r="S138">
            <v>996.47699999999998</v>
          </cell>
          <cell r="T138">
            <v>977.57799999999997</v>
          </cell>
          <cell r="U138">
            <v>975.31199999999978</v>
          </cell>
        </row>
        <row r="139">
          <cell r="I139">
            <v>1097.375</v>
          </cell>
          <cell r="J139">
            <v>1061.193</v>
          </cell>
          <cell r="K139">
            <v>1053.4970000000001</v>
          </cell>
          <cell r="L139">
            <v>1046.665</v>
          </cell>
          <cell r="M139">
            <v>1037.683</v>
          </cell>
          <cell r="N139">
            <v>1023.62</v>
          </cell>
          <cell r="O139">
            <v>1023.5519999999999</v>
          </cell>
          <cell r="P139">
            <v>1015.5979999999998</v>
          </cell>
          <cell r="Q139">
            <v>1011.4929999999999</v>
          </cell>
          <cell r="R139">
            <v>1004.7579999999999</v>
          </cell>
          <cell r="S139">
            <v>996.47699999999998</v>
          </cell>
          <cell r="T139">
            <v>977.57799999999997</v>
          </cell>
          <cell r="U139">
            <v>975.31199999999978</v>
          </cell>
        </row>
        <row r="140">
          <cell r="A140" t="str">
            <v xml:space="preserve">    Pasivos en moneda extranjera</v>
          </cell>
          <cell r="B140" t="str">
            <v>S + T</v>
          </cell>
          <cell r="C140">
            <v>211446.91016</v>
          </cell>
          <cell r="D140">
            <v>199923.73029999997</v>
          </cell>
          <cell r="E140">
            <v>228826.06599999999</v>
          </cell>
          <cell r="F140">
            <v>215812.50160000005</v>
          </cell>
          <cell r="G140">
            <v>249324.65424000003</v>
          </cell>
          <cell r="H140">
            <v>227946.73499999999</v>
          </cell>
          <cell r="I140">
            <v>254591</v>
          </cell>
          <cell r="J140">
            <v>246196.77599999998</v>
          </cell>
          <cell r="K140">
            <v>244411.304</v>
          </cell>
          <cell r="L140">
            <v>242826.28</v>
          </cell>
          <cell r="M140">
            <v>240742.45600000001</v>
          </cell>
          <cell r="N140">
            <v>237479.84</v>
          </cell>
          <cell r="O140">
            <v>237464.06399999998</v>
          </cell>
          <cell r="P140">
            <v>235618.73599999998</v>
          </cell>
          <cell r="Q140">
            <v>234666.37599999999</v>
          </cell>
          <cell r="R140">
            <v>233103.85599999997</v>
          </cell>
          <cell r="S140">
            <v>231182.66399999999</v>
          </cell>
          <cell r="T140">
            <v>226798.09599999999</v>
          </cell>
          <cell r="U140">
            <v>226272.38399999996</v>
          </cell>
        </row>
        <row r="141">
          <cell r="A141" t="str">
            <v xml:space="preserve">    Pasivos en moneda nacional</v>
          </cell>
          <cell r="C141">
            <v>11562.1</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row>
        <row r="143">
          <cell r="A143" t="str">
            <v>-</v>
          </cell>
          <cell r="C143" t="str">
            <v>---------</v>
          </cell>
          <cell r="D143" t="str">
            <v>---------</v>
          </cell>
          <cell r="E143" t="str">
            <v>---------</v>
          </cell>
          <cell r="F143" t="str">
            <v>---------</v>
          </cell>
          <cell r="G143" t="str">
            <v>---------</v>
          </cell>
        </row>
        <row r="144">
          <cell r="A144" t="str">
            <v>1/ Se refiere al cambio en los depósitos de los bancos en el BCCR con respecto a diciembre de 1986.</v>
          </cell>
        </row>
        <row r="145">
          <cell r="A145" t="str">
            <v xml:space="preserve">    (US$ 233,3 millones).</v>
          </cell>
        </row>
        <row r="146">
          <cell r="A146" t="str">
            <v>(*) Cifras preliminares</v>
          </cell>
        </row>
        <row r="148">
          <cell r="A148" t="str">
            <v>BANCO CENTRAL DE COSTA RICA</v>
          </cell>
        </row>
        <row r="149">
          <cell r="A149" t="str">
            <v>Crédito Neto al SPNF</v>
          </cell>
        </row>
        <row r="150">
          <cell r="A150" t="str">
            <v>Saldos en millones de colones</v>
          </cell>
        </row>
        <row r="152">
          <cell r="A152" t="str">
            <v>I. GOBIERNO</v>
          </cell>
          <cell r="C152">
            <v>40292.13003</v>
          </cell>
          <cell r="D152">
            <v>58533.244359999997</v>
          </cell>
          <cell r="E152">
            <v>64284.756250000006</v>
          </cell>
          <cell r="F152">
            <v>63183.852464000003</v>
          </cell>
          <cell r="G152">
            <v>68086.945088000008</v>
          </cell>
          <cell r="H152">
            <v>169410.65223999994</v>
          </cell>
          <cell r="I152">
            <v>175049.1238</v>
          </cell>
          <cell r="J152">
            <v>173822.50297999999</v>
          </cell>
          <cell r="K152">
            <v>178906.30298000001</v>
          </cell>
          <cell r="L152">
            <v>174570.03694999998</v>
          </cell>
          <cell r="M152">
            <v>201292.64002000002</v>
          </cell>
          <cell r="N152">
            <v>215113.77899999998</v>
          </cell>
          <cell r="O152">
            <v>233481.66505000001</v>
          </cell>
          <cell r="P152">
            <v>261477.53493000005</v>
          </cell>
          <cell r="Q152">
            <v>297734.68303000001</v>
          </cell>
          <cell r="R152">
            <v>314355.78399000003</v>
          </cell>
          <cell r="S152">
            <v>324167.17904000002</v>
          </cell>
          <cell r="T152">
            <v>316240.09294</v>
          </cell>
          <cell r="U152">
            <v>297073.07105999999</v>
          </cell>
        </row>
        <row r="154">
          <cell r="A154" t="str">
            <v xml:space="preserve">   A. CREDITO</v>
          </cell>
          <cell r="C154">
            <v>50171.542669999995</v>
          </cell>
          <cell r="D154">
            <v>66108.265799999994</v>
          </cell>
          <cell r="E154">
            <v>72224.523000000001</v>
          </cell>
          <cell r="F154">
            <v>90122.687063999998</v>
          </cell>
          <cell r="G154">
            <v>96575.255927999999</v>
          </cell>
          <cell r="H154">
            <v>279446.06002999994</v>
          </cell>
          <cell r="I154">
            <v>286951.51791</v>
          </cell>
          <cell r="J154">
            <v>290198.74291999999</v>
          </cell>
          <cell r="K154">
            <v>295826.29991</v>
          </cell>
          <cell r="L154">
            <v>317477.29590999999</v>
          </cell>
          <cell r="M154">
            <v>324762.39698000002</v>
          </cell>
          <cell r="N154">
            <v>330250.81390999997</v>
          </cell>
          <cell r="O154">
            <v>335366.90299999999</v>
          </cell>
          <cell r="P154">
            <v>339484.52193000005</v>
          </cell>
          <cell r="Q154">
            <v>344554.27697000001</v>
          </cell>
          <cell r="R154">
            <v>350012.95192000002</v>
          </cell>
          <cell r="S154">
            <v>350125.86196000001</v>
          </cell>
          <cell r="T154">
            <v>354046.14491999999</v>
          </cell>
          <cell r="U154">
            <v>359972.48</v>
          </cell>
        </row>
        <row r="155">
          <cell r="U155">
            <v>61529.417000000001</v>
          </cell>
        </row>
        <row r="156">
          <cell r="A156" t="str">
            <v xml:space="preserve">      Crédito Corriente</v>
          </cell>
          <cell r="B156" t="str">
            <v>E</v>
          </cell>
          <cell r="C156">
            <v>9459.1879999999983</v>
          </cell>
          <cell r="D156">
            <v>23344.786999999997</v>
          </cell>
          <cell r="E156">
            <v>23344.786999999997</v>
          </cell>
          <cell r="F156">
            <v>38182.755063999997</v>
          </cell>
          <cell r="G156">
            <v>36640.711128000003</v>
          </cell>
          <cell r="H156">
            <v>39887.503790000002</v>
          </cell>
          <cell r="I156">
            <v>39894.277909999997</v>
          </cell>
          <cell r="J156">
            <v>38896.297919999997</v>
          </cell>
          <cell r="K156">
            <v>39943.204910000008</v>
          </cell>
          <cell r="L156">
            <v>57023.296909999997</v>
          </cell>
          <cell r="M156">
            <v>59756.284980000004</v>
          </cell>
          <cell r="N156">
            <v>60336.237909999989</v>
          </cell>
          <cell r="O156">
            <v>61095.79</v>
          </cell>
          <cell r="P156">
            <v>60961.171929999997</v>
          </cell>
          <cell r="Q156">
            <v>61408.741970000003</v>
          </cell>
          <cell r="R156">
            <v>62282.951920000007</v>
          </cell>
          <cell r="S156">
            <v>60058.331959999996</v>
          </cell>
          <cell r="T156">
            <v>59529.88392</v>
          </cell>
          <cell r="U156">
            <v>61031.139000000003</v>
          </cell>
        </row>
        <row r="157">
          <cell r="A157" t="str">
            <v xml:space="preserve">        del cual: Saldos no cubiertos (Jta Liq.)</v>
          </cell>
          <cell r="C157">
            <v>0</v>
          </cell>
          <cell r="D157">
            <v>0</v>
          </cell>
          <cell r="E157">
            <v>0</v>
          </cell>
          <cell r="F157">
            <v>-2432.6919359999997</v>
          </cell>
          <cell r="G157">
            <v>-3974.7358719999979</v>
          </cell>
          <cell r="H157">
            <v>-636.28421000000048</v>
          </cell>
          <cell r="I157">
            <v>-629.51009000000045</v>
          </cell>
          <cell r="J157">
            <v>-955.39207999999837</v>
          </cell>
          <cell r="K157">
            <v>-685.71108999999956</v>
          </cell>
          <cell r="L157">
            <v>-406.79408999999976</v>
          </cell>
          <cell r="M157">
            <v>-141.00801999999831</v>
          </cell>
          <cell r="N157">
            <v>139.77991000000031</v>
          </cell>
          <cell r="O157">
            <v>409.8869999999996</v>
          </cell>
          <cell r="P157">
            <v>689.05493000000081</v>
          </cell>
          <cell r="Q157">
            <v>968.45097000000032</v>
          </cell>
          <cell r="R157">
            <v>1238.5579199999995</v>
          </cell>
          <cell r="S157">
            <v>-1272.0200400000001</v>
          </cell>
          <cell r="T157">
            <v>-1275.0360799999994</v>
          </cell>
          <cell r="U157">
            <v>-498.27800000000019</v>
          </cell>
        </row>
        <row r="158">
          <cell r="A158" t="str">
            <v xml:space="preserve">        Revaluación de TUDES (no incluida)</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row>
        <row r="159">
          <cell r="A159" t="str">
            <v xml:space="preserve">      Operaciones art.175. Títulos 1. M/N</v>
          </cell>
          <cell r="H159">
            <v>130596.416</v>
          </cell>
          <cell r="I159">
            <v>130596.416</v>
          </cell>
          <cell r="J159">
            <v>130596.416</v>
          </cell>
          <cell r="K159">
            <v>130596.416</v>
          </cell>
          <cell r="L159">
            <v>130596.416</v>
          </cell>
          <cell r="M159">
            <v>130596.416</v>
          </cell>
          <cell r="N159">
            <v>130596.416</v>
          </cell>
          <cell r="O159">
            <v>130596.416</v>
          </cell>
          <cell r="P159">
            <v>130596.416</v>
          </cell>
          <cell r="Q159">
            <v>130596.416</v>
          </cell>
          <cell r="R159">
            <v>130596.416</v>
          </cell>
          <cell r="S159">
            <v>129232.981</v>
          </cell>
          <cell r="T159">
            <v>129232.981</v>
          </cell>
          <cell r="U159">
            <v>129232.981</v>
          </cell>
        </row>
        <row r="160">
          <cell r="A160" t="str">
            <v xml:space="preserve">      Operaciones art.175. Títulos 1. M/E</v>
          </cell>
          <cell r="H160">
            <v>45591.63192</v>
          </cell>
          <cell r="I160">
            <v>50920.752</v>
          </cell>
          <cell r="J160">
            <v>50920.752</v>
          </cell>
          <cell r="K160">
            <v>50920.752</v>
          </cell>
          <cell r="L160">
            <v>50920.752</v>
          </cell>
          <cell r="M160">
            <v>50920.752</v>
          </cell>
          <cell r="N160">
            <v>50920.752</v>
          </cell>
          <cell r="O160">
            <v>50920.752</v>
          </cell>
          <cell r="P160">
            <v>50920.752</v>
          </cell>
          <cell r="Q160">
            <v>50920.752</v>
          </cell>
          <cell r="R160">
            <v>50920.752</v>
          </cell>
          <cell r="S160">
            <v>50920.752</v>
          </cell>
          <cell r="T160">
            <v>50920.752</v>
          </cell>
          <cell r="U160">
            <v>50920.752</v>
          </cell>
        </row>
        <row r="161">
          <cell r="A161" t="str">
            <v xml:space="preserve">      Ajustes por IPC saldo no amortizado art175 M/N</v>
          </cell>
          <cell r="H161">
            <v>23822.376</v>
          </cell>
          <cell r="I161">
            <v>23822.376</v>
          </cell>
          <cell r="J161">
            <v>43514.366999999998</v>
          </cell>
          <cell r="K161">
            <v>43514.366999999998</v>
          </cell>
          <cell r="L161">
            <v>43514.366999999998</v>
          </cell>
          <cell r="M161">
            <v>43514.366999999998</v>
          </cell>
          <cell r="N161">
            <v>43514.366999999998</v>
          </cell>
          <cell r="O161">
            <v>43514.366999999998</v>
          </cell>
          <cell r="P161">
            <v>63967.33</v>
          </cell>
          <cell r="Q161">
            <v>63967.33</v>
          </cell>
          <cell r="R161">
            <v>63967.33</v>
          </cell>
          <cell r="S161">
            <v>63363.873</v>
          </cell>
          <cell r="T161">
            <v>63363.873</v>
          </cell>
          <cell r="U161">
            <v>63363.873</v>
          </cell>
        </row>
        <row r="162">
          <cell r="A162" t="str">
            <v xml:space="preserve">      Intereses por cobrar títulos M/N</v>
          </cell>
          <cell r="H162">
            <v>19574.078120000002</v>
          </cell>
          <cell r="I162">
            <v>19808.89</v>
          </cell>
          <cell r="J162">
            <v>3587.4740000000002</v>
          </cell>
          <cell r="K162">
            <v>7174.7169999999996</v>
          </cell>
          <cell r="L162">
            <v>10763.351000000001</v>
          </cell>
          <cell r="M162">
            <v>14353.145</v>
          </cell>
          <cell r="N162">
            <v>17942.706999999999</v>
          </cell>
          <cell r="O162">
            <v>21524.15</v>
          </cell>
          <cell r="P162">
            <v>4256.4589999999998</v>
          </cell>
          <cell r="Q162">
            <v>7436.768</v>
          </cell>
          <cell r="R162">
            <v>10587.821</v>
          </cell>
          <cell r="S162">
            <v>13670.27</v>
          </cell>
          <cell r="T162">
            <v>16821.322</v>
          </cell>
          <cell r="U162">
            <v>19972.374</v>
          </cell>
        </row>
        <row r="163">
          <cell r="A163" t="str">
            <v xml:space="preserve">      Intereses por cobrar títulos M/E</v>
          </cell>
          <cell r="H163">
            <v>2965.886</v>
          </cell>
          <cell r="I163">
            <v>2965.886</v>
          </cell>
          <cell r="J163">
            <v>3966.7159999999999</v>
          </cell>
          <cell r="K163">
            <v>4967.5469999999996</v>
          </cell>
          <cell r="L163">
            <v>5968.3770000000004</v>
          </cell>
          <cell r="M163">
            <v>6969.2079999999996</v>
          </cell>
          <cell r="N163">
            <v>7970.0379999999996</v>
          </cell>
          <cell r="O163">
            <v>8970.8680000000004</v>
          </cell>
          <cell r="P163">
            <v>10236.888999999999</v>
          </cell>
          <cell r="Q163">
            <v>11502.909</v>
          </cell>
          <cell r="R163">
            <v>12756.985000000001</v>
          </cell>
          <cell r="S163">
            <v>13865.742</v>
          </cell>
          <cell r="T163">
            <v>15155.996999999999</v>
          </cell>
          <cell r="U163">
            <v>16410.073</v>
          </cell>
        </row>
        <row r="164">
          <cell r="A164" t="str">
            <v xml:space="preserve">      Crédito por diferencia art175</v>
          </cell>
        </row>
        <row r="165">
          <cell r="A165" t="str">
            <v xml:space="preserve">      Crédito Renegociado</v>
          </cell>
          <cell r="B165" t="str">
            <v>F</v>
          </cell>
          <cell r="C165">
            <v>40256.354670000001</v>
          </cell>
          <cell r="D165">
            <v>42307.478799999997</v>
          </cell>
          <cell r="E165">
            <v>48423.736000000004</v>
          </cell>
          <cell r="F165">
            <v>51483.932000000008</v>
          </cell>
          <cell r="G165">
            <v>59478.544800000003</v>
          </cell>
          <cell r="H165">
            <v>16552.1682</v>
          </cell>
          <cell r="I165">
            <v>18486.920000000002</v>
          </cell>
          <cell r="J165">
            <v>18260.719999999998</v>
          </cell>
          <cell r="K165">
            <v>18253.295999999998</v>
          </cell>
          <cell r="L165">
            <v>18234.736000000001</v>
          </cell>
          <cell r="M165">
            <v>18196.224000000002</v>
          </cell>
          <cell r="N165">
            <v>18514.295999999998</v>
          </cell>
          <cell r="O165">
            <v>18288.560000000001</v>
          </cell>
          <cell r="P165">
            <v>18089.503999999997</v>
          </cell>
          <cell r="Q165">
            <v>18265.36</v>
          </cell>
          <cell r="R165">
            <v>18444.696</v>
          </cell>
          <cell r="S165">
            <v>18557.912</v>
          </cell>
          <cell r="T165">
            <v>18565.335999999999</v>
          </cell>
          <cell r="U165">
            <v>18585.288</v>
          </cell>
        </row>
        <row r="166">
          <cell r="A166" t="str">
            <v xml:space="preserve">      Pérdidas Cambiarias</v>
          </cell>
          <cell r="C166">
            <v>456</v>
          </cell>
          <cell r="D166">
            <v>456</v>
          </cell>
          <cell r="E166">
            <v>456</v>
          </cell>
          <cell r="F166">
            <v>456</v>
          </cell>
          <cell r="G166">
            <v>456</v>
          </cell>
          <cell r="H166">
            <v>456</v>
          </cell>
          <cell r="I166">
            <v>456</v>
          </cell>
          <cell r="J166">
            <v>456</v>
          </cell>
          <cell r="K166">
            <v>456</v>
          </cell>
          <cell r="L166">
            <v>456</v>
          </cell>
          <cell r="M166">
            <v>456</v>
          </cell>
          <cell r="N166">
            <v>456</v>
          </cell>
          <cell r="O166">
            <v>456</v>
          </cell>
          <cell r="P166">
            <v>456</v>
          </cell>
          <cell r="Q166">
            <v>456</v>
          </cell>
          <cell r="R166">
            <v>456</v>
          </cell>
          <cell r="S166">
            <v>456</v>
          </cell>
          <cell r="T166">
            <v>456</v>
          </cell>
          <cell r="U166">
            <v>456</v>
          </cell>
        </row>
        <row r="168">
          <cell r="A168" t="str">
            <v xml:space="preserve">   B. OBLIGACIONES</v>
          </cell>
          <cell r="C168">
            <v>9879.4126399999986</v>
          </cell>
          <cell r="D168">
            <v>7575.0214399999995</v>
          </cell>
          <cell r="E168">
            <v>7939.7667499999989</v>
          </cell>
          <cell r="F168">
            <v>26938.834599999995</v>
          </cell>
          <cell r="G168">
            <v>28488.310839999995</v>
          </cell>
          <cell r="H168">
            <v>110035.40779</v>
          </cell>
          <cell r="I168">
            <v>111902.39410999999</v>
          </cell>
          <cell r="J168">
            <v>116376.23994</v>
          </cell>
          <cell r="K168">
            <v>116919.99692999999</v>
          </cell>
          <cell r="L168">
            <v>142907.25896000001</v>
          </cell>
          <cell r="M168">
            <v>123469.75696</v>
          </cell>
          <cell r="N168">
            <v>115137.03490999999</v>
          </cell>
          <cell r="O168">
            <v>101885.23795</v>
          </cell>
          <cell r="P168">
            <v>78006.986999999994</v>
          </cell>
          <cell r="Q168">
            <v>46819.593939999999</v>
          </cell>
          <cell r="R168">
            <v>35657.167929999996</v>
          </cell>
          <cell r="S168">
            <v>25958.682919999999</v>
          </cell>
          <cell r="T168">
            <v>37806.051979999997</v>
          </cell>
          <cell r="U168">
            <v>62899.408939999994</v>
          </cell>
        </row>
        <row r="170">
          <cell r="A170" t="str">
            <v xml:space="preserve">      Dep. Ctes. en M/N</v>
          </cell>
          <cell r="B170" t="str">
            <v>G</v>
          </cell>
          <cell r="C170">
            <v>7179.8209900000002</v>
          </cell>
          <cell r="D170">
            <v>5051.9989499999992</v>
          </cell>
          <cell r="E170">
            <v>5051.9989499999992</v>
          </cell>
          <cell r="F170">
            <v>16960.473999999995</v>
          </cell>
          <cell r="G170">
            <v>16960.473999999995</v>
          </cell>
          <cell r="H170">
            <v>16970.061909999997</v>
          </cell>
          <cell r="I170">
            <v>16970.061909999997</v>
          </cell>
          <cell r="J170">
            <v>9262.223939999998</v>
          </cell>
          <cell r="K170">
            <v>6146.0929300000007</v>
          </cell>
          <cell r="L170">
            <v>9981.1709599999976</v>
          </cell>
          <cell r="M170">
            <v>10399.56496</v>
          </cell>
          <cell r="N170">
            <v>13657.60291</v>
          </cell>
          <cell r="O170">
            <v>15337.341949999998</v>
          </cell>
          <cell r="P170">
            <v>7917.2109999999993</v>
          </cell>
          <cell r="Q170">
            <v>7650.0259400000004</v>
          </cell>
          <cell r="R170">
            <v>16026.023929999998</v>
          </cell>
          <cell r="S170">
            <v>7911.1709200000014</v>
          </cell>
          <cell r="T170">
            <v>14808.12398</v>
          </cell>
          <cell r="U170">
            <v>29227.160939999998</v>
          </cell>
        </row>
        <row r="171">
          <cell r="A171" t="str">
            <v xml:space="preserve">      Dep. Ctes. en M/E</v>
          </cell>
          <cell r="C171">
            <v>1071.51089</v>
          </cell>
          <cell r="D171">
            <v>1486.8568500000001</v>
          </cell>
          <cell r="E171">
            <v>1701.807</v>
          </cell>
          <cell r="F171">
            <v>8811.9979999999996</v>
          </cell>
          <cell r="G171">
            <v>10180.3572</v>
          </cell>
          <cell r="H171">
            <v>14648.206680000001</v>
          </cell>
          <cell r="I171">
            <v>16360.408000000001</v>
          </cell>
          <cell r="J171">
            <v>17345.016</v>
          </cell>
          <cell r="K171">
            <v>16076.903999999999</v>
          </cell>
          <cell r="L171">
            <v>19113.088</v>
          </cell>
          <cell r="M171">
            <v>16247.192000000001</v>
          </cell>
          <cell r="N171">
            <v>18103.655999999999</v>
          </cell>
          <cell r="O171">
            <v>22106.12</v>
          </cell>
          <cell r="P171">
            <v>28536</v>
          </cell>
          <cell r="Q171">
            <v>16345.792000000001</v>
          </cell>
          <cell r="R171">
            <v>18165.368000000002</v>
          </cell>
          <cell r="S171">
            <v>16581.736000000001</v>
          </cell>
          <cell r="T171">
            <v>21545.608</v>
          </cell>
          <cell r="U171">
            <v>32219.927999999996</v>
          </cell>
        </row>
        <row r="172">
          <cell r="A172" t="str">
            <v xml:space="preserve">      End. AID-BIRF</v>
          </cell>
          <cell r="C172">
            <v>1628.0807599999998</v>
          </cell>
          <cell r="D172">
            <v>1036.1656399999999</v>
          </cell>
          <cell r="E172">
            <v>1185.9608000000001</v>
          </cell>
          <cell r="F172">
            <v>1166.3626000000002</v>
          </cell>
          <cell r="G172">
            <v>1347.47964</v>
          </cell>
          <cell r="H172">
            <v>1324.2149999999999</v>
          </cell>
          <cell r="I172">
            <v>1479</v>
          </cell>
          <cell r="J172">
            <v>1479</v>
          </cell>
          <cell r="K172">
            <v>1479</v>
          </cell>
          <cell r="L172">
            <v>1479</v>
          </cell>
          <cell r="M172">
            <v>1479</v>
          </cell>
          <cell r="N172">
            <v>1465.7759999999998</v>
          </cell>
          <cell r="O172">
            <v>1465.7759999999998</v>
          </cell>
          <cell r="P172">
            <v>1465.7759999999998</v>
          </cell>
          <cell r="Q172">
            <v>1465.7759999999998</v>
          </cell>
          <cell r="R172">
            <v>1465.7759999999998</v>
          </cell>
          <cell r="S172">
            <v>1465.7759999999998</v>
          </cell>
          <cell r="T172">
            <v>1452.32</v>
          </cell>
          <cell r="U172">
            <v>1452.32</v>
          </cell>
        </row>
        <row r="173">
          <cell r="A173" t="str">
            <v xml:space="preserve">      BEM</v>
          </cell>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row>
        <row r="174">
          <cell r="A174" t="str">
            <v xml:space="preserve">      Dep. Gob en BCCR por subasta conjunta  </v>
          </cell>
          <cell r="C174">
            <v>0</v>
          </cell>
          <cell r="D174">
            <v>0</v>
          </cell>
          <cell r="E174">
            <v>0</v>
          </cell>
          <cell r="F174">
            <v>0</v>
          </cell>
          <cell r="G174">
            <v>0</v>
          </cell>
          <cell r="H174">
            <v>77092.924199999994</v>
          </cell>
          <cell r="I174">
            <v>77092.924199999994</v>
          </cell>
          <cell r="J174">
            <v>88290</v>
          </cell>
          <cell r="K174">
            <v>93218</v>
          </cell>
          <cell r="L174">
            <v>112334</v>
          </cell>
          <cell r="M174">
            <v>95344</v>
          </cell>
          <cell r="N174">
            <v>81910</v>
          </cell>
          <cell r="O174">
            <v>62976</v>
          </cell>
          <cell r="P174">
            <v>40088</v>
          </cell>
          <cell r="Q174">
            <v>21358</v>
          </cell>
          <cell r="R174">
            <v>0</v>
          </cell>
          <cell r="S174">
            <v>0</v>
          </cell>
          <cell r="T174">
            <v>0</v>
          </cell>
          <cell r="U174">
            <v>0</v>
          </cell>
        </row>
        <row r="176">
          <cell r="A176" t="str">
            <v>II. ENTIDADES</v>
          </cell>
          <cell r="C176">
            <v>30884.244269999996</v>
          </cell>
          <cell r="D176">
            <v>23218.370119999996</v>
          </cell>
          <cell r="E176">
            <v>25055.881639999996</v>
          </cell>
          <cell r="F176">
            <v>18683.864619999997</v>
          </cell>
          <cell r="G176">
            <v>20432.270860000001</v>
          </cell>
          <cell r="H176">
            <v>26165.081599999998</v>
          </cell>
          <cell r="I176">
            <v>27635.187040000001</v>
          </cell>
          <cell r="J176">
            <v>27467.448079999998</v>
          </cell>
          <cell r="K176">
            <v>27300.59604</v>
          </cell>
          <cell r="L176">
            <v>11168.026039999999</v>
          </cell>
          <cell r="M176">
            <v>9307.5150599999979</v>
          </cell>
          <cell r="N176">
            <v>9151.2280200000005</v>
          </cell>
          <cell r="O176">
            <v>9169.6591000000008</v>
          </cell>
          <cell r="P176">
            <v>8594.3600200000001</v>
          </cell>
          <cell r="Q176">
            <v>9039.8790399999998</v>
          </cell>
          <cell r="R176">
            <v>8932.9730199999995</v>
          </cell>
          <cell r="S176">
            <v>9074.131040000002</v>
          </cell>
          <cell r="T176">
            <v>8765.8040199999996</v>
          </cell>
          <cell r="U176">
            <v>9351.0690600000016</v>
          </cell>
        </row>
        <row r="178">
          <cell r="A178" t="str">
            <v xml:space="preserve">   A. CREDITO</v>
          </cell>
          <cell r="C178">
            <v>31928.182589999997</v>
          </cell>
          <cell r="D178">
            <v>25285.232339999995</v>
          </cell>
          <cell r="E178">
            <v>27123.061799999996</v>
          </cell>
          <cell r="F178">
            <v>24829.836799999997</v>
          </cell>
          <cell r="G178">
            <v>26578.63392</v>
          </cell>
          <cell r="H178">
            <v>27018.969639999999</v>
          </cell>
          <cell r="I178">
            <v>28489.415000000001</v>
          </cell>
          <cell r="J178">
            <v>28177.105</v>
          </cell>
          <cell r="K178">
            <v>28186.087</v>
          </cell>
          <cell r="L178">
            <v>11989.281999999999</v>
          </cell>
          <cell r="M178">
            <v>10020.903999999999</v>
          </cell>
          <cell r="N178">
            <v>9857.7530000000006</v>
          </cell>
          <cell r="O178">
            <v>9895.99</v>
          </cell>
          <cell r="P178">
            <v>9933.7099999999991</v>
          </cell>
          <cell r="Q178">
            <v>9916.8379999999997</v>
          </cell>
          <cell r="R178">
            <v>9955.393</v>
          </cell>
          <cell r="S178">
            <v>9994.4880000000012</v>
          </cell>
          <cell r="T178">
            <v>9723.7999999999993</v>
          </cell>
          <cell r="U178">
            <v>9761.6910000000007</v>
          </cell>
        </row>
        <row r="180">
          <cell r="A180" t="str">
            <v xml:space="preserve">      Crédito CNP</v>
          </cell>
          <cell r="B180" t="str">
            <v>H</v>
          </cell>
          <cell r="C180">
            <v>363.31799999999998</v>
          </cell>
          <cell r="D180">
            <v>374.81599999999997</v>
          </cell>
          <cell r="E180">
            <v>374.81599999999997</v>
          </cell>
          <cell r="F180">
            <v>392.18599999999998</v>
          </cell>
          <cell r="G180">
            <v>392.18599999999998</v>
          </cell>
          <cell r="H180">
            <v>407.93900000000002</v>
          </cell>
          <cell r="I180">
            <v>407.93900000000002</v>
          </cell>
          <cell r="J180">
            <v>409.24700000000001</v>
          </cell>
          <cell r="K180">
            <v>410.512</v>
          </cell>
          <cell r="L180">
            <v>411.779</v>
          </cell>
          <cell r="M180">
            <v>413.09399999999999</v>
          </cell>
          <cell r="N180">
            <v>414.43099999999998</v>
          </cell>
          <cell r="O180">
            <v>415.78</v>
          </cell>
          <cell r="P180">
            <v>417.07600000000002</v>
          </cell>
          <cell r="Q180">
            <v>418.3</v>
          </cell>
          <cell r="R180">
            <v>419.50299999999999</v>
          </cell>
          <cell r="S180">
            <v>420.78199999999998</v>
          </cell>
          <cell r="T180">
            <v>317.13400000000001</v>
          </cell>
          <cell r="U180">
            <v>317.673</v>
          </cell>
        </row>
        <row r="181">
          <cell r="A181" t="str">
            <v xml:space="preserve">      Crédito CODESA M/N</v>
          </cell>
          <cell r="B181" t="str">
            <v>I</v>
          </cell>
          <cell r="C181">
            <v>9011.5190000000002</v>
          </cell>
          <cell r="D181">
            <v>9822.7729999999992</v>
          </cell>
          <cell r="E181">
            <v>9822.7729999999992</v>
          </cell>
          <cell r="F181">
            <v>10800.720000000001</v>
          </cell>
          <cell r="G181">
            <v>10800.720000000001</v>
          </cell>
          <cell r="H181">
            <v>11656.114</v>
          </cell>
          <cell r="I181">
            <v>11656.114</v>
          </cell>
          <cell r="J181">
            <v>11277.304</v>
          </cell>
          <cell r="K181">
            <v>11273.653</v>
          </cell>
          <cell r="L181">
            <v>104.877</v>
          </cell>
          <cell r="M181">
            <v>0</v>
          </cell>
          <cell r="N181">
            <v>0</v>
          </cell>
          <cell r="O181">
            <v>0</v>
          </cell>
          <cell r="P181">
            <v>0</v>
          </cell>
          <cell r="Q181">
            <v>0</v>
          </cell>
          <cell r="R181">
            <v>0</v>
          </cell>
          <cell r="S181">
            <v>0</v>
          </cell>
          <cell r="T181">
            <v>0</v>
          </cell>
          <cell r="U181">
            <v>0</v>
          </cell>
        </row>
        <row r="182">
          <cell r="A182" t="str">
            <v xml:space="preserve">      Crédito otras Ent. M/E</v>
          </cell>
          <cell r="C182">
            <v>2.1992599999999998</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row>
        <row r="183">
          <cell r="A183" t="str">
            <v xml:space="preserve">      Crédito Renegociado M/N</v>
          </cell>
          <cell r="B183" t="str">
            <v>KK</v>
          </cell>
          <cell r="C183">
            <v>23.977999999999998</v>
          </cell>
          <cell r="D183">
            <v>23.977999999999998</v>
          </cell>
          <cell r="E183">
            <v>23.977999999999998</v>
          </cell>
          <cell r="F183">
            <v>23.977999999999998</v>
          </cell>
          <cell r="G183">
            <v>23.977999999999998</v>
          </cell>
          <cell r="H183">
            <v>23.977999999999998</v>
          </cell>
          <cell r="I183">
            <v>23.977999999999998</v>
          </cell>
          <cell r="J183">
            <v>23.977999999999998</v>
          </cell>
          <cell r="K183">
            <v>23.977999999999998</v>
          </cell>
          <cell r="L183">
            <v>23.977999999999998</v>
          </cell>
          <cell r="M183">
            <v>23.977999999999998</v>
          </cell>
          <cell r="N183">
            <v>23.977999999999998</v>
          </cell>
          <cell r="O183">
            <v>23.977999999999998</v>
          </cell>
          <cell r="P183">
            <v>23.977999999999998</v>
          </cell>
          <cell r="Q183">
            <v>23.977999999999998</v>
          </cell>
          <cell r="R183">
            <v>23.977999999999998</v>
          </cell>
          <cell r="S183">
            <v>23.977999999999998</v>
          </cell>
          <cell r="T183">
            <v>23.977999999999998</v>
          </cell>
          <cell r="U183">
            <v>23.977999999999998</v>
          </cell>
        </row>
        <row r="184">
          <cell r="A184" t="str">
            <v xml:space="preserve">      Crédito Renegociado M/E</v>
          </cell>
          <cell r="B184" t="str">
            <v>K+TTT</v>
          </cell>
          <cell r="C184">
            <v>20176.168329999997</v>
          </cell>
          <cell r="D184">
            <v>12712.665339999998</v>
          </cell>
          <cell r="E184">
            <v>14550.494799999999</v>
          </cell>
          <cell r="F184">
            <v>11261.952799999999</v>
          </cell>
          <cell r="G184">
            <v>13010.749919999998</v>
          </cell>
          <cell r="H184">
            <v>12579.93864</v>
          </cell>
          <cell r="I184">
            <v>14050.384000000002</v>
          </cell>
          <cell r="J184">
            <v>14115.576000000001</v>
          </cell>
          <cell r="K184">
            <v>14126.944</v>
          </cell>
          <cell r="L184">
            <v>9097.6479999999992</v>
          </cell>
          <cell r="M184">
            <v>7232.8319999999994</v>
          </cell>
          <cell r="N184">
            <v>7068.3440000000001</v>
          </cell>
          <cell r="O184">
            <v>7105.232</v>
          </cell>
          <cell r="P184">
            <v>7141.6559999999999</v>
          </cell>
          <cell r="Q184">
            <v>7123.5599999999995</v>
          </cell>
          <cell r="R184">
            <v>7160.9120000000003</v>
          </cell>
          <cell r="S184">
            <v>7198.7280000000001</v>
          </cell>
          <cell r="T184">
            <v>7031.6880000000001</v>
          </cell>
          <cell r="U184">
            <v>7069.0400000000009</v>
          </cell>
        </row>
        <row r="185">
          <cell r="A185" t="str">
            <v xml:space="preserve">      Pérdidas Cambiarias</v>
          </cell>
          <cell r="C185">
            <v>2351</v>
          </cell>
          <cell r="D185">
            <v>2351</v>
          </cell>
          <cell r="E185">
            <v>2351</v>
          </cell>
          <cell r="F185">
            <v>2351</v>
          </cell>
          <cell r="G185">
            <v>2351</v>
          </cell>
          <cell r="H185">
            <v>2351</v>
          </cell>
          <cell r="I185">
            <v>2351</v>
          </cell>
          <cell r="J185">
            <v>2351</v>
          </cell>
          <cell r="K185">
            <v>2351</v>
          </cell>
          <cell r="L185">
            <v>2351</v>
          </cell>
          <cell r="M185">
            <v>2351</v>
          </cell>
          <cell r="N185">
            <v>2351</v>
          </cell>
          <cell r="O185">
            <v>2351</v>
          </cell>
          <cell r="P185">
            <v>2351</v>
          </cell>
          <cell r="Q185">
            <v>2351</v>
          </cell>
          <cell r="R185">
            <v>2351</v>
          </cell>
          <cell r="S185">
            <v>2351</v>
          </cell>
          <cell r="T185">
            <v>2351</v>
          </cell>
          <cell r="U185">
            <v>2351</v>
          </cell>
        </row>
        <row r="187">
          <cell r="A187" t="str">
            <v xml:space="preserve">   B. OBLIGACIONES</v>
          </cell>
          <cell r="C187">
            <v>1043.93832</v>
          </cell>
          <cell r="D187">
            <v>2066.86222</v>
          </cell>
          <cell r="E187">
            <v>2067.1801599999999</v>
          </cell>
          <cell r="F187">
            <v>6145.9721799999998</v>
          </cell>
          <cell r="G187">
            <v>6146.3630599999997</v>
          </cell>
          <cell r="H187">
            <v>853.88804000000005</v>
          </cell>
          <cell r="I187">
            <v>854.22795999999994</v>
          </cell>
          <cell r="J187">
            <v>709.65692000000001</v>
          </cell>
          <cell r="K187">
            <v>885.49095999999997</v>
          </cell>
          <cell r="L187">
            <v>821.25595999999996</v>
          </cell>
          <cell r="M187">
            <v>713.38894000000005</v>
          </cell>
          <cell r="N187">
            <v>706.52497999999991</v>
          </cell>
          <cell r="O187">
            <v>726.33089999999993</v>
          </cell>
          <cell r="P187">
            <v>1339.34998</v>
          </cell>
          <cell r="Q187">
            <v>876.95895999999993</v>
          </cell>
          <cell r="R187">
            <v>1022.41998</v>
          </cell>
          <cell r="S187">
            <v>920.35695999999996</v>
          </cell>
          <cell r="T187">
            <v>957.99597999999992</v>
          </cell>
          <cell r="U187">
            <v>410.62194</v>
          </cell>
        </row>
        <row r="189">
          <cell r="A189" t="str">
            <v xml:space="preserve">      Dep. Ctes. M/N</v>
          </cell>
          <cell r="B189" t="str">
            <v>KKKKK</v>
          </cell>
          <cell r="C189">
            <v>559.98905999999999</v>
          </cell>
          <cell r="D189">
            <v>508.66296</v>
          </cell>
          <cell r="E189">
            <v>508.66296</v>
          </cell>
          <cell r="F189">
            <v>1070.45498</v>
          </cell>
          <cell r="G189">
            <v>1070.45498</v>
          </cell>
          <cell r="H189">
            <v>361.97996000000001</v>
          </cell>
          <cell r="I189">
            <v>361.97996000000001</v>
          </cell>
          <cell r="J189">
            <v>342.40892000000002</v>
          </cell>
          <cell r="K189">
            <v>392.24295999999998</v>
          </cell>
          <cell r="L189">
            <v>328.00796000000003</v>
          </cell>
          <cell r="M189">
            <v>345.14094</v>
          </cell>
          <cell r="N189">
            <v>338.27697999999998</v>
          </cell>
          <cell r="O189">
            <v>358.0829</v>
          </cell>
          <cell r="P189">
            <v>361.10197999999997</v>
          </cell>
          <cell r="Q189">
            <v>322.71096</v>
          </cell>
          <cell r="R189">
            <v>468.17198000000002</v>
          </cell>
          <cell r="S189">
            <v>347.10895999999997</v>
          </cell>
          <cell r="T189">
            <v>344.74797999999998</v>
          </cell>
          <cell r="U189">
            <v>17.373940000000001</v>
          </cell>
        </row>
        <row r="190">
          <cell r="A190" t="str">
            <v xml:space="preserve">      Dep. Ctes. M/E</v>
          </cell>
          <cell r="C190">
            <v>2.1992599999999998</v>
          </cell>
          <cell r="D190">
            <v>2.1992600000000002</v>
          </cell>
          <cell r="E190">
            <v>2.5172000000000003</v>
          </cell>
          <cell r="F190">
            <v>2.5172000000000003</v>
          </cell>
          <cell r="G190">
            <v>2.90808</v>
          </cell>
          <cell r="H190">
            <v>2.90808</v>
          </cell>
          <cell r="I190">
            <v>3.2480000000000002</v>
          </cell>
          <cell r="J190">
            <v>3.2480000000000002</v>
          </cell>
          <cell r="K190">
            <v>3.2480000000000002</v>
          </cell>
          <cell r="L190">
            <v>3.2480000000000002</v>
          </cell>
          <cell r="M190">
            <v>3.2480000000000002</v>
          </cell>
          <cell r="N190">
            <v>3.2480000000000002</v>
          </cell>
          <cell r="O190">
            <v>3.2480000000000002</v>
          </cell>
          <cell r="P190">
            <v>3.2480000000000002</v>
          </cell>
          <cell r="Q190">
            <v>3.2480000000000002</v>
          </cell>
          <cell r="R190">
            <v>3.2480000000000002</v>
          </cell>
          <cell r="S190">
            <v>3.2480000000000002</v>
          </cell>
          <cell r="T190">
            <v>3.2480000000000002</v>
          </cell>
          <cell r="U190">
            <v>3.2480000000000002</v>
          </cell>
        </row>
        <row r="191">
          <cell r="A191" t="str">
            <v xml:space="preserve">      Dep. p/ cartas de crédito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row>
        <row r="192">
          <cell r="A192" t="str">
            <v xml:space="preserve">      BEM</v>
          </cell>
          <cell r="C192">
            <v>420</v>
          </cell>
          <cell r="D192">
            <v>1556</v>
          </cell>
          <cell r="E192">
            <v>1556</v>
          </cell>
          <cell r="F192">
            <v>5073</v>
          </cell>
          <cell r="G192">
            <v>5073</v>
          </cell>
          <cell r="H192">
            <v>489</v>
          </cell>
          <cell r="I192">
            <v>489</v>
          </cell>
          <cell r="J192">
            <v>364</v>
          </cell>
          <cell r="K192">
            <v>490</v>
          </cell>
          <cell r="L192">
            <v>490</v>
          </cell>
          <cell r="M192">
            <v>365</v>
          </cell>
          <cell r="N192">
            <v>365</v>
          </cell>
          <cell r="O192">
            <v>365</v>
          </cell>
          <cell r="P192">
            <v>975</v>
          </cell>
          <cell r="Q192">
            <v>551</v>
          </cell>
          <cell r="R192">
            <v>551</v>
          </cell>
          <cell r="S192">
            <v>570</v>
          </cell>
          <cell r="T192">
            <v>610</v>
          </cell>
          <cell r="U192">
            <v>390</v>
          </cell>
        </row>
        <row r="193">
          <cell r="A193" t="str">
            <v xml:space="preserve">      ICP</v>
          </cell>
          <cell r="C193">
            <v>61.75</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row>
        <row r="195">
          <cell r="A195" t="str">
            <v>(*) Cifras preliminares</v>
          </cell>
        </row>
        <row r="528">
          <cell r="A528" t="str">
            <v>CUENTAS BANCOS COMERCIALES</v>
          </cell>
        </row>
        <row r="530">
          <cell r="A530" t="str">
            <v>BANCOS COMERCIALES</v>
          </cell>
        </row>
        <row r="531">
          <cell r="A531" t="str">
            <v>Activos Externos Netos</v>
          </cell>
        </row>
        <row r="532">
          <cell r="A532" t="str">
            <v xml:space="preserve">Saldos en millones </v>
          </cell>
        </row>
        <row r="533">
          <cell r="J533">
            <v>-4456.2879230000108</v>
          </cell>
          <cell r="K533">
            <v>-7483.7946780000093</v>
          </cell>
          <cell r="L533">
            <v>-673.57619900000645</v>
          </cell>
          <cell r="M533">
            <v>-4922.4370350000099</v>
          </cell>
          <cell r="N533">
            <v>-4926.1344940000054</v>
          </cell>
          <cell r="O533">
            <v>-13089.838715999998</v>
          </cell>
          <cell r="P533">
            <v>-11757.04535800001</v>
          </cell>
          <cell r="Q533">
            <v>-15262.876763000011</v>
          </cell>
          <cell r="R533">
            <v>-20097.859219000013</v>
          </cell>
          <cell r="S533">
            <v>-16545.202889000004</v>
          </cell>
          <cell r="T533">
            <v>-19588.239477000017</v>
          </cell>
        </row>
        <row r="534">
          <cell r="A534" t="str">
            <v>ACTIVOS EXTERNOS NETOS</v>
          </cell>
          <cell r="C534">
            <v>9829.6940039999972</v>
          </cell>
          <cell r="D534">
            <v>14423.434819999995</v>
          </cell>
          <cell r="E534">
            <v>16884.869524999998</v>
          </cell>
          <cell r="F534">
            <v>5532.1294390000112</v>
          </cell>
          <cell r="G534">
            <v>7421.8611350000065</v>
          </cell>
          <cell r="H534">
            <v>10266.959037000001</v>
          </cell>
          <cell r="I534">
            <v>11834.762341000009</v>
          </cell>
          <cell r="J534">
            <v>7378.474417999998</v>
          </cell>
          <cell r="K534">
            <v>4350.9676629999994</v>
          </cell>
          <cell r="L534">
            <v>11161.186142000002</v>
          </cell>
          <cell r="M534">
            <v>6912.3253059999988</v>
          </cell>
          <cell r="N534">
            <v>6908.6278470000034</v>
          </cell>
          <cell r="O534">
            <v>-1255.0763749999896</v>
          </cell>
          <cell r="P534">
            <v>77.716982999998436</v>
          </cell>
          <cell r="Q534">
            <v>-3428.1144220000024</v>
          </cell>
          <cell r="R534">
            <v>-8263.0968780000021</v>
          </cell>
          <cell r="S534">
            <v>-4710.440547999995</v>
          </cell>
          <cell r="T534">
            <v>-7753.4771360000086</v>
          </cell>
          <cell r="U534">
            <v>-17964.001599999996</v>
          </cell>
        </row>
        <row r="535">
          <cell r="A535" t="str">
            <v>(Colones)</v>
          </cell>
        </row>
        <row r="537">
          <cell r="A537" t="str">
            <v>I. RESERVAS INTERNACIONALES NETAS</v>
          </cell>
          <cell r="C537">
            <v>95.723299999999981</v>
          </cell>
          <cell r="D537">
            <v>155.36329082054871</v>
          </cell>
          <cell r="E537">
            <v>155.82584087319242</v>
          </cell>
          <cell r="F537">
            <v>131.40189901001116</v>
          </cell>
          <cell r="G537">
            <v>131.69595163681882</v>
          </cell>
          <cell r="H537">
            <v>146.6633153090699</v>
          </cell>
          <cell r="I537">
            <v>147.11027501724141</v>
          </cell>
          <cell r="J537">
            <v>126.15415733620689</v>
          </cell>
          <cell r="K537">
            <v>112.53961415948277</v>
          </cell>
          <cell r="L537">
            <v>138.65775681034484</v>
          </cell>
          <cell r="M537">
            <v>116.76993552586208</v>
          </cell>
          <cell r="N537">
            <v>115.28260767672414</v>
          </cell>
          <cell r="O537">
            <v>82.108466788793123</v>
          </cell>
          <cell r="P537">
            <v>95.5010379439655</v>
          </cell>
          <cell r="Q537">
            <v>74.109983090517233</v>
          </cell>
          <cell r="R537">
            <v>53.577084866379295</v>
          </cell>
          <cell r="S537">
            <v>75.399979448275872</v>
          </cell>
          <cell r="T537">
            <v>69.183168517241342</v>
          </cell>
          <cell r="U537">
            <v>39.951468689655201</v>
          </cell>
        </row>
        <row r="538">
          <cell r="A538" t="str">
            <v xml:space="preserve">   (Dólares)</v>
          </cell>
        </row>
        <row r="540">
          <cell r="A540" t="str">
            <v xml:space="preserve">      1. Activos Externos</v>
          </cell>
          <cell r="C540">
            <v>152.63709999999998</v>
          </cell>
          <cell r="D540">
            <v>199.78729999999999</v>
          </cell>
          <cell r="E540">
            <v>199.78729999999999</v>
          </cell>
          <cell r="F540">
            <v>200.65300000000002</v>
          </cell>
          <cell r="G540">
            <v>200.65300000000002</v>
          </cell>
          <cell r="H540">
            <v>247.63850000000002</v>
          </cell>
          <cell r="I540">
            <v>247.63850000000002</v>
          </cell>
          <cell r="J540">
            <v>210.66039999999998</v>
          </cell>
          <cell r="K540">
            <v>194.10210000000001</v>
          </cell>
          <cell r="L540">
            <v>220.64480000000003</v>
          </cell>
          <cell r="M540">
            <v>202.4658</v>
          </cell>
          <cell r="N540">
            <v>202.63030000000001</v>
          </cell>
          <cell r="O540">
            <v>177.23920000000001</v>
          </cell>
          <cell r="P540">
            <v>195.00229999999999</v>
          </cell>
          <cell r="Q540">
            <v>184.31459999999998</v>
          </cell>
          <cell r="R540">
            <v>159.59909999999999</v>
          </cell>
          <cell r="S540">
            <v>201.02510000000001</v>
          </cell>
          <cell r="T540">
            <v>211.91859999999997</v>
          </cell>
          <cell r="U540">
            <v>204.38330000000002</v>
          </cell>
        </row>
        <row r="541">
          <cell r="A541" t="str">
            <v xml:space="preserve">      2. Obligaciones Corto Plazo</v>
          </cell>
          <cell r="C541">
            <v>56.913799999999995</v>
          </cell>
          <cell r="D541">
            <v>44.424009179451275</v>
          </cell>
          <cell r="E541">
            <v>43.961459126807569</v>
          </cell>
          <cell r="F541">
            <v>69.251100989988871</v>
          </cell>
          <cell r="G541">
            <v>68.957048363181201</v>
          </cell>
          <cell r="H541">
            <v>100.97518469093011</v>
          </cell>
          <cell r="I541">
            <v>100.52822498275862</v>
          </cell>
          <cell r="J541">
            <v>84.506242663793088</v>
          </cell>
          <cell r="K541">
            <v>81.56248584051724</v>
          </cell>
          <cell r="L541">
            <v>81.987043189655182</v>
          </cell>
          <cell r="M541">
            <v>85.69586447413792</v>
          </cell>
          <cell r="N541">
            <v>87.347692323275865</v>
          </cell>
          <cell r="O541">
            <v>95.130733211206888</v>
          </cell>
          <cell r="P541">
            <v>99.501262056034491</v>
          </cell>
          <cell r="Q541">
            <v>110.20461690948275</v>
          </cell>
          <cell r="R541">
            <v>106.0220151336207</v>
          </cell>
          <cell r="S541">
            <v>125.62512055172414</v>
          </cell>
          <cell r="T541">
            <v>142.73543148275863</v>
          </cell>
          <cell r="U541">
            <v>164.43183131034482</v>
          </cell>
        </row>
        <row r="543">
          <cell r="A543" t="str">
            <v>II. PASIVOS EXTERNOS DE M/L PLAZO</v>
          </cell>
          <cell r="C543">
            <v>5207.4791930000001</v>
          </cell>
          <cell r="D543">
            <v>9982.5845350000018</v>
          </cell>
          <cell r="E543">
            <v>11132.616664000001</v>
          </cell>
          <cell r="F543">
            <v>18093.932002999998</v>
          </cell>
          <cell r="G543">
            <v>19934.021938999998</v>
          </cell>
          <cell r="H543">
            <v>20197.944819</v>
          </cell>
          <cell r="I543">
            <v>22294.821463</v>
          </cell>
          <cell r="J543">
            <v>21889.290084</v>
          </cell>
          <cell r="K543">
            <v>21758.222822000003</v>
          </cell>
          <cell r="L543">
            <v>21007.413438</v>
          </cell>
          <cell r="M543">
            <v>20178.299736000004</v>
          </cell>
          <cell r="N543">
            <v>19836.937133999996</v>
          </cell>
          <cell r="O543">
            <v>20304.240669999996</v>
          </cell>
          <cell r="P543">
            <v>22078.523819999999</v>
          </cell>
          <cell r="Q543">
            <v>20621.630498999999</v>
          </cell>
          <cell r="R543">
            <v>20692.980566999999</v>
          </cell>
          <cell r="S543">
            <v>22203.235779999999</v>
          </cell>
          <cell r="T543">
            <v>23803.972232</v>
          </cell>
          <cell r="U543">
            <v>27232.742336000003</v>
          </cell>
        </row>
        <row r="544">
          <cell r="A544" t="str">
            <v xml:space="preserve">    (Colones)</v>
          </cell>
        </row>
        <row r="546">
          <cell r="A546" t="str">
            <v xml:space="preserve">      1. En moneda nacional</v>
          </cell>
          <cell r="C546">
            <v>1241.7421430000004</v>
          </cell>
          <cell r="D546">
            <v>2027.5626439999996</v>
          </cell>
          <cell r="E546">
            <v>2027.5626439999996</v>
          </cell>
          <cell r="F546">
            <v>6244.0691629999983</v>
          </cell>
          <cell r="G546">
            <v>6244.0691629999983</v>
          </cell>
          <cell r="H546">
            <v>2258.7678630000009</v>
          </cell>
          <cell r="I546">
            <v>2258.7678630000009</v>
          </cell>
          <cell r="J546">
            <v>2424.0492840000006</v>
          </cell>
          <cell r="K546">
            <v>2158.4684220000017</v>
          </cell>
          <cell r="L546">
            <v>2127.8566379999975</v>
          </cell>
          <cell r="M546">
            <v>1897.5349360000037</v>
          </cell>
          <cell r="N546">
            <v>2064.8323339999988</v>
          </cell>
          <cell r="O546">
            <v>2039.3446699999986</v>
          </cell>
          <cell r="P546">
            <v>2009.1086199999991</v>
          </cell>
          <cell r="Q546">
            <v>1943.5192989999996</v>
          </cell>
          <cell r="R546">
            <v>1771.9421669999974</v>
          </cell>
          <cell r="S546">
            <v>1915.670979999999</v>
          </cell>
          <cell r="T546">
            <v>2471.2938319999994</v>
          </cell>
          <cell r="U546">
            <v>2331.7183360000054</v>
          </cell>
        </row>
        <row r="547">
          <cell r="A547" t="str">
            <v xml:space="preserve">      2. En moneda extranjera</v>
          </cell>
          <cell r="C547">
            <v>3965.7370499999997</v>
          </cell>
          <cell r="D547">
            <v>7955.0218910000012</v>
          </cell>
          <cell r="E547">
            <v>9105.0540200000014</v>
          </cell>
          <cell r="F547">
            <v>11849.86284</v>
          </cell>
          <cell r="G547">
            <v>13689.952776</v>
          </cell>
          <cell r="H547">
            <v>17939.176955999999</v>
          </cell>
          <cell r="I547">
            <v>20036.053599999999</v>
          </cell>
          <cell r="J547">
            <v>19465.2408</v>
          </cell>
          <cell r="K547">
            <v>19599.754400000002</v>
          </cell>
          <cell r="L547">
            <v>18879.556800000002</v>
          </cell>
          <cell r="M547">
            <v>18280.764800000001</v>
          </cell>
          <cell r="N547">
            <v>17772.104799999997</v>
          </cell>
          <cell r="O547">
            <v>18264.895999999997</v>
          </cell>
          <cell r="P547">
            <v>20069.415199999999</v>
          </cell>
          <cell r="Q547">
            <v>18678.111199999999</v>
          </cell>
          <cell r="R547">
            <v>18921.038400000001</v>
          </cell>
          <cell r="S547">
            <v>20287.5648</v>
          </cell>
          <cell r="T547">
            <v>21332.678400000001</v>
          </cell>
          <cell r="U547">
            <v>24901.023999999998</v>
          </cell>
        </row>
        <row r="550">
          <cell r="A550" t="str">
            <v>Crédito Neto al SPNF</v>
          </cell>
        </row>
        <row r="551">
          <cell r="A551" t="str">
            <v>Crédito Neto al SPNF</v>
          </cell>
        </row>
        <row r="552">
          <cell r="A552" t="str">
            <v>Saldos en millones de colones</v>
          </cell>
        </row>
        <row r="554">
          <cell r="A554" t="str">
            <v>I. GOBIERNO</v>
          </cell>
          <cell r="C554">
            <v>17937.270298000003</v>
          </cell>
          <cell r="D554">
            <v>26886.424152</v>
          </cell>
          <cell r="E554">
            <v>26875.509726000004</v>
          </cell>
          <cell r="F554">
            <v>34800.633947000002</v>
          </cell>
          <cell r="G554">
            <v>34763.307698999997</v>
          </cell>
          <cell r="H554">
            <v>97945.924171000006</v>
          </cell>
          <cell r="I554">
            <v>99130.280719000017</v>
          </cell>
          <cell r="J554">
            <v>92475.727513999998</v>
          </cell>
          <cell r="K554">
            <v>97014.135686000009</v>
          </cell>
          <cell r="L554">
            <v>97839.277776000003</v>
          </cell>
          <cell r="M554">
            <v>102043.729408</v>
          </cell>
          <cell r="N554">
            <v>101948.77705100001</v>
          </cell>
          <cell r="O554">
            <v>94615.756134999989</v>
          </cell>
          <cell r="P554">
            <v>97277.240501000007</v>
          </cell>
          <cell r="Q554">
            <v>91064.905590999988</v>
          </cell>
          <cell r="R554">
            <v>91180.347904999988</v>
          </cell>
          <cell r="S554">
            <v>79279.184448</v>
          </cell>
          <cell r="T554">
            <v>80537.045008000001</v>
          </cell>
          <cell r="U554">
            <v>88365.618084000002</v>
          </cell>
        </row>
        <row r="555">
          <cell r="A555" t="str">
            <v xml:space="preserve">   </v>
          </cell>
        </row>
        <row r="556">
          <cell r="A556" t="str">
            <v xml:space="preserve">   A. CREDITO</v>
          </cell>
          <cell r="C556">
            <v>19304.631500000003</v>
          </cell>
          <cell r="D556">
            <v>64074.540399999998</v>
          </cell>
          <cell r="E556">
            <v>64074.540399999998</v>
          </cell>
          <cell r="F556">
            <v>39432.308199999999</v>
          </cell>
          <cell r="G556">
            <v>39432.308199999999</v>
          </cell>
          <cell r="H556">
            <v>99896.751100000009</v>
          </cell>
          <cell r="I556">
            <v>101086.47110000001</v>
          </cell>
          <cell r="J556">
            <v>94741.858200000002</v>
          </cell>
          <cell r="K556">
            <v>100579.73330000001</v>
          </cell>
          <cell r="L556">
            <v>100692.72350000001</v>
          </cell>
          <cell r="M556">
            <v>104553.6352</v>
          </cell>
          <cell r="N556">
            <v>104443.88010000001</v>
          </cell>
          <cell r="O556">
            <v>97997.915599999993</v>
          </cell>
          <cell r="P556">
            <v>99604.988544000007</v>
          </cell>
          <cell r="Q556">
            <v>93560.637018999987</v>
          </cell>
          <cell r="R556">
            <v>94148.167263999989</v>
          </cell>
          <cell r="S556">
            <v>81819.497399999993</v>
          </cell>
          <cell r="T556">
            <v>83368.980899999995</v>
          </cell>
          <cell r="U556">
            <v>91293.755151999998</v>
          </cell>
        </row>
        <row r="558">
          <cell r="A558" t="str">
            <v xml:space="preserve">      Préstamos directos</v>
          </cell>
          <cell r="B558" t="str">
            <v>CYD: I) 1+2</v>
          </cell>
          <cell r="C558">
            <v>245.94829999999999</v>
          </cell>
          <cell r="D558">
            <v>959.69710000000009</v>
          </cell>
          <cell r="E558">
            <v>959.69710000000009</v>
          </cell>
          <cell r="F558">
            <v>250.90860000000001</v>
          </cell>
          <cell r="G558">
            <v>250.90860000000001</v>
          </cell>
          <cell r="H558">
            <v>2206.5529999999999</v>
          </cell>
          <cell r="I558">
            <v>2206.5529999999999</v>
          </cell>
          <cell r="J558">
            <v>0.39350000000000002</v>
          </cell>
          <cell r="K558">
            <v>0.39350000000000002</v>
          </cell>
          <cell r="L558">
            <v>0</v>
          </cell>
          <cell r="M558">
            <v>0</v>
          </cell>
          <cell r="N558">
            <v>0</v>
          </cell>
          <cell r="O558">
            <v>0</v>
          </cell>
          <cell r="P558">
            <v>0</v>
          </cell>
          <cell r="Q558">
            <v>0</v>
          </cell>
          <cell r="R558">
            <v>0</v>
          </cell>
          <cell r="S558">
            <v>0</v>
          </cell>
          <cell r="T558">
            <v>0</v>
          </cell>
          <cell r="U558">
            <v>0</v>
          </cell>
        </row>
        <row r="559">
          <cell r="A559" t="str">
            <v xml:space="preserve">      Bonos Fiscales en M/N</v>
          </cell>
          <cell r="B559" t="str">
            <v>CYD: I) 3 + 5</v>
          </cell>
          <cell r="C559">
            <v>17708.683200000003</v>
          </cell>
          <cell r="D559">
            <v>49693.597500000003</v>
          </cell>
          <cell r="E559">
            <v>49693.597500000003</v>
          </cell>
          <cell r="F559">
            <v>23508.299200000001</v>
          </cell>
          <cell r="G559">
            <v>23508.299200000001</v>
          </cell>
          <cell r="H559">
            <v>87441.91810000001</v>
          </cell>
          <cell r="I559">
            <v>87441.91810000001</v>
          </cell>
          <cell r="J559">
            <v>83486.027900000001</v>
          </cell>
          <cell r="K559">
            <v>91017.728900000002</v>
          </cell>
          <cell r="L559">
            <v>91170.781500000012</v>
          </cell>
          <cell r="M559">
            <v>95071.963300000003</v>
          </cell>
          <cell r="N559">
            <v>94007.039400000009</v>
          </cell>
          <cell r="O559">
            <v>87511.733699999997</v>
          </cell>
          <cell r="P559">
            <v>80791.946844000006</v>
          </cell>
          <cell r="Q559">
            <v>74882.477818999992</v>
          </cell>
          <cell r="R559">
            <v>78814.032863999993</v>
          </cell>
          <cell r="S559">
            <v>68389.897400000002</v>
          </cell>
          <cell r="T559">
            <v>64214.2209</v>
          </cell>
          <cell r="U559">
            <v>70497.296751999995</v>
          </cell>
        </row>
        <row r="560">
          <cell r="A560" t="str">
            <v xml:space="preserve">      Bonos Fiscales en M/E</v>
          </cell>
          <cell r="C560">
            <v>0</v>
          </cell>
          <cell r="D560">
            <v>0</v>
          </cell>
          <cell r="E560">
            <v>0</v>
          </cell>
          <cell r="F560">
            <v>0</v>
          </cell>
          <cell r="G560">
            <v>0</v>
          </cell>
          <cell r="H560">
            <v>10178.280000000001</v>
          </cell>
          <cell r="I560">
            <v>11368</v>
          </cell>
          <cell r="J560">
            <v>10904</v>
          </cell>
          <cell r="K560">
            <v>9280</v>
          </cell>
          <cell r="L560">
            <v>9280</v>
          </cell>
          <cell r="M560">
            <v>9280</v>
          </cell>
          <cell r="N560">
            <v>10324</v>
          </cell>
          <cell r="O560">
            <v>10440</v>
          </cell>
          <cell r="P560">
            <v>18806.198400000001</v>
          </cell>
          <cell r="Q560">
            <v>18658.159200000002</v>
          </cell>
          <cell r="R560">
            <v>15314.134400000001</v>
          </cell>
          <cell r="S560">
            <v>13409.599999999999</v>
          </cell>
          <cell r="T560">
            <v>19094.760000000002</v>
          </cell>
          <cell r="U560">
            <v>20776.458400000003</v>
          </cell>
        </row>
        <row r="561">
          <cell r="A561" t="str">
            <v xml:space="preserve">      Bonos Cond. Deuda Bancaria</v>
          </cell>
          <cell r="C561">
            <v>1350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row>
        <row r="562">
          <cell r="A562" t="str">
            <v xml:space="preserve">      Títulos pacto recompra</v>
          </cell>
          <cell r="B562" t="str">
            <v>RC</v>
          </cell>
          <cell r="C562">
            <v>0</v>
          </cell>
          <cell r="D562">
            <v>13421.245800000001</v>
          </cell>
          <cell r="E562">
            <v>13421.245800000001</v>
          </cell>
          <cell r="F562">
            <v>15673.100399999999</v>
          </cell>
          <cell r="G562">
            <v>15673.100399999999</v>
          </cell>
          <cell r="H562">
            <v>70</v>
          </cell>
          <cell r="I562">
            <v>70</v>
          </cell>
          <cell r="J562">
            <v>351.43680000000001</v>
          </cell>
          <cell r="K562">
            <v>281.61090000000002</v>
          </cell>
          <cell r="L562">
            <v>241.94200000000001</v>
          </cell>
          <cell r="M562">
            <v>201.67189999999999</v>
          </cell>
          <cell r="N562">
            <v>112.8407</v>
          </cell>
          <cell r="O562">
            <v>46.181899999999999</v>
          </cell>
          <cell r="P562">
            <v>6.8433000000000002</v>
          </cell>
          <cell r="Q562">
            <v>20</v>
          </cell>
          <cell r="R562">
            <v>20</v>
          </cell>
          <cell r="S562">
            <v>20</v>
          </cell>
          <cell r="T562">
            <v>60</v>
          </cell>
          <cell r="U562">
            <v>20</v>
          </cell>
        </row>
        <row r="564">
          <cell r="A564" t="str">
            <v xml:space="preserve">   B. DEPOSITOS</v>
          </cell>
          <cell r="C564">
            <v>1367.361202</v>
          </cell>
          <cell r="D564">
            <v>37188.116247999998</v>
          </cell>
          <cell r="E564">
            <v>37199.030673999994</v>
          </cell>
          <cell r="F564">
            <v>4631.6742529999992</v>
          </cell>
          <cell r="G564">
            <v>4669.0005009999995</v>
          </cell>
          <cell r="H564">
            <v>1950.8269290000001</v>
          </cell>
          <cell r="I564">
            <v>1956.1903810000001</v>
          </cell>
          <cell r="J564">
            <v>2266.1306860000004</v>
          </cell>
          <cell r="K564">
            <v>3565.5976139999998</v>
          </cell>
          <cell r="L564">
            <v>2853.4457240000002</v>
          </cell>
          <cell r="M564">
            <v>2509.9057919999996</v>
          </cell>
          <cell r="N564">
            <v>2495.1030489999998</v>
          </cell>
          <cell r="O564">
            <v>3382.1594649999997</v>
          </cell>
          <cell r="P564">
            <v>2327.7480430000001</v>
          </cell>
          <cell r="Q564">
            <v>2495.7314280000001</v>
          </cell>
          <cell r="R564">
            <v>2967.8193589999996</v>
          </cell>
          <cell r="S564">
            <v>2540.3129519999998</v>
          </cell>
          <cell r="T564">
            <v>2831.9358920000004</v>
          </cell>
          <cell r="U564">
            <v>2928.137068</v>
          </cell>
        </row>
        <row r="566">
          <cell r="A566" t="str">
            <v xml:space="preserve">      Cta. Cte. en M/N</v>
          </cell>
          <cell r="B566" t="str">
            <v>CYD: I) 6 a</v>
          </cell>
          <cell r="C566">
            <v>875.84843899999998</v>
          </cell>
          <cell r="D566">
            <v>3391.0063140000002</v>
          </cell>
          <cell r="E566">
            <v>3391.0063140000002</v>
          </cell>
          <cell r="F566">
            <v>2719.7915370000001</v>
          </cell>
          <cell r="G566">
            <v>2719.7915370000001</v>
          </cell>
          <cell r="H566">
            <v>1649.8291999999999</v>
          </cell>
          <cell r="I566">
            <v>1649.8291999999999</v>
          </cell>
          <cell r="J566">
            <v>1398.914726</v>
          </cell>
          <cell r="K566">
            <v>2711.6857439999999</v>
          </cell>
          <cell r="L566">
            <v>1779.4888000000001</v>
          </cell>
          <cell r="M566">
            <v>1715.1209699999999</v>
          </cell>
          <cell r="N566">
            <v>1533.5611899999999</v>
          </cell>
          <cell r="O566">
            <v>2364.8244</v>
          </cell>
          <cell r="P566">
            <v>1525.9832940000001</v>
          </cell>
          <cell r="Q566">
            <v>1659.0354550000002</v>
          </cell>
          <cell r="R566">
            <v>2145.9894879999997</v>
          </cell>
          <cell r="S566">
            <v>1655.2874200000001</v>
          </cell>
          <cell r="T566">
            <v>1707.3724200000001</v>
          </cell>
          <cell r="U566">
            <v>1475.1452720000002</v>
          </cell>
        </row>
        <row r="567">
          <cell r="A567" t="str">
            <v xml:space="preserve">      Cta. Cte. en M/E</v>
          </cell>
          <cell r="B567" t="str">
            <v>CYD: atrás</v>
          </cell>
          <cell r="C567">
            <v>13.996719000000001</v>
          </cell>
          <cell r="D567">
            <v>10.776373999999999</v>
          </cell>
          <cell r="E567">
            <v>12.33428</v>
          </cell>
          <cell r="F567">
            <v>164.35518000000002</v>
          </cell>
          <cell r="G567">
            <v>189.87685200000001</v>
          </cell>
          <cell r="H567">
            <v>43.621199999999995</v>
          </cell>
          <cell r="I567">
            <v>48.72</v>
          </cell>
          <cell r="J567">
            <v>142.3784</v>
          </cell>
          <cell r="K567">
            <v>94.09920000000001</v>
          </cell>
          <cell r="L567">
            <v>310.88</v>
          </cell>
          <cell r="M567">
            <v>154.16399999999999</v>
          </cell>
          <cell r="N567">
            <v>319.464</v>
          </cell>
          <cell r="O567">
            <v>387.904</v>
          </cell>
          <cell r="P567">
            <v>270.55840000000001</v>
          </cell>
          <cell r="Q567">
            <v>329.32400000000001</v>
          </cell>
          <cell r="R567">
            <v>175.48479999999998</v>
          </cell>
          <cell r="S567">
            <v>260.536</v>
          </cell>
          <cell r="T567">
            <v>303.572</v>
          </cell>
          <cell r="U567">
            <v>838.26239999999996</v>
          </cell>
        </row>
        <row r="568">
          <cell r="A568" t="str">
            <v xml:space="preserve">      A plazo en M/N</v>
          </cell>
          <cell r="B568" t="str">
            <v>CYD: I) 6 b</v>
          </cell>
          <cell r="C568">
            <v>21.743702000000003</v>
          </cell>
          <cell r="D568">
            <v>33507.126779999999</v>
          </cell>
          <cell r="E568">
            <v>33507.126779999999</v>
          </cell>
          <cell r="F568">
            <v>1234.763696</v>
          </cell>
          <cell r="G568">
            <v>1234.763696</v>
          </cell>
          <cell r="H568">
            <v>37.208581000000002</v>
          </cell>
          <cell r="I568">
            <v>37.208581000000002</v>
          </cell>
          <cell r="J568">
            <v>252.46475999999998</v>
          </cell>
          <cell r="K568">
            <v>239.60067000000001</v>
          </cell>
          <cell r="L568">
            <v>239.47772399999999</v>
          </cell>
          <cell r="M568">
            <v>253.87952200000001</v>
          </cell>
          <cell r="N568">
            <v>284.48165900000004</v>
          </cell>
          <cell r="O568">
            <v>248.206165</v>
          </cell>
          <cell r="P568">
            <v>221.02084900000003</v>
          </cell>
          <cell r="Q568">
            <v>214.33507300000002</v>
          </cell>
          <cell r="R568">
            <v>215.05267099999998</v>
          </cell>
          <cell r="S568">
            <v>225.53373199999999</v>
          </cell>
          <cell r="T568">
            <v>524.22757200000001</v>
          </cell>
          <cell r="U568">
            <v>215.14229599999999</v>
          </cell>
        </row>
        <row r="569">
          <cell r="A569" t="str">
            <v xml:space="preserve">      A plazo en M/E</v>
          </cell>
          <cell r="B569" t="str">
            <v>CYD: atrás</v>
          </cell>
          <cell r="C569">
            <v>0.59694199999999997</v>
          </cell>
          <cell r="D569">
            <v>64.721080000000001</v>
          </cell>
          <cell r="E569">
            <v>74.077600000000004</v>
          </cell>
          <cell r="F569">
            <v>76.019440000000003</v>
          </cell>
          <cell r="G569">
            <v>87.824016</v>
          </cell>
          <cell r="H569">
            <v>2.264148</v>
          </cell>
          <cell r="I569">
            <v>2.5287999999999999</v>
          </cell>
          <cell r="J569">
            <v>2.7840000000000003</v>
          </cell>
          <cell r="K569">
            <v>3.016</v>
          </cell>
          <cell r="L569">
            <v>6.4032</v>
          </cell>
          <cell r="M569">
            <v>6.4264000000000001</v>
          </cell>
          <cell r="N569">
            <v>6.4264000000000001</v>
          </cell>
          <cell r="O569">
            <v>6.4264000000000001</v>
          </cell>
          <cell r="P569">
            <v>6.4264000000000001</v>
          </cell>
          <cell r="Q569">
            <v>6.4264000000000001</v>
          </cell>
          <cell r="R569">
            <v>111.66160000000001</v>
          </cell>
          <cell r="S569">
            <v>111.66160000000001</v>
          </cell>
          <cell r="T569">
            <v>8.7232000000000003</v>
          </cell>
          <cell r="U569">
            <v>8.7232000000000003</v>
          </cell>
        </row>
        <row r="570">
          <cell r="A570" t="str">
            <v xml:space="preserve">      Otros depósitos</v>
          </cell>
          <cell r="B570" t="str">
            <v>CYD: I) 6 c</v>
          </cell>
          <cell r="C570">
            <v>455.17539999999997</v>
          </cell>
          <cell r="D570">
            <v>214.48570000000001</v>
          </cell>
          <cell r="E570">
            <v>214.48570000000001</v>
          </cell>
          <cell r="F570">
            <v>436.74439999999998</v>
          </cell>
          <cell r="G570">
            <v>436.74439999999998</v>
          </cell>
          <cell r="H570">
            <v>217.90379999999999</v>
          </cell>
          <cell r="I570">
            <v>217.90379999999999</v>
          </cell>
          <cell r="J570">
            <v>469.58879999999999</v>
          </cell>
          <cell r="K570">
            <v>517.19600000000003</v>
          </cell>
          <cell r="L570">
            <v>517.19600000000003</v>
          </cell>
          <cell r="M570">
            <v>380.31490000000002</v>
          </cell>
          <cell r="N570">
            <v>351.16980000000001</v>
          </cell>
          <cell r="O570">
            <v>374.79849999999999</v>
          </cell>
          <cell r="P570">
            <v>303.75909999999999</v>
          </cell>
          <cell r="Q570">
            <v>286.6105</v>
          </cell>
          <cell r="R570">
            <v>319.63080000000002</v>
          </cell>
          <cell r="S570">
            <v>287.29419999999999</v>
          </cell>
          <cell r="T570">
            <v>288.04070000000002</v>
          </cell>
          <cell r="U570">
            <v>390.8639</v>
          </cell>
        </row>
        <row r="572">
          <cell r="A572" t="str">
            <v>II. ENTIDADES</v>
          </cell>
          <cell r="C572">
            <v>-28274.214506</v>
          </cell>
          <cell r="D572">
            <v>-31395.871047999997</v>
          </cell>
          <cell r="E572">
            <v>-31493.197023999997</v>
          </cell>
          <cell r="F572">
            <v>-32746.742262000003</v>
          </cell>
          <cell r="G572">
            <v>-32890.861054000001</v>
          </cell>
          <cell r="H572">
            <v>-67729.173028999998</v>
          </cell>
          <cell r="I572">
            <v>-68049.205280999988</v>
          </cell>
          <cell r="J572">
            <v>-63446.154819999996</v>
          </cell>
          <cell r="K572">
            <v>-72592.753841999991</v>
          </cell>
          <cell r="L572">
            <v>-70754.065256999995</v>
          </cell>
          <cell r="M572">
            <v>-78857.615886</v>
          </cell>
          <cell r="N572">
            <v>-78922.997410000011</v>
          </cell>
          <cell r="O572">
            <v>-74030.146710000001</v>
          </cell>
          <cell r="P572">
            <v>-77032.664846</v>
          </cell>
          <cell r="Q572">
            <v>-85055.16135699999</v>
          </cell>
          <cell r="R572">
            <v>-86886.643188000016</v>
          </cell>
          <cell r="S572">
            <v>-86965.427867999984</v>
          </cell>
          <cell r="T572">
            <v>-83865.162488000002</v>
          </cell>
          <cell r="U572">
            <v>-81985.569531999994</v>
          </cell>
        </row>
        <row r="574">
          <cell r="A574" t="str">
            <v xml:space="preserve">   A. CREDITO</v>
          </cell>
          <cell r="C574">
            <v>2593.5679439999999</v>
          </cell>
          <cell r="D574">
            <v>2792.220632</v>
          </cell>
          <cell r="E574">
            <v>2919.9734660000004</v>
          </cell>
          <cell r="F574">
            <v>2041.6456430000001</v>
          </cell>
          <cell r="G574">
            <v>2160.4145309999999</v>
          </cell>
          <cell r="H574">
            <v>2226.0991239999998</v>
          </cell>
          <cell r="I574">
            <v>2237.5204360000002</v>
          </cell>
          <cell r="J574">
            <v>1094.1412519999999</v>
          </cell>
          <cell r="K574">
            <v>1147.997858</v>
          </cell>
          <cell r="L574">
            <v>1239.511289</v>
          </cell>
          <cell r="M574">
            <v>1023.997338</v>
          </cell>
          <cell r="N574">
            <v>1090.2717309999998</v>
          </cell>
          <cell r="O574">
            <v>996.92131500000005</v>
          </cell>
          <cell r="P574">
            <v>1002.492264</v>
          </cell>
          <cell r="Q574">
            <v>996.36063899999999</v>
          </cell>
          <cell r="R574">
            <v>1033.861635</v>
          </cell>
          <cell r="S574">
            <v>1338.6357520000001</v>
          </cell>
          <cell r="T574">
            <v>1272.3901559999999</v>
          </cell>
          <cell r="U574">
            <v>999.76951200000008</v>
          </cell>
        </row>
        <row r="576">
          <cell r="A576" t="str">
            <v xml:space="preserve">      En M/N</v>
          </cell>
          <cell r="B576" t="str">
            <v>CYD: III) 1</v>
          </cell>
          <cell r="C576">
            <v>1833.4280019999999</v>
          </cell>
          <cell r="D576">
            <v>1751.7765460000001</v>
          </cell>
          <cell r="E576">
            <v>1751.7765460000001</v>
          </cell>
          <cell r="F576">
            <v>1276.7944230000001</v>
          </cell>
          <cell r="G576">
            <v>1276.7944230000001</v>
          </cell>
          <cell r="H576">
            <v>1559.343836</v>
          </cell>
          <cell r="I576">
            <v>1559.343836</v>
          </cell>
          <cell r="J576">
            <v>261.28945199999998</v>
          </cell>
          <cell r="K576">
            <v>352.38345800000002</v>
          </cell>
          <cell r="L576">
            <v>302.46308899999997</v>
          </cell>
          <cell r="M576">
            <v>163.35273799999999</v>
          </cell>
          <cell r="N576">
            <v>243.53913099999997</v>
          </cell>
          <cell r="O576">
            <v>280.189615</v>
          </cell>
          <cell r="P576">
            <v>230.421864</v>
          </cell>
          <cell r="Q576">
            <v>239.62543900000003</v>
          </cell>
          <cell r="R576">
            <v>276.925635</v>
          </cell>
          <cell r="S576">
            <v>469.21815200000003</v>
          </cell>
          <cell r="T576">
            <v>532.37655599999994</v>
          </cell>
          <cell r="U576">
            <v>628.23911199999998</v>
          </cell>
        </row>
        <row r="577">
          <cell r="A577" t="str">
            <v xml:space="preserve">      En M/E</v>
          </cell>
          <cell r="B577" t="str">
            <v>CYD: atrás</v>
          </cell>
          <cell r="C577">
            <v>586.542642</v>
          </cell>
          <cell r="D577">
            <v>883.69408599999997</v>
          </cell>
          <cell r="E577">
            <v>1011.4469200000001</v>
          </cell>
          <cell r="F577">
            <v>764.85122000000001</v>
          </cell>
          <cell r="G577">
            <v>883.62010799999996</v>
          </cell>
          <cell r="H577">
            <v>97.711488000000003</v>
          </cell>
          <cell r="I577">
            <v>109.1328</v>
          </cell>
          <cell r="J577">
            <v>314.91679999999997</v>
          </cell>
          <cell r="K577">
            <v>295.61439999999999</v>
          </cell>
          <cell r="L577">
            <v>276.33519999999999</v>
          </cell>
          <cell r="M577">
            <v>269.88560000000001</v>
          </cell>
          <cell r="N577">
            <v>252.71759999999998</v>
          </cell>
          <cell r="O577">
            <v>191.3304</v>
          </cell>
          <cell r="P577">
            <v>222.07040000000001</v>
          </cell>
          <cell r="Q577">
            <v>206.73519999999999</v>
          </cell>
          <cell r="R577">
            <v>234.43599999999998</v>
          </cell>
          <cell r="S577">
            <v>246.91759999999999</v>
          </cell>
          <cell r="T577">
            <v>265.0136</v>
          </cell>
          <cell r="U577">
            <v>287.03040000000004</v>
          </cell>
        </row>
        <row r="578">
          <cell r="A578" t="str">
            <v xml:space="preserve">      Bonos </v>
          </cell>
          <cell r="B578" t="str">
            <v>CYD: III) 2</v>
          </cell>
          <cell r="C578">
            <v>173.59730000000002</v>
          </cell>
          <cell r="D578">
            <v>156.75</v>
          </cell>
          <cell r="E578">
            <v>156.75</v>
          </cell>
          <cell r="F578">
            <v>0</v>
          </cell>
          <cell r="G578">
            <v>0</v>
          </cell>
          <cell r="H578">
            <v>524.125</v>
          </cell>
          <cell r="I578">
            <v>524.125</v>
          </cell>
          <cell r="J578">
            <v>517.93499999999995</v>
          </cell>
          <cell r="K578">
            <v>500</v>
          </cell>
          <cell r="L578">
            <v>660.71299999999997</v>
          </cell>
          <cell r="M578">
            <v>590.75900000000001</v>
          </cell>
          <cell r="N578">
            <v>594.01499999999999</v>
          </cell>
          <cell r="O578">
            <v>525.40129999999999</v>
          </cell>
          <cell r="P578">
            <v>550</v>
          </cell>
          <cell r="Q578">
            <v>550</v>
          </cell>
          <cell r="R578">
            <v>522.5</v>
          </cell>
          <cell r="S578">
            <v>622.5</v>
          </cell>
          <cell r="T578">
            <v>475</v>
          </cell>
          <cell r="U578">
            <v>84.5</v>
          </cell>
        </row>
        <row r="579">
          <cell r="A579" t="str">
            <v xml:space="preserve">      Títulos pacto recompra</v>
          </cell>
          <cell r="C579">
            <v>0</v>
          </cell>
          <cell r="D579">
            <v>0</v>
          </cell>
          <cell r="E579">
            <v>0</v>
          </cell>
          <cell r="F579">
            <v>0</v>
          </cell>
          <cell r="G579">
            <v>0</v>
          </cell>
          <cell r="H579">
            <v>44.918799999999997</v>
          </cell>
          <cell r="I579">
            <v>44.918799999999997</v>
          </cell>
          <cell r="J579">
            <v>0</v>
          </cell>
          <cell r="K579">
            <v>0</v>
          </cell>
          <cell r="L579">
            <v>0</v>
          </cell>
          <cell r="M579">
            <v>0</v>
          </cell>
          <cell r="N579">
            <v>0</v>
          </cell>
          <cell r="O579">
            <v>0</v>
          </cell>
          <cell r="P579">
            <v>0</v>
          </cell>
          <cell r="Q579">
            <v>0</v>
          </cell>
          <cell r="R579">
            <v>0</v>
          </cell>
          <cell r="S579">
            <v>0</v>
          </cell>
          <cell r="T579">
            <v>0</v>
          </cell>
          <cell r="U579">
            <v>0</v>
          </cell>
        </row>
        <row r="581">
          <cell r="A581" t="str">
            <v xml:space="preserve">   B. OBLIGACIONES</v>
          </cell>
          <cell r="C581">
            <v>30867.782449999999</v>
          </cell>
          <cell r="D581">
            <v>34188.091679999998</v>
          </cell>
          <cell r="E581">
            <v>34413.170489999997</v>
          </cell>
          <cell r="F581">
            <v>34788.387905000003</v>
          </cell>
          <cell r="G581">
            <v>35051.275585000003</v>
          </cell>
          <cell r="H581">
            <v>69955.272152999998</v>
          </cell>
          <cell r="I581">
            <v>70286.725716999994</v>
          </cell>
          <cell r="J581">
            <v>64540.296071999997</v>
          </cell>
          <cell r="K581">
            <v>73740.751699999993</v>
          </cell>
          <cell r="L581">
            <v>71993.576545999997</v>
          </cell>
          <cell r="M581">
            <v>79881.613224000001</v>
          </cell>
          <cell r="N581">
            <v>80013.269141000012</v>
          </cell>
          <cell r="O581">
            <v>75027.068025</v>
          </cell>
          <cell r="P581">
            <v>78035.15711</v>
          </cell>
          <cell r="Q581">
            <v>86051.521995999996</v>
          </cell>
          <cell r="R581">
            <v>87920.50482300001</v>
          </cell>
          <cell r="S581">
            <v>88304.063619999986</v>
          </cell>
          <cell r="T581">
            <v>85137.552643999996</v>
          </cell>
          <cell r="U581">
            <v>82985.339043999993</v>
          </cell>
        </row>
        <row r="583">
          <cell r="A583" t="str">
            <v xml:space="preserve">      Depósitos</v>
          </cell>
          <cell r="C583">
            <v>29840.582449999998</v>
          </cell>
          <cell r="D583">
            <v>32812.491679999999</v>
          </cell>
          <cell r="E583">
            <v>33037.570489999998</v>
          </cell>
          <cell r="F583">
            <v>34788.387905000003</v>
          </cell>
          <cell r="G583">
            <v>35051.275585000003</v>
          </cell>
          <cell r="H583">
            <v>69955.272152999998</v>
          </cell>
          <cell r="I583">
            <v>70286.725716999994</v>
          </cell>
          <cell r="J583">
            <v>64540.296071999997</v>
          </cell>
          <cell r="K583">
            <v>73740.751699999993</v>
          </cell>
          <cell r="L583">
            <v>71993.576545999997</v>
          </cell>
          <cell r="M583">
            <v>79881.613224000001</v>
          </cell>
          <cell r="N583">
            <v>80013.269141000012</v>
          </cell>
          <cell r="O583">
            <v>75027.068025</v>
          </cell>
          <cell r="P583">
            <v>78035.15711</v>
          </cell>
          <cell r="Q583">
            <v>86051.521995999996</v>
          </cell>
          <cell r="R583">
            <v>87920.50482300001</v>
          </cell>
          <cell r="S583">
            <v>88304.063619999986</v>
          </cell>
          <cell r="T583">
            <v>85137.552643999996</v>
          </cell>
          <cell r="U583">
            <v>82985.339043999993</v>
          </cell>
        </row>
        <row r="585">
          <cell r="A585" t="str">
            <v xml:space="preserve">        En moneda nacional</v>
          </cell>
          <cell r="C585">
            <v>29190.622574999998</v>
          </cell>
          <cell r="D585">
            <v>31255.572690000001</v>
          </cell>
          <cell r="E585">
            <v>31255.572690000001</v>
          </cell>
          <cell r="F585">
            <v>33095.301205000003</v>
          </cell>
          <cell r="G585">
            <v>33095.280205000003</v>
          </cell>
          <cell r="H585">
            <v>67119.624116999999</v>
          </cell>
          <cell r="I585">
            <v>67119.624116999999</v>
          </cell>
          <cell r="J585">
            <v>61568.051271999997</v>
          </cell>
          <cell r="K585">
            <v>69991.631699999998</v>
          </cell>
          <cell r="L585">
            <v>68992.563746</v>
          </cell>
          <cell r="M585">
            <v>77143.224424</v>
          </cell>
          <cell r="N585">
            <v>78460.655541000015</v>
          </cell>
          <cell r="O585">
            <v>72889.768024999998</v>
          </cell>
          <cell r="P585">
            <v>75512.621110000007</v>
          </cell>
          <cell r="Q585">
            <v>82931.029196000003</v>
          </cell>
          <cell r="R585">
            <v>85752.024023000005</v>
          </cell>
          <cell r="S585">
            <v>83584.487619999985</v>
          </cell>
          <cell r="T585">
            <v>80490.546243999997</v>
          </cell>
          <cell r="U585">
            <v>77616.534243999995</v>
          </cell>
        </row>
        <row r="587">
          <cell r="A587" t="str">
            <v xml:space="preserve">          Cuenta corriente</v>
          </cell>
          <cell r="B587" t="str">
            <v>CYD: III) 3 a</v>
          </cell>
          <cell r="C587">
            <v>12528.069538</v>
          </cell>
          <cell r="D587">
            <v>17697.057245</v>
          </cell>
          <cell r="E587">
            <v>17697.057245</v>
          </cell>
          <cell r="F587">
            <v>12494.279553</v>
          </cell>
          <cell r="G587">
            <v>12494.258553000001</v>
          </cell>
          <cell r="H587">
            <v>16521.849051999998</v>
          </cell>
          <cell r="I587">
            <v>16521.849051999998</v>
          </cell>
          <cell r="J587">
            <v>10767.927979999999</v>
          </cell>
          <cell r="K587">
            <v>16993.600214000002</v>
          </cell>
          <cell r="L587">
            <v>12064.341608999999</v>
          </cell>
          <cell r="M587">
            <v>17899.885804000001</v>
          </cell>
          <cell r="N587">
            <v>18282.625218000001</v>
          </cell>
          <cell r="O587">
            <v>15775.708809999998</v>
          </cell>
          <cell r="P587">
            <v>16421.008653999997</v>
          </cell>
          <cell r="Q587">
            <v>20512.531719999999</v>
          </cell>
          <cell r="R587">
            <v>16294.750087999999</v>
          </cell>
          <cell r="S587">
            <v>17513.256947999998</v>
          </cell>
          <cell r="T587">
            <v>21707.965020000003</v>
          </cell>
          <cell r="U587">
            <v>27062.067904</v>
          </cell>
        </row>
        <row r="588">
          <cell r="A588" t="str">
            <v xml:space="preserve">          A plazo</v>
          </cell>
          <cell r="B588" t="str">
            <v>CYD: III) 3 b</v>
          </cell>
          <cell r="C588">
            <v>16662.553036999998</v>
          </cell>
          <cell r="D588">
            <v>13558.515445000001</v>
          </cell>
          <cell r="E588">
            <v>13558.515445000001</v>
          </cell>
          <cell r="F588">
            <v>20601.021652000003</v>
          </cell>
          <cell r="G588">
            <v>20601.021652000003</v>
          </cell>
          <cell r="H588">
            <v>50597.775065000002</v>
          </cell>
          <cell r="I588">
            <v>50597.775065000002</v>
          </cell>
          <cell r="J588">
            <v>50800.123291999997</v>
          </cell>
          <cell r="K588">
            <v>52998.031486</v>
          </cell>
          <cell r="L588">
            <v>56928.222136999997</v>
          </cell>
          <cell r="M588">
            <v>59243.338620000002</v>
          </cell>
          <cell r="N588">
            <v>60178.030323000006</v>
          </cell>
          <cell r="O588">
            <v>57114.059215000001</v>
          </cell>
          <cell r="P588">
            <v>59091.612456000003</v>
          </cell>
          <cell r="Q588">
            <v>62418.497476000004</v>
          </cell>
          <cell r="R588">
            <v>69457.273935000005</v>
          </cell>
          <cell r="S588">
            <v>66071.230671999991</v>
          </cell>
          <cell r="T588">
            <v>58782.581224000001</v>
          </cell>
          <cell r="U588">
            <v>50554.466339999999</v>
          </cell>
        </row>
        <row r="590">
          <cell r="A590" t="str">
            <v xml:space="preserve">        En moneda extranjera</v>
          </cell>
          <cell r="C590">
            <v>649.95987500000001</v>
          </cell>
          <cell r="D590">
            <v>1556.9189900000001</v>
          </cell>
          <cell r="E590">
            <v>1781.9978000000001</v>
          </cell>
          <cell r="F590">
            <v>1693.0867000000003</v>
          </cell>
          <cell r="G590">
            <v>1955.9953799999998</v>
          </cell>
          <cell r="H590">
            <v>2835.648036</v>
          </cell>
          <cell r="I590">
            <v>3167.1016</v>
          </cell>
          <cell r="J590">
            <v>2972.2447999999999</v>
          </cell>
          <cell r="K590">
            <v>3749.12</v>
          </cell>
          <cell r="L590">
            <v>3001.0128</v>
          </cell>
          <cell r="M590">
            <v>2738.3887999999997</v>
          </cell>
          <cell r="N590">
            <v>1552.6135999999999</v>
          </cell>
          <cell r="O590">
            <v>2137.3000000000002</v>
          </cell>
          <cell r="P590">
            <v>2522.5360000000001</v>
          </cell>
          <cell r="Q590">
            <v>3120.4928</v>
          </cell>
          <cell r="R590">
            <v>2168.4808000000003</v>
          </cell>
          <cell r="S590">
            <v>4719.576</v>
          </cell>
          <cell r="T590">
            <v>4647.0064000000002</v>
          </cell>
          <cell r="U590">
            <v>5368.8047999999999</v>
          </cell>
        </row>
        <row r="592">
          <cell r="A592" t="str">
            <v xml:space="preserve">          Cuenta corriente</v>
          </cell>
          <cell r="B592" t="str">
            <v>CYD: atrás</v>
          </cell>
          <cell r="C592">
            <v>289.39119800000003</v>
          </cell>
          <cell r="D592">
            <v>512.19194500000003</v>
          </cell>
          <cell r="E592">
            <v>586.23790000000008</v>
          </cell>
          <cell r="F592">
            <v>595.65942000000007</v>
          </cell>
          <cell r="G592">
            <v>688.15558799999997</v>
          </cell>
          <cell r="H592">
            <v>848.07921599999997</v>
          </cell>
          <cell r="I592">
            <v>947.20959999999991</v>
          </cell>
          <cell r="J592">
            <v>996.67200000000003</v>
          </cell>
          <cell r="K592">
            <v>1173.5952</v>
          </cell>
          <cell r="L592">
            <v>1222.4312</v>
          </cell>
          <cell r="M592">
            <v>1067.5247999999999</v>
          </cell>
          <cell r="N592">
            <v>773.81279999999992</v>
          </cell>
          <cell r="O592">
            <v>892.22559999999999</v>
          </cell>
          <cell r="P592">
            <v>1360.4944</v>
          </cell>
          <cell r="Q592">
            <v>1282.4959999999999</v>
          </cell>
          <cell r="R592">
            <v>899.32479999999998</v>
          </cell>
          <cell r="S592">
            <v>1141.6024</v>
          </cell>
          <cell r="T592">
            <v>906.19200000000001</v>
          </cell>
          <cell r="U592">
            <v>1404.1568</v>
          </cell>
        </row>
        <row r="593">
          <cell r="A593" t="str">
            <v xml:space="preserve">          A plazo</v>
          </cell>
          <cell r="B593" t="str">
            <v>CYD: atrás</v>
          </cell>
          <cell r="C593">
            <v>360.56867700000004</v>
          </cell>
          <cell r="D593">
            <v>1044.7270450000001</v>
          </cell>
          <cell r="E593">
            <v>1195.7599</v>
          </cell>
          <cell r="F593">
            <v>1097.4272800000001</v>
          </cell>
          <cell r="G593">
            <v>1267.839792</v>
          </cell>
          <cell r="H593">
            <v>1987.56882</v>
          </cell>
          <cell r="I593">
            <v>2219.8919999999998</v>
          </cell>
          <cell r="J593">
            <v>1975.5727999999999</v>
          </cell>
          <cell r="K593">
            <v>2575.5248000000001</v>
          </cell>
          <cell r="L593">
            <v>1778.5816</v>
          </cell>
          <cell r="M593">
            <v>1670.864</v>
          </cell>
          <cell r="N593">
            <v>778.80079999999998</v>
          </cell>
          <cell r="O593">
            <v>1245.0744</v>
          </cell>
          <cell r="P593">
            <v>1162.0416</v>
          </cell>
          <cell r="Q593">
            <v>1837.9967999999999</v>
          </cell>
          <cell r="R593">
            <v>1269.1560000000002</v>
          </cell>
          <cell r="S593">
            <v>3577.9735999999998</v>
          </cell>
          <cell r="T593">
            <v>3740.8143999999998</v>
          </cell>
          <cell r="U593">
            <v>3964.6479999999997</v>
          </cell>
        </row>
        <row r="595">
          <cell r="A595" t="str">
            <v xml:space="preserve">      Bonos Hip. y Cert. Inv. Hip.</v>
          </cell>
          <cell r="C595">
            <v>1027.2</v>
          </cell>
          <cell r="D595">
            <v>1375.6</v>
          </cell>
          <cell r="E595">
            <v>1375.6</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row>
        <row r="597">
          <cell r="A597" t="str">
            <v xml:space="preserve"> --------------------------------------------------------------</v>
          </cell>
        </row>
        <row r="598">
          <cell r="A598" t="str">
            <v>Notas:</v>
          </cell>
        </row>
        <row r="599">
          <cell r="A599" t="str">
            <v xml:space="preserve">    Cuentas en bancos del exterior</v>
          </cell>
        </row>
        <row r="600">
          <cell r="A600" t="str">
            <v xml:space="preserve">      RECOPE 1/</v>
          </cell>
        </row>
        <row r="601">
          <cell r="A601" t="str">
            <v xml:space="preserve">    Fideicomisos y cuentas de orden</v>
          </cell>
          <cell r="O601">
            <v>19136.3</v>
          </cell>
        </row>
        <row r="602">
          <cell r="A602" t="str">
            <v xml:space="preserve">      CCSS</v>
          </cell>
          <cell r="O602">
            <v>17642.099999999999</v>
          </cell>
        </row>
        <row r="603">
          <cell r="A603" t="str">
            <v xml:space="preserve">      ICE</v>
          </cell>
          <cell r="O603">
            <v>1456</v>
          </cell>
        </row>
        <row r="604">
          <cell r="A604" t="str">
            <v xml:space="preserve">      CNP</v>
          </cell>
          <cell r="O604">
            <v>38.200000000000003</v>
          </cell>
        </row>
        <row r="605">
          <cell r="A605" t="str">
            <v xml:space="preserve"> ----------------------</v>
          </cell>
        </row>
        <row r="606">
          <cell r="A606" t="str">
            <v>1/  Crédito recibido de BICSA-Miami, administrado por BICSA-Costa Rica</v>
          </cell>
        </row>
        <row r="608">
          <cell r="A608" t="str">
            <v>(*) Cifras preliminares</v>
          </cell>
        </row>
        <row r="784">
          <cell r="A784" t="str">
            <v>BANCOS COMERCIALES</v>
          </cell>
        </row>
      </sheetData>
      <sheetData sheetId="11" refreshError="1"/>
      <sheetData sheetId="12" refreshError="1"/>
      <sheetData sheetId="13" refreshError="1"/>
      <sheetData sheetId="14" refreshError="1"/>
      <sheetData sheetId="15" refreshError="1">
        <row r="2">
          <cell r="J2" t="str">
            <v xml:space="preserve"> </v>
          </cell>
          <cell r="L2" t="str">
            <v xml:space="preserve"> </v>
          </cell>
          <cell r="M2" t="str">
            <v xml:space="preserve"> </v>
          </cell>
          <cell r="AR2">
            <v>0</v>
          </cell>
          <cell r="AS2">
            <v>0</v>
          </cell>
          <cell r="AT2">
            <v>0</v>
          </cell>
        </row>
        <row r="3">
          <cell r="C3" t="str">
            <v>DIC.</v>
          </cell>
          <cell r="D3" t="str">
            <v>DIC.</v>
          </cell>
          <cell r="E3" t="str">
            <v>DIC.</v>
          </cell>
          <cell r="F3" t="str">
            <v>DIC.</v>
          </cell>
          <cell r="G3" t="str">
            <v>DIC.</v>
          </cell>
          <cell r="H3" t="str">
            <v>DIC.</v>
          </cell>
          <cell r="I3" t="str">
            <v>DIC.</v>
          </cell>
          <cell r="J3" t="str">
            <v>ENERO</v>
          </cell>
          <cell r="K3" t="str">
            <v>FEBRERO</v>
          </cell>
          <cell r="L3" t="str">
            <v xml:space="preserve">MARZO </v>
          </cell>
          <cell r="M3" t="str">
            <v>ABRIL</v>
          </cell>
          <cell r="N3" t="str">
            <v>MAYO</v>
          </cell>
          <cell r="O3" t="str">
            <v>JUNIO</v>
          </cell>
          <cell r="P3" t="str">
            <v>JULIO</v>
          </cell>
          <cell r="Q3" t="str">
            <v>AGOSTO</v>
          </cell>
          <cell r="R3" t="str">
            <v>SETIEM.</v>
          </cell>
          <cell r="S3" t="str">
            <v>OCTUB.</v>
          </cell>
          <cell r="T3" t="str">
            <v>NOVIEM</v>
          </cell>
          <cell r="U3" t="str">
            <v>DIC.</v>
          </cell>
          <cell r="V3" t="str">
            <v>DIC.</v>
          </cell>
          <cell r="W3" t="str">
            <v>ENE</v>
          </cell>
          <cell r="X3" t="str">
            <v>FEB</v>
          </cell>
          <cell r="Y3" t="str">
            <v>MAR</v>
          </cell>
          <cell r="Z3" t="str">
            <v>ABR</v>
          </cell>
          <cell r="AA3" t="str">
            <v>MAY</v>
          </cell>
          <cell r="AB3" t="str">
            <v>JUN</v>
          </cell>
          <cell r="AC3" t="str">
            <v>JUL</v>
          </cell>
          <cell r="AD3" t="str">
            <v>AGO</v>
          </cell>
          <cell r="AE3" t="str">
            <v>SEP</v>
          </cell>
          <cell r="AF3" t="str">
            <v>OCT</v>
          </cell>
          <cell r="AG3" t="str">
            <v>NOV</v>
          </cell>
          <cell r="AH3" t="str">
            <v>DIC</v>
          </cell>
          <cell r="AI3" t="str">
            <v>DIC.</v>
          </cell>
          <cell r="AJ3" t="str">
            <v>ENE</v>
          </cell>
          <cell r="AK3" t="str">
            <v>FEB</v>
          </cell>
          <cell r="AL3" t="str">
            <v>MAR</v>
          </cell>
          <cell r="AM3" t="str">
            <v>ABR</v>
          </cell>
          <cell r="AN3" t="str">
            <v>MAY</v>
          </cell>
          <cell r="AO3" t="str">
            <v>JUN</v>
          </cell>
          <cell r="AP3" t="str">
            <v>JUL</v>
          </cell>
          <cell r="AQ3" t="str">
            <v>AGO</v>
          </cell>
          <cell r="AR3" t="str">
            <v>SEP</v>
          </cell>
          <cell r="AS3" t="str">
            <v>OCT</v>
          </cell>
          <cell r="AT3" t="str">
            <v>NOV</v>
          </cell>
          <cell r="AU3" t="str">
            <v>DIC</v>
          </cell>
        </row>
        <row r="4">
          <cell r="C4" t="str">
            <v>1993</v>
          </cell>
          <cell r="D4">
            <v>1994</v>
          </cell>
          <cell r="E4">
            <v>1994</v>
          </cell>
          <cell r="F4">
            <v>1995</v>
          </cell>
          <cell r="G4">
            <v>1995</v>
          </cell>
          <cell r="H4">
            <v>1996</v>
          </cell>
          <cell r="I4">
            <v>1996</v>
          </cell>
          <cell r="J4">
            <v>1997</v>
          </cell>
          <cell r="K4">
            <v>1997</v>
          </cell>
          <cell r="L4">
            <v>1997</v>
          </cell>
          <cell r="M4">
            <v>1997</v>
          </cell>
          <cell r="N4">
            <v>1997</v>
          </cell>
          <cell r="O4">
            <v>1997</v>
          </cell>
          <cell r="P4">
            <v>1997</v>
          </cell>
          <cell r="Q4">
            <v>1997</v>
          </cell>
          <cell r="R4">
            <v>1997</v>
          </cell>
          <cell r="S4">
            <v>1997</v>
          </cell>
          <cell r="T4">
            <v>1997</v>
          </cell>
          <cell r="U4">
            <v>1997</v>
          </cell>
          <cell r="V4">
            <v>1997</v>
          </cell>
          <cell r="W4">
            <v>1998</v>
          </cell>
          <cell r="X4">
            <v>1998</v>
          </cell>
          <cell r="Y4">
            <v>1998</v>
          </cell>
          <cell r="Z4">
            <v>1998</v>
          </cell>
          <cell r="AA4">
            <v>1998</v>
          </cell>
          <cell r="AB4">
            <v>1998</v>
          </cell>
          <cell r="AC4">
            <v>1998</v>
          </cell>
          <cell r="AD4">
            <v>1998</v>
          </cell>
          <cell r="AE4">
            <v>1998</v>
          </cell>
          <cell r="AF4">
            <v>1998</v>
          </cell>
          <cell r="AG4">
            <v>1998</v>
          </cell>
          <cell r="AH4">
            <v>1998</v>
          </cell>
          <cell r="AI4">
            <v>1998</v>
          </cell>
          <cell r="AJ4">
            <v>1999</v>
          </cell>
          <cell r="AK4">
            <v>1999</v>
          </cell>
          <cell r="AL4">
            <v>1999</v>
          </cell>
          <cell r="AM4">
            <v>1999</v>
          </cell>
          <cell r="AN4">
            <v>1999</v>
          </cell>
          <cell r="AO4">
            <v>1999</v>
          </cell>
          <cell r="AP4">
            <v>1999</v>
          </cell>
          <cell r="AQ4">
            <v>1999</v>
          </cell>
          <cell r="AR4" t="str">
            <v>1999 (*)</v>
          </cell>
          <cell r="AS4" t="str">
            <v>1999 (*)</v>
          </cell>
          <cell r="AT4">
            <v>1999</v>
          </cell>
          <cell r="AU4">
            <v>1999</v>
          </cell>
        </row>
        <row r="5">
          <cell r="C5" t="str">
            <v>---------</v>
          </cell>
          <cell r="D5" t="str">
            <v>---------</v>
          </cell>
          <cell r="E5" t="str">
            <v>---------</v>
          </cell>
          <cell r="F5" t="str">
            <v>---------</v>
          </cell>
          <cell r="G5" t="str">
            <v>---------</v>
          </cell>
          <cell r="H5" t="str">
            <v>---------</v>
          </cell>
          <cell r="I5" t="str">
            <v>---------</v>
          </cell>
          <cell r="J5" t="str">
            <v>---------</v>
          </cell>
          <cell r="K5" t="str">
            <v>---------</v>
          </cell>
          <cell r="L5" t="str">
            <v>---------</v>
          </cell>
          <cell r="M5" t="str">
            <v>---------</v>
          </cell>
          <cell r="N5" t="str">
            <v>---------</v>
          </cell>
          <cell r="O5" t="str">
            <v>---------</v>
          </cell>
          <cell r="P5" t="str">
            <v>---------</v>
          </cell>
          <cell r="Q5" t="str">
            <v>---------</v>
          </cell>
          <cell r="R5" t="str">
            <v>---------</v>
          </cell>
          <cell r="S5" t="str">
            <v>---------</v>
          </cell>
          <cell r="T5" t="str">
            <v>---------</v>
          </cell>
          <cell r="U5" t="str">
            <v>---------</v>
          </cell>
          <cell r="V5" t="str">
            <v>---------</v>
          </cell>
          <cell r="W5" t="str">
            <v>---------</v>
          </cell>
          <cell r="X5" t="str">
            <v>---------</v>
          </cell>
          <cell r="Y5" t="str">
            <v>---------</v>
          </cell>
          <cell r="Z5" t="str">
            <v>---------</v>
          </cell>
          <cell r="AA5" t="str">
            <v>---------</v>
          </cell>
          <cell r="AB5" t="str">
            <v>---------</v>
          </cell>
          <cell r="AC5" t="str">
            <v>---------</v>
          </cell>
          <cell r="AD5" t="str">
            <v>---------</v>
          </cell>
          <cell r="AE5" t="str">
            <v>---------</v>
          </cell>
          <cell r="AF5" t="str">
            <v>---------</v>
          </cell>
          <cell r="AG5" t="str">
            <v>---------</v>
          </cell>
          <cell r="AH5" t="str">
            <v>---------</v>
          </cell>
          <cell r="AI5" t="str">
            <v>---------</v>
          </cell>
          <cell r="AJ5" t="str">
            <v>---------</v>
          </cell>
          <cell r="AK5" t="str">
            <v>---------</v>
          </cell>
          <cell r="AL5" t="str">
            <v>---------</v>
          </cell>
          <cell r="AM5" t="str">
            <v>---------</v>
          </cell>
          <cell r="AN5" t="str">
            <v>---------</v>
          </cell>
          <cell r="AO5" t="str">
            <v>---------</v>
          </cell>
          <cell r="AP5" t="str">
            <v>---------</v>
          </cell>
          <cell r="AQ5" t="str">
            <v>---------</v>
          </cell>
          <cell r="AR5" t="str">
            <v>---------</v>
          </cell>
          <cell r="AS5" t="str">
            <v>---------</v>
          </cell>
          <cell r="AT5" t="str">
            <v>---------</v>
          </cell>
          <cell r="AU5" t="str">
            <v>---------</v>
          </cell>
        </row>
        <row r="6">
          <cell r="A6" t="str">
            <v>Tipo de cambio promedio anual</v>
          </cell>
          <cell r="C6">
            <v>157.09</v>
          </cell>
          <cell r="D6">
            <v>157.09</v>
          </cell>
          <cell r="E6">
            <v>179.8</v>
          </cell>
          <cell r="F6">
            <v>179.8</v>
          </cell>
          <cell r="G6">
            <v>207.72</v>
          </cell>
          <cell r="H6">
            <v>207.72</v>
          </cell>
          <cell r="I6">
            <v>232</v>
          </cell>
          <cell r="J6">
            <v>232</v>
          </cell>
          <cell r="K6">
            <v>232</v>
          </cell>
          <cell r="L6">
            <v>232</v>
          </cell>
          <cell r="M6">
            <v>232</v>
          </cell>
          <cell r="N6">
            <v>232</v>
          </cell>
          <cell r="O6">
            <v>232</v>
          </cell>
          <cell r="P6">
            <v>232</v>
          </cell>
          <cell r="Q6">
            <v>232</v>
          </cell>
          <cell r="R6">
            <v>232</v>
          </cell>
          <cell r="S6">
            <v>232</v>
          </cell>
          <cell r="T6">
            <v>232</v>
          </cell>
          <cell r="U6">
            <v>232</v>
          </cell>
          <cell r="V6">
            <v>257.14</v>
          </cell>
          <cell r="W6">
            <v>257.14</v>
          </cell>
          <cell r="X6">
            <v>257.14</v>
          </cell>
          <cell r="Y6">
            <v>257.14</v>
          </cell>
          <cell r="Z6">
            <v>257.14</v>
          </cell>
          <cell r="AA6">
            <v>257.14</v>
          </cell>
          <cell r="AB6">
            <v>257.14</v>
          </cell>
          <cell r="AC6">
            <v>257.14</v>
          </cell>
          <cell r="AD6">
            <v>257.14</v>
          </cell>
          <cell r="AE6">
            <v>257.14</v>
          </cell>
          <cell r="AF6">
            <v>257.14</v>
          </cell>
          <cell r="AG6">
            <v>257.14</v>
          </cell>
          <cell r="AH6">
            <v>257.14</v>
          </cell>
          <cell r="AI6">
            <v>282</v>
          </cell>
          <cell r="AJ6">
            <v>282</v>
          </cell>
          <cell r="AK6">
            <v>282</v>
          </cell>
          <cell r="AL6">
            <v>282</v>
          </cell>
          <cell r="AM6">
            <v>282</v>
          </cell>
          <cell r="AN6">
            <v>282</v>
          </cell>
          <cell r="AO6">
            <v>282</v>
          </cell>
          <cell r="AP6">
            <v>282</v>
          </cell>
          <cell r="AQ6">
            <v>282</v>
          </cell>
          <cell r="AR6">
            <v>282</v>
          </cell>
          <cell r="AS6">
            <v>282</v>
          </cell>
          <cell r="AT6">
            <v>282</v>
          </cell>
          <cell r="AU6">
            <v>282</v>
          </cell>
        </row>
        <row r="7">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cell r="X7" t="str">
            <v>---------</v>
          </cell>
          <cell r="Y7" t="str">
            <v>---------</v>
          </cell>
          <cell r="Z7" t="str">
            <v>---------</v>
          </cell>
          <cell r="AA7" t="str">
            <v>---------</v>
          </cell>
          <cell r="AB7" t="str">
            <v>---------</v>
          </cell>
          <cell r="AC7" t="str">
            <v>---------</v>
          </cell>
          <cell r="AD7" t="str">
            <v>---------</v>
          </cell>
          <cell r="AE7" t="str">
            <v>---------</v>
          </cell>
          <cell r="AF7" t="str">
            <v>---------</v>
          </cell>
          <cell r="AG7" t="str">
            <v>---------</v>
          </cell>
          <cell r="AH7" t="str">
            <v>---------</v>
          </cell>
          <cell r="AI7" t="str">
            <v>---------</v>
          </cell>
          <cell r="AJ7" t="str">
            <v>---------</v>
          </cell>
          <cell r="AK7" t="str">
            <v>---------</v>
          </cell>
          <cell r="AL7" t="str">
            <v>---------</v>
          </cell>
          <cell r="AM7" t="str">
            <v>---------</v>
          </cell>
          <cell r="AN7" t="str">
            <v>---------</v>
          </cell>
          <cell r="AO7" t="str">
            <v>---------</v>
          </cell>
          <cell r="AP7" t="str">
            <v>---------</v>
          </cell>
          <cell r="AQ7" t="str">
            <v>---------</v>
          </cell>
          <cell r="AR7" t="str">
            <v>---------</v>
          </cell>
          <cell r="AS7" t="str">
            <v>---------</v>
          </cell>
          <cell r="AT7" t="str">
            <v>---------</v>
          </cell>
          <cell r="AU7" t="str">
            <v>---------</v>
          </cell>
        </row>
        <row r="9">
          <cell r="A9" t="str">
            <v>BANCO CENTRAL DE COSTA RICA</v>
          </cell>
        </row>
        <row r="10">
          <cell r="A10" t="str">
            <v>Principales variables para el seguimiento del</v>
          </cell>
        </row>
        <row r="11">
          <cell r="A11" t="str">
            <v>Programa Monetario (saldos millones de ¢)</v>
          </cell>
        </row>
        <row r="13">
          <cell r="A13" t="str">
            <v>Activos Externos Netos del BCCR</v>
          </cell>
          <cell r="C13">
            <v>-87522.812410000013</v>
          </cell>
          <cell r="D13">
            <v>-80920.35788999997</v>
          </cell>
          <cell r="E13">
            <v>-92618.755799999984</v>
          </cell>
          <cell r="F13">
            <v>-38509.330259999988</v>
          </cell>
          <cell r="G13">
            <v>-44489.19956399998</v>
          </cell>
          <cell r="H13">
            <v>-35861.320871999953</v>
          </cell>
          <cell r="I13">
            <v>-40053.083199999965</v>
          </cell>
          <cell r="J13">
            <v>-40575.709600000002</v>
          </cell>
          <cell r="K13">
            <v>-38232.555999999982</v>
          </cell>
          <cell r="L13">
            <v>-17647.776000000013</v>
          </cell>
          <cell r="M13">
            <v>-21521.712</v>
          </cell>
          <cell r="N13">
            <v>-21326.599999999948</v>
          </cell>
          <cell r="O13">
            <v>196.50399999998626</v>
          </cell>
          <cell r="P13">
            <v>4160.6880000000529</v>
          </cell>
          <cell r="Q13">
            <v>8722.0399999999499</v>
          </cell>
          <cell r="R13">
            <v>21185.079999999987</v>
          </cell>
          <cell r="S13">
            <v>186.52799999999115</v>
          </cell>
          <cell r="T13">
            <v>6251.704000000027</v>
          </cell>
          <cell r="U13">
            <v>38290.440000000061</v>
          </cell>
          <cell r="V13">
            <v>42439.671300000045</v>
          </cell>
          <cell r="W13">
            <v>16178.734520000027</v>
          </cell>
          <cell r="X13">
            <v>3697.1589200000744</v>
          </cell>
          <cell r="Y13">
            <v>19046.567314768676</v>
          </cell>
          <cell r="Z13">
            <v>78786.499538094969</v>
          </cell>
          <cell r="AA13">
            <v>48176.44430271376</v>
          </cell>
          <cell r="AB13">
            <v>37139.968184640922</v>
          </cell>
          <cell r="AC13">
            <v>17034.071910600236</v>
          </cell>
          <cell r="AD13">
            <v>11835.971879160381</v>
          </cell>
          <cell r="AE13">
            <v>-3325.341639854887</v>
          </cell>
          <cell r="AF13">
            <v>-4248.1574230926926</v>
          </cell>
          <cell r="AG13">
            <v>-12862.696438258863</v>
          </cell>
          <cell r="AH13">
            <v>-5238.2367874942429</v>
          </cell>
          <cell r="AI13">
            <v>-5744.6635065465234</v>
          </cell>
          <cell r="AJ13">
            <v>-14909.452190386422</v>
          </cell>
          <cell r="AK13">
            <v>-556.08540623873705</v>
          </cell>
          <cell r="AL13">
            <v>22154.522230507049</v>
          </cell>
          <cell r="AM13">
            <v>47629.100616487616</v>
          </cell>
          <cell r="AN13">
            <v>134250.60860533325</v>
          </cell>
          <cell r="AO13">
            <v>136454.72147765791</v>
          </cell>
          <cell r="AP13">
            <v>139474.76381105854</v>
          </cell>
          <cell r="AQ13">
            <v>133244.42469030904</v>
          </cell>
          <cell r="AR13">
            <v>118152.70799194527</v>
          </cell>
          <cell r="AS13">
            <v>110878.25448753918</v>
          </cell>
          <cell r="AT13">
            <v>116032.24974917929</v>
          </cell>
          <cell r="AU13">
            <v>150853.20332787978</v>
          </cell>
        </row>
        <row r="15">
          <cell r="A15" t="str">
            <v>Reservas Internacionales Netas (mill. US$)</v>
          </cell>
          <cell r="C15">
            <v>862.47499999999991</v>
          </cell>
          <cell r="D15">
            <v>757.54899999999998</v>
          </cell>
          <cell r="E15">
            <v>757.54899999999998</v>
          </cell>
          <cell r="F15">
            <v>986.11330000000021</v>
          </cell>
          <cell r="G15">
            <v>986.11330000000021</v>
          </cell>
          <cell r="H15">
            <v>924.7324000000001</v>
          </cell>
          <cell r="I15">
            <v>924.7324000000001</v>
          </cell>
          <cell r="J15">
            <v>886.29769999999996</v>
          </cell>
          <cell r="K15">
            <v>888.70150000000012</v>
          </cell>
          <cell r="L15">
            <v>970.59699999999998</v>
          </cell>
          <cell r="M15">
            <v>944.91700000000003</v>
          </cell>
          <cell r="N15">
            <v>931.69500000000016</v>
          </cell>
          <cell r="O15">
            <v>1024.3989999999999</v>
          </cell>
          <cell r="P15">
            <v>1033.5320000000002</v>
          </cell>
          <cell r="Q15">
            <v>1049.0879999999997</v>
          </cell>
          <cell r="R15">
            <v>1096.0729999999999</v>
          </cell>
          <cell r="S15">
            <v>997.28099999999995</v>
          </cell>
          <cell r="T15">
            <v>1004.5250000000001</v>
          </cell>
          <cell r="U15">
            <v>1140.357</v>
          </cell>
          <cell r="V15">
            <v>1140.357</v>
          </cell>
          <cell r="W15">
            <v>1030.796</v>
          </cell>
          <cell r="X15">
            <v>979.04600000000016</v>
          </cell>
          <cell r="Y15">
            <v>1032.9670903738452</v>
          </cell>
          <cell r="Z15">
            <v>1254.1491760228919</v>
          </cell>
          <cell r="AA15">
            <v>1121.4559169483389</v>
          </cell>
          <cell r="AB15">
            <v>1075.6062650542085</v>
          </cell>
          <cell r="AC15">
            <v>991.22221048999029</v>
          </cell>
          <cell r="AD15">
            <v>965.47190392463449</v>
          </cell>
          <cell r="AE15">
            <v>903.33129004381067</v>
          </cell>
          <cell r="AF15">
            <v>942.9277539246865</v>
          </cell>
          <cell r="AG15">
            <v>889.35234243840387</v>
          </cell>
          <cell r="AH15">
            <v>991.4969547966648</v>
          </cell>
          <cell r="AI15">
            <v>991.4969547966648</v>
          </cell>
          <cell r="AJ15">
            <v>957.20863728775032</v>
          </cell>
          <cell r="AK15">
            <v>999.91606939232361</v>
          </cell>
          <cell r="AL15">
            <v>1074.4032952721741</v>
          </cell>
          <cell r="AM15">
            <v>1155.1938754280957</v>
          </cell>
          <cell r="AN15">
            <v>1444.9206091604676</v>
          </cell>
          <cell r="AO15">
            <v>1451.5411728435245</v>
          </cell>
          <cell r="AP15">
            <v>1456.0931054126866</v>
          </cell>
          <cell r="AQ15">
            <v>1432.5320535578999</v>
          </cell>
          <cell r="AR15">
            <v>1374.9031408765172</v>
          </cell>
          <cell r="AS15">
            <v>1340.4481643380577</v>
          </cell>
          <cell r="AT15">
            <v>1349.2180115086269</v>
          </cell>
          <cell r="AU15">
            <v>1471.3466804701202</v>
          </cell>
        </row>
        <row r="17">
          <cell r="A17" t="str">
            <v>Endeudamiento externo de M/L plazo (mill. US$)</v>
          </cell>
          <cell r="C17">
            <v>1419.6257569546119</v>
          </cell>
          <cell r="D17">
            <v>1272.6699999999998</v>
          </cell>
          <cell r="E17">
            <v>1272.6699999999998</v>
          </cell>
          <cell r="F17">
            <v>1200.2920000000001</v>
          </cell>
          <cell r="G17">
            <v>1200.2920000000001</v>
          </cell>
          <cell r="H17">
            <v>1097.375</v>
          </cell>
          <cell r="I17">
            <v>1097.375</v>
          </cell>
          <cell r="J17">
            <v>1061.193</v>
          </cell>
          <cell r="K17">
            <v>1053.4970000000001</v>
          </cell>
          <cell r="L17">
            <v>1046.665</v>
          </cell>
          <cell r="M17">
            <v>1037.683</v>
          </cell>
          <cell r="N17">
            <v>1023.62</v>
          </cell>
          <cell r="O17">
            <v>1023.5519999999999</v>
          </cell>
          <cell r="P17">
            <v>1015.5979999999998</v>
          </cell>
          <cell r="Q17">
            <v>1011.4929999999999</v>
          </cell>
          <cell r="R17">
            <v>1004.7579999999999</v>
          </cell>
          <cell r="S17">
            <v>996.47699999999998</v>
          </cell>
          <cell r="T17">
            <v>977.57799999999997</v>
          </cell>
          <cell r="U17">
            <v>975.31199999999978</v>
          </cell>
          <cell r="V17">
            <v>975.3119999999999</v>
          </cell>
          <cell r="W17">
            <v>967.87799999999993</v>
          </cell>
          <cell r="X17">
            <v>964.66799999999989</v>
          </cell>
          <cell r="Y17">
            <v>958.89628336300007</v>
          </cell>
          <cell r="Z17">
            <v>947.75382898199996</v>
          </cell>
          <cell r="AA17">
            <v>934.10099627199997</v>
          </cell>
          <cell r="AB17">
            <v>931.17145061600002</v>
          </cell>
          <cell r="AC17">
            <v>924.97786145600003</v>
          </cell>
          <cell r="AD17">
            <v>919.44261295800004</v>
          </cell>
          <cell r="AE17">
            <v>916.26331788800007</v>
          </cell>
          <cell r="AF17">
            <v>959.44854968999994</v>
          </cell>
          <cell r="AG17">
            <v>939.37449550000008</v>
          </cell>
          <cell r="AH17">
            <v>1011.868101983</v>
          </cell>
          <cell r="AI17">
            <v>1011.8681019830001</v>
          </cell>
          <cell r="AJ17">
            <v>1010.079035126</v>
          </cell>
          <cell r="AK17">
            <v>1001.888003457</v>
          </cell>
          <cell r="AL17">
            <v>995.84115970300013</v>
          </cell>
          <cell r="AM17">
            <v>986.29635551147305</v>
          </cell>
          <cell r="AN17">
            <v>968.85462119829299</v>
          </cell>
          <cell r="AO17">
            <v>967.65918178800007</v>
          </cell>
          <cell r="AP17">
            <v>961.50174438056399</v>
          </cell>
          <cell r="AQ17">
            <v>960.03409366318704</v>
          </cell>
          <cell r="AR17">
            <v>955.92190686252707</v>
          </cell>
          <cell r="AS17">
            <v>947.26286473685502</v>
          </cell>
          <cell r="AT17">
            <v>937.75613296543793</v>
          </cell>
          <cell r="AU17">
            <v>936.40624313721321</v>
          </cell>
        </row>
        <row r="19">
          <cell r="A19" t="str">
            <v>Depósitos en m/e (mill. US$)</v>
          </cell>
          <cell r="C19">
            <v>598.04999999999995</v>
          </cell>
          <cell r="D19">
            <v>676.63199999999995</v>
          </cell>
          <cell r="E19">
            <v>676.63199999999995</v>
          </cell>
          <cell r="F19">
            <v>791.04100000000005</v>
          </cell>
          <cell r="G19">
            <v>791.04100000000005</v>
          </cell>
          <cell r="H19">
            <v>924.75900000000001</v>
          </cell>
          <cell r="I19">
            <v>924.75900000000001</v>
          </cell>
          <cell r="J19">
            <v>969.202</v>
          </cell>
          <cell r="K19">
            <v>956.76599999999996</v>
          </cell>
          <cell r="L19">
            <v>975.29499999999996</v>
          </cell>
          <cell r="M19">
            <v>969.41700000000003</v>
          </cell>
          <cell r="N19">
            <v>1006.351</v>
          </cell>
          <cell r="O19">
            <v>1050.229</v>
          </cell>
          <cell r="P19">
            <v>1017.902</v>
          </cell>
          <cell r="Q19">
            <v>1040.6190000000001</v>
          </cell>
          <cell r="R19">
            <v>1063.54</v>
          </cell>
          <cell r="S19">
            <v>1035.578</v>
          </cell>
          <cell r="T19">
            <v>986.97599999999989</v>
          </cell>
          <cell r="U19">
            <v>1004.577</v>
          </cell>
          <cell r="V19">
            <v>1004.577</v>
          </cell>
          <cell r="W19">
            <v>1026.559</v>
          </cell>
          <cell r="X19">
            <v>985.54100000000005</v>
          </cell>
          <cell r="Y19">
            <v>1059.51608126</v>
          </cell>
          <cell r="Z19">
            <v>1081.0426402799999</v>
          </cell>
          <cell r="AA19">
            <v>1069.415721339999</v>
          </cell>
          <cell r="AB19">
            <v>1109.33150226</v>
          </cell>
          <cell r="AC19">
            <v>1148.90877342</v>
          </cell>
          <cell r="AD19">
            <v>1169.28563027</v>
          </cell>
          <cell r="AE19">
            <v>1153.9831344699999</v>
          </cell>
          <cell r="AF19">
            <v>1120.7947486600001</v>
          </cell>
          <cell r="AG19">
            <v>979.71292406999999</v>
          </cell>
          <cell r="AH19">
            <v>880.01147022999999</v>
          </cell>
          <cell r="AI19">
            <v>880.01147022999999</v>
          </cell>
          <cell r="AJ19">
            <v>860.60592756000005</v>
          </cell>
          <cell r="AK19">
            <v>859.28268028000002</v>
          </cell>
          <cell r="AL19">
            <v>828.32975103000001</v>
          </cell>
          <cell r="AM19">
            <v>852.44186955999999</v>
          </cell>
          <cell r="AN19">
            <v>850.66931460000001</v>
          </cell>
          <cell r="AO19">
            <v>871.74671882999996</v>
          </cell>
          <cell r="AP19">
            <v>900.55488216000003</v>
          </cell>
          <cell r="AQ19">
            <v>837.93788919000008</v>
          </cell>
          <cell r="AR19">
            <v>754.79683764000004</v>
          </cell>
          <cell r="AS19">
            <v>738.63225262000003</v>
          </cell>
          <cell r="AT19">
            <v>714.09747052</v>
          </cell>
          <cell r="AU19">
            <v>723.89164152000001</v>
          </cell>
        </row>
        <row r="21">
          <cell r="A21" t="str">
            <v>Activos Internos Netos del BCCR ( Npp - AEN*tc )</v>
          </cell>
          <cell r="C21">
            <v>151519.36830999999</v>
          </cell>
          <cell r="D21">
            <v>166933.28678999998</v>
          </cell>
          <cell r="E21">
            <v>178631.68469999998</v>
          </cell>
          <cell r="F21">
            <v>137440.23826000001</v>
          </cell>
          <cell r="G21">
            <v>143420.10756400001</v>
          </cell>
          <cell r="H21">
            <v>151626.96677199996</v>
          </cell>
          <cell r="I21">
            <v>155818.72909999997</v>
          </cell>
          <cell r="J21">
            <v>139198.18359999999</v>
          </cell>
          <cell r="K21">
            <v>135971.52299999999</v>
          </cell>
          <cell r="L21">
            <v>117032.34700000001</v>
          </cell>
          <cell r="M21">
            <v>119041.75999999998</v>
          </cell>
          <cell r="N21">
            <v>117637.80799999995</v>
          </cell>
          <cell r="O21">
            <v>96030.718000000008</v>
          </cell>
          <cell r="P21">
            <v>94245.82799999995</v>
          </cell>
          <cell r="Q21">
            <v>90400.996000000043</v>
          </cell>
          <cell r="R21">
            <v>79768.11500000002</v>
          </cell>
          <cell r="S21">
            <v>105525.929</v>
          </cell>
          <cell r="T21">
            <v>119677.16599999997</v>
          </cell>
          <cell r="U21">
            <v>108553.27899999995</v>
          </cell>
          <cell r="V21">
            <v>104404.04769999997</v>
          </cell>
          <cell r="W21">
            <v>109230.64847999997</v>
          </cell>
          <cell r="X21">
            <v>117832.52497999993</v>
          </cell>
          <cell r="Y21">
            <v>101596.26924708132</v>
          </cell>
          <cell r="Z21">
            <v>43129.210214755032</v>
          </cell>
          <cell r="AA21">
            <v>71792.548044436233</v>
          </cell>
          <cell r="AB21">
            <v>80865.166483509063</v>
          </cell>
          <cell r="AC21">
            <v>101393.75827754976</v>
          </cell>
          <cell r="AD21">
            <v>105533.99350848961</v>
          </cell>
          <cell r="AE21">
            <v>121245.14876600489</v>
          </cell>
          <cell r="AF21">
            <v>125123.48528799269</v>
          </cell>
          <cell r="AG21">
            <v>155096.98557415887</v>
          </cell>
          <cell r="AH21">
            <v>170587.41666739425</v>
          </cell>
          <cell r="AI21">
            <v>171093.84338644653</v>
          </cell>
          <cell r="AJ21">
            <v>153892.31586728641</v>
          </cell>
          <cell r="AK21">
            <v>137349.19022863873</v>
          </cell>
          <cell r="AL21">
            <v>119238.04268389294</v>
          </cell>
          <cell r="AM21">
            <v>87178.282814412378</v>
          </cell>
          <cell r="AN21">
            <v>-572.12883043324109</v>
          </cell>
          <cell r="AO21">
            <v>-3714.4645232578914</v>
          </cell>
          <cell r="AP21">
            <v>-4098.755413058534</v>
          </cell>
          <cell r="AQ21">
            <v>487.32113369097351</v>
          </cell>
          <cell r="AR21">
            <v>18016.47208105473</v>
          </cell>
          <cell r="AS21">
            <v>28533.725291960815</v>
          </cell>
          <cell r="AT21">
            <v>49537.453688820708</v>
          </cell>
          <cell r="AU21">
            <v>78959.915555370215</v>
          </cell>
        </row>
        <row r="23">
          <cell r="A23" t="str">
            <v>Activos Internos Netos del BCCR ( Emisión - AEN*tc )</v>
          </cell>
          <cell r="C23">
            <v>151519.36830999999</v>
          </cell>
          <cell r="D23">
            <v>166933.28678999998</v>
          </cell>
          <cell r="E23">
            <v>178631.68469999998</v>
          </cell>
          <cell r="F23">
            <v>137440.23826000001</v>
          </cell>
          <cell r="G23">
            <v>143420.10756400001</v>
          </cell>
          <cell r="H23">
            <v>151626.96677199996</v>
          </cell>
          <cell r="I23">
            <v>155818.72909999997</v>
          </cell>
          <cell r="J23">
            <v>139198.18359999999</v>
          </cell>
          <cell r="K23">
            <v>135971.52299999999</v>
          </cell>
          <cell r="L23">
            <v>117032.34700000001</v>
          </cell>
          <cell r="M23">
            <v>119041.75999999998</v>
          </cell>
          <cell r="N23">
            <v>117637.80799999995</v>
          </cell>
          <cell r="O23">
            <v>96030.718000000008</v>
          </cell>
          <cell r="P23">
            <v>94245.82799999995</v>
          </cell>
          <cell r="Q23">
            <v>90400.996000000043</v>
          </cell>
          <cell r="R23">
            <v>79768.11500000002</v>
          </cell>
          <cell r="S23">
            <v>105525.929</v>
          </cell>
          <cell r="T23">
            <v>119677.16599999997</v>
          </cell>
          <cell r="U23">
            <v>108553.27899999995</v>
          </cell>
          <cell r="V23">
            <v>104404.04769999997</v>
          </cell>
          <cell r="W23">
            <v>109230.64847999997</v>
          </cell>
          <cell r="X23">
            <v>117832.52497999993</v>
          </cell>
          <cell r="Y23">
            <v>101596.26924708132</v>
          </cell>
          <cell r="Z23">
            <v>43129.210214755032</v>
          </cell>
          <cell r="AA23">
            <v>71792.548044436233</v>
          </cell>
          <cell r="AB23">
            <v>80865.166483509063</v>
          </cell>
          <cell r="AC23">
            <v>101393.75827754976</v>
          </cell>
          <cell r="AD23">
            <v>105533.99350848961</v>
          </cell>
          <cell r="AE23">
            <v>121245.14876600489</v>
          </cell>
          <cell r="AF23">
            <v>125123.48528799269</v>
          </cell>
          <cell r="AG23">
            <v>155096.98557415887</v>
          </cell>
          <cell r="AH23">
            <v>170587.41666739425</v>
          </cell>
          <cell r="AI23">
            <v>171093.84338644653</v>
          </cell>
          <cell r="AJ23">
            <v>153892.31586728641</v>
          </cell>
          <cell r="AK23">
            <v>137349.19022863873</v>
          </cell>
          <cell r="AL23">
            <v>119238.04268389294</v>
          </cell>
          <cell r="AM23">
            <v>87178.282814412378</v>
          </cell>
          <cell r="AN23">
            <v>-572.12883043324109</v>
          </cell>
          <cell r="AO23">
            <v>-3714.4645232578914</v>
          </cell>
          <cell r="AP23">
            <v>-4098.755413058534</v>
          </cell>
          <cell r="AQ23">
            <v>487.32113369097351</v>
          </cell>
          <cell r="AR23">
            <v>18016.47208105473</v>
          </cell>
          <cell r="AS23">
            <v>28533.725291960815</v>
          </cell>
          <cell r="AT23">
            <v>49537.453688820708</v>
          </cell>
          <cell r="AU23">
            <v>78959.915555370215</v>
          </cell>
        </row>
        <row r="25">
          <cell r="A25" t="str">
            <v>Numerario en poder del público</v>
          </cell>
          <cell r="C25">
            <v>53696.272599999997</v>
          </cell>
          <cell r="D25">
            <v>73068.218900000007</v>
          </cell>
          <cell r="E25">
            <v>73068.218900000007</v>
          </cell>
          <cell r="F25">
            <v>80667.872700000007</v>
          </cell>
          <cell r="G25">
            <v>80667.872700000007</v>
          </cell>
          <cell r="H25">
            <v>91743.196599999996</v>
          </cell>
          <cell r="I25">
            <v>91743.196599999996</v>
          </cell>
          <cell r="J25">
            <v>80650.385399999999</v>
          </cell>
          <cell r="K25">
            <v>80593.680900000007</v>
          </cell>
          <cell r="L25">
            <v>78669.5049</v>
          </cell>
          <cell r="M25">
            <v>79119.371099999989</v>
          </cell>
          <cell r="N25">
            <v>79825.696100000001</v>
          </cell>
          <cell r="O25">
            <v>76587.113499999992</v>
          </cell>
          <cell r="P25">
            <v>77475.1783</v>
          </cell>
          <cell r="Q25">
            <v>81026.564399999988</v>
          </cell>
          <cell r="R25">
            <v>77588.65310000001</v>
          </cell>
          <cell r="S25">
            <v>83700.949200000003</v>
          </cell>
          <cell r="T25">
            <v>92631.541100000002</v>
          </cell>
          <cell r="U25">
            <v>106814.88740000001</v>
          </cell>
          <cell r="V25">
            <v>106814.88740000001</v>
          </cell>
          <cell r="W25">
            <v>100873.5209</v>
          </cell>
          <cell r="X25">
            <v>98129.2255</v>
          </cell>
          <cell r="Y25">
            <v>92583.344433849998</v>
          </cell>
          <cell r="Z25">
            <v>95994.370574850007</v>
          </cell>
          <cell r="AA25">
            <v>95367.399720149988</v>
          </cell>
          <cell r="AB25">
            <v>89263.798483149993</v>
          </cell>
          <cell r="AC25">
            <v>92043.951789149985</v>
          </cell>
          <cell r="AD25">
            <v>89844.951084649991</v>
          </cell>
          <cell r="AE25">
            <v>88714.540307150004</v>
          </cell>
          <cell r="AF25">
            <v>95453.821664899995</v>
          </cell>
          <cell r="AG25">
            <v>97564.69670890001</v>
          </cell>
          <cell r="AH25">
            <v>124166.60307590001</v>
          </cell>
          <cell r="AI25">
            <v>124166.60307590001</v>
          </cell>
          <cell r="AJ25">
            <v>109090.44898189999</v>
          </cell>
          <cell r="AK25">
            <v>107027.30082939999</v>
          </cell>
          <cell r="AL25">
            <v>108002.13425239999</v>
          </cell>
          <cell r="AM25">
            <v>106011.46355489999</v>
          </cell>
          <cell r="AN25">
            <v>100986.35409990001</v>
          </cell>
          <cell r="AO25">
            <v>97256.818038400015</v>
          </cell>
          <cell r="AP25">
            <v>103558.429156</v>
          </cell>
          <cell r="AQ25">
            <v>98260.429014000023</v>
          </cell>
          <cell r="AR25">
            <v>101087.90062</v>
          </cell>
          <cell r="AS25">
            <v>107503.95507949998</v>
          </cell>
          <cell r="AT25">
            <v>114000.63733100001</v>
          </cell>
          <cell r="AU25">
            <v>144264.32780324999</v>
          </cell>
        </row>
        <row r="26">
          <cell r="Q26">
            <v>204235</v>
          </cell>
          <cell r="R26">
            <v>202507</v>
          </cell>
        </row>
        <row r="27">
          <cell r="A27" t="str">
            <v>Emisión</v>
          </cell>
          <cell r="C27">
            <v>63996.555899999992</v>
          </cell>
          <cell r="D27">
            <v>86012.928899999999</v>
          </cell>
          <cell r="E27">
            <v>86012.928899999999</v>
          </cell>
          <cell r="F27">
            <v>98930.90800000001</v>
          </cell>
          <cell r="G27">
            <v>98930.90800000001</v>
          </cell>
          <cell r="H27">
            <v>115765.6459</v>
          </cell>
          <cell r="I27">
            <v>115765.6459</v>
          </cell>
          <cell r="J27">
            <v>98622.474000000002</v>
          </cell>
          <cell r="K27">
            <v>97738.967000000004</v>
          </cell>
          <cell r="L27">
            <v>99384.570999999996</v>
          </cell>
          <cell r="M27">
            <v>97520.047999999981</v>
          </cell>
          <cell r="N27">
            <v>96311.207999999999</v>
          </cell>
          <cell r="O27">
            <v>96227.221999999994</v>
          </cell>
          <cell r="P27">
            <v>98406.516000000003</v>
          </cell>
          <cell r="Q27">
            <v>99123.035999999993</v>
          </cell>
          <cell r="R27">
            <v>100953.19500000001</v>
          </cell>
          <cell r="S27">
            <v>105712.45699999999</v>
          </cell>
          <cell r="T27">
            <v>125928.87</v>
          </cell>
          <cell r="U27">
            <v>146843.71900000001</v>
          </cell>
          <cell r="V27">
            <v>146843.71900000001</v>
          </cell>
          <cell r="W27">
            <v>125409.383</v>
          </cell>
          <cell r="X27">
            <v>121529.6839</v>
          </cell>
          <cell r="Y27">
            <v>120642.83656185</v>
          </cell>
          <cell r="Z27">
            <v>121915.70975285</v>
          </cell>
          <cell r="AA27">
            <v>119968.99234714999</v>
          </cell>
          <cell r="AB27">
            <v>118005.13466814999</v>
          </cell>
          <cell r="AC27">
            <v>118427.83018814999</v>
          </cell>
          <cell r="AD27">
            <v>117369.96538764999</v>
          </cell>
          <cell r="AE27">
            <v>117919.80712615</v>
          </cell>
          <cell r="AF27">
            <v>120875.3278649</v>
          </cell>
          <cell r="AG27">
            <v>142234.28913590001</v>
          </cell>
          <cell r="AH27">
            <v>165349.17987990001</v>
          </cell>
          <cell r="AI27">
            <v>165349.17987990001</v>
          </cell>
          <cell r="AJ27">
            <v>138982.86367689999</v>
          </cell>
          <cell r="AK27">
            <v>136793.1048224</v>
          </cell>
          <cell r="AL27">
            <v>141392.56491439999</v>
          </cell>
          <cell r="AM27">
            <v>134807.38343089999</v>
          </cell>
          <cell r="AN27">
            <v>133678.47977490001</v>
          </cell>
          <cell r="AO27">
            <v>132740.25695440001</v>
          </cell>
          <cell r="AP27">
            <v>135376.00839800001</v>
          </cell>
          <cell r="AQ27">
            <v>133731.74582400001</v>
          </cell>
          <cell r="AR27">
            <v>136169.180073</v>
          </cell>
          <cell r="AS27">
            <v>139411.97977949999</v>
          </cell>
          <cell r="AT27">
            <v>165569.703438</v>
          </cell>
          <cell r="AU27">
            <v>229813.11888324999</v>
          </cell>
        </row>
        <row r="28">
          <cell r="A28" t="str">
            <v>Medio Circulante</v>
          </cell>
          <cell r="C28">
            <v>126233.42170599999</v>
          </cell>
          <cell r="D28">
            <v>165161.46315299999</v>
          </cell>
          <cell r="E28">
            <v>165161.46315299999</v>
          </cell>
          <cell r="F28">
            <v>167411.60144699999</v>
          </cell>
          <cell r="G28">
            <v>167411.53484700003</v>
          </cell>
          <cell r="H28">
            <v>196675.950059</v>
          </cell>
          <cell r="I28">
            <v>196675.950059</v>
          </cell>
          <cell r="J28">
            <v>155863.16023199999</v>
          </cell>
          <cell r="K28">
            <v>168191.80769300001</v>
          </cell>
          <cell r="L28">
            <v>174262.87505899998</v>
          </cell>
          <cell r="M28">
            <v>187582.85198400001</v>
          </cell>
          <cell r="N28">
            <v>196880.63204200001</v>
          </cell>
          <cell r="O28">
            <v>196282.89499999999</v>
          </cell>
          <cell r="P28">
            <v>201107.536291</v>
          </cell>
          <cell r="Q28">
            <v>204235.294673</v>
          </cell>
          <cell r="R28">
            <v>202506.96082100002</v>
          </cell>
          <cell r="S28">
            <v>211051.88981600001</v>
          </cell>
          <cell r="T28">
            <v>234332.454276</v>
          </cell>
          <cell r="U28">
            <v>281688.15738400002</v>
          </cell>
          <cell r="V28">
            <v>281688.15738400002</v>
          </cell>
          <cell r="W28">
            <v>256240.796004</v>
          </cell>
          <cell r="X28">
            <v>250386.24887400001</v>
          </cell>
          <cell r="Y28">
            <v>252377.19698584999</v>
          </cell>
          <cell r="Z28">
            <v>247596.32699164</v>
          </cell>
          <cell r="AA28">
            <v>247694.05290476998</v>
          </cell>
          <cell r="AB28">
            <v>242669.1426587</v>
          </cell>
          <cell r="AC28">
            <v>243900.86476557999</v>
          </cell>
          <cell r="AD28">
            <v>240906.43683164997</v>
          </cell>
          <cell r="AE28">
            <v>246611.75943214999</v>
          </cell>
          <cell r="AF28">
            <v>252890.91767385</v>
          </cell>
          <cell r="AG28">
            <v>273034.15336388</v>
          </cell>
          <cell r="AH28">
            <v>316310.15679959999</v>
          </cell>
          <cell r="AI28">
            <v>316310.15679959999</v>
          </cell>
          <cell r="AJ28">
            <v>293283.38116201997</v>
          </cell>
          <cell r="AK28">
            <v>295002.83449339005</v>
          </cell>
          <cell r="AL28">
            <v>282512.58265704999</v>
          </cell>
          <cell r="AM28">
            <v>288616.92888145999</v>
          </cell>
          <cell r="AN28">
            <v>286499.92265290004</v>
          </cell>
          <cell r="AO28">
            <v>286265.37355740002</v>
          </cell>
          <cell r="AP28">
            <v>294665.98199200002</v>
          </cell>
          <cell r="AQ28">
            <v>297101.78447038005</v>
          </cell>
          <cell r="AR28">
            <v>304838.88991899998</v>
          </cell>
          <cell r="AS28">
            <v>323105.26780849998</v>
          </cell>
          <cell r="AT28">
            <v>358137.75431770005</v>
          </cell>
          <cell r="AU28">
            <v>381576.80462825001</v>
          </cell>
        </row>
        <row r="29">
          <cell r="A29" t="str">
            <v xml:space="preserve">Base Monetaria amplia </v>
          </cell>
          <cell r="C29">
            <v>118147.2659</v>
          </cell>
          <cell r="D29">
            <v>158991.4859</v>
          </cell>
          <cell r="E29">
            <v>158991.4859</v>
          </cell>
          <cell r="F29">
            <v>160547.81700000001</v>
          </cell>
          <cell r="G29">
            <v>160547.81700000001</v>
          </cell>
          <cell r="H29">
            <v>184122.2409</v>
          </cell>
          <cell r="I29">
            <v>184122.2409</v>
          </cell>
          <cell r="J29">
            <v>170181.30849999998</v>
          </cell>
          <cell r="K29">
            <v>174127.06900000002</v>
          </cell>
          <cell r="L29">
            <v>175175.016</v>
          </cell>
          <cell r="M29">
            <v>171808.48499999999</v>
          </cell>
          <cell r="N29">
            <v>168050.84399999998</v>
          </cell>
          <cell r="O29">
            <v>174385.60800000001</v>
          </cell>
          <cell r="P29">
            <v>175110.95199999999</v>
          </cell>
          <cell r="Q29">
            <v>175984.106</v>
          </cell>
          <cell r="R29">
            <v>187994.644</v>
          </cell>
          <cell r="S29">
            <v>179237.56099999999</v>
          </cell>
          <cell r="T29">
            <v>203691.46399999998</v>
          </cell>
          <cell r="U29">
            <v>221945.10200000001</v>
          </cell>
          <cell r="V29">
            <v>221945.10200000001</v>
          </cell>
          <cell r="W29">
            <v>195475.89799999999</v>
          </cell>
          <cell r="X29">
            <v>192734.84789999999</v>
          </cell>
          <cell r="Y29">
            <v>183594.17425888998</v>
          </cell>
          <cell r="Z29">
            <v>192697.69570464001</v>
          </cell>
          <cell r="AA29">
            <v>199372.57690748997</v>
          </cell>
          <cell r="AB29">
            <v>195698.48488834998</v>
          </cell>
          <cell r="AC29">
            <v>202978.23958842998</v>
          </cell>
          <cell r="AD29">
            <v>200100.45337047998</v>
          </cell>
          <cell r="AE29">
            <v>203490.32042733999</v>
          </cell>
          <cell r="AF29">
            <v>203596.60624564998</v>
          </cell>
          <cell r="AG29">
            <v>227700.16935985989</v>
          </cell>
          <cell r="AH29">
            <v>242907.23327880999</v>
          </cell>
          <cell r="AI29">
            <v>242907.23327880999</v>
          </cell>
          <cell r="AJ29">
            <v>229480.36704238999</v>
          </cell>
          <cell r="AK29">
            <v>222780.14117548001</v>
          </cell>
          <cell r="AL29">
            <v>222159.20844280999</v>
          </cell>
          <cell r="AM29">
            <v>236744.73074020998</v>
          </cell>
          <cell r="AN29">
            <v>228535.35048581002</v>
          </cell>
          <cell r="AO29">
            <v>229268.56572051003</v>
          </cell>
          <cell r="AP29">
            <v>229113.05683238001</v>
          </cell>
          <cell r="AQ29">
            <v>232221.09380745003</v>
          </cell>
          <cell r="AR29">
            <v>236073.38682437001</v>
          </cell>
          <cell r="AS29">
            <v>258876.94870061</v>
          </cell>
          <cell r="AT29">
            <v>291934.90386735002</v>
          </cell>
          <cell r="AU29">
            <v>301650.22433446988</v>
          </cell>
        </row>
        <row r="30">
          <cell r="A30" t="str">
            <v>M2 Restringido</v>
          </cell>
          <cell r="C30">
            <v>314616.45113599999</v>
          </cell>
          <cell r="D30">
            <v>368187.27565600001</v>
          </cell>
          <cell r="E30">
            <v>368187.27565600001</v>
          </cell>
          <cell r="F30">
            <v>399688.160691</v>
          </cell>
          <cell r="G30">
            <v>399688.13689100003</v>
          </cell>
          <cell r="H30">
            <v>510614.774936</v>
          </cell>
          <cell r="I30">
            <v>510614.774936</v>
          </cell>
          <cell r="J30">
            <v>468953.61788000003</v>
          </cell>
          <cell r="K30">
            <v>460702.26148300001</v>
          </cell>
          <cell r="L30">
            <v>469836.16712299996</v>
          </cell>
          <cell r="M30">
            <v>489932.45238000003</v>
          </cell>
          <cell r="N30">
            <v>501026.03101300006</v>
          </cell>
          <cell r="O30">
            <v>498995.51228000002</v>
          </cell>
          <cell r="P30">
            <v>508666.010113</v>
          </cell>
          <cell r="Q30">
            <v>512717.65755299997</v>
          </cell>
          <cell r="R30">
            <v>515286.11851600005</v>
          </cell>
          <cell r="S30">
            <v>525088.57849999995</v>
          </cell>
          <cell r="T30">
            <v>551135.06845999998</v>
          </cell>
          <cell r="U30">
            <v>584859.43952400004</v>
          </cell>
          <cell r="V30">
            <v>588058.23532800004</v>
          </cell>
          <cell r="W30">
            <v>569819.27045000007</v>
          </cell>
          <cell r="X30">
            <v>557193.70912599994</v>
          </cell>
          <cell r="Y30">
            <v>554070.67205584992</v>
          </cell>
          <cell r="Z30">
            <v>552706.32641563995</v>
          </cell>
          <cell r="AA30">
            <v>565351.01426576998</v>
          </cell>
          <cell r="AB30">
            <v>571738.83562070003</v>
          </cell>
          <cell r="AC30">
            <v>579345.44370457996</v>
          </cell>
          <cell r="AD30">
            <v>581329.21913675999</v>
          </cell>
          <cell r="AE30">
            <v>590008.33454814996</v>
          </cell>
          <cell r="AF30">
            <v>609534.02844485012</v>
          </cell>
          <cell r="AG30">
            <v>626859.65030888002</v>
          </cell>
          <cell r="AH30">
            <v>673726.43518160004</v>
          </cell>
          <cell r="AI30">
            <v>673726.43518160004</v>
          </cell>
          <cell r="AJ30">
            <v>660597.82838402002</v>
          </cell>
          <cell r="AK30">
            <v>676532.01087839005</v>
          </cell>
          <cell r="AL30">
            <v>674837.14440005005</v>
          </cell>
          <cell r="AM30">
            <v>691193.90743746003</v>
          </cell>
          <cell r="AN30">
            <v>683866.18266589998</v>
          </cell>
          <cell r="AO30">
            <v>688977.95999639994</v>
          </cell>
          <cell r="AP30">
            <v>693560.51026000001</v>
          </cell>
          <cell r="AQ30">
            <v>706801.16865438002</v>
          </cell>
          <cell r="AR30">
            <v>720934.86014899984</v>
          </cell>
          <cell r="AS30">
            <v>744252.66917550005</v>
          </cell>
          <cell r="AT30">
            <v>774189.77816070011</v>
          </cell>
          <cell r="AU30">
            <v>794909.50300925004</v>
          </cell>
        </row>
        <row r="31">
          <cell r="A31" t="str">
            <v>M2 Restringido</v>
          </cell>
          <cell r="U31">
            <v>0.145402499560076</v>
          </cell>
          <cell r="W31">
            <v>0.21508662845162307</v>
          </cell>
          <cell r="X31">
            <v>0.20944426739385658</v>
          </cell>
          <cell r="Y31">
            <v>0.17928484613828788</v>
          </cell>
          <cell r="Z31">
            <v>0.12812760969536963</v>
          </cell>
          <cell r="AA31">
            <v>0.12838650942489838</v>
          </cell>
          <cell r="AB31">
            <v>0.14577951414497248</v>
          </cell>
          <cell r="AC31">
            <v>0.13895057304080249</v>
          </cell>
          <cell r="AD31">
            <v>0.13381938494417378</v>
          </cell>
          <cell r="AE31">
            <v>0.14501111779868325</v>
          </cell>
          <cell r="AF31">
            <v>0.16082134215541721</v>
          </cell>
          <cell r="AG31">
            <v>0.13739750232274672</v>
          </cell>
          <cell r="AH31">
            <v>0.14567978935932602</v>
          </cell>
          <cell r="AI31">
            <v>0.18235108940689559</v>
          </cell>
          <cell r="AJ31">
            <v>0.1855801987072272</v>
          </cell>
          <cell r="AK31">
            <v>0.22102115307448744</v>
          </cell>
          <cell r="AL31">
            <v>0.22096873537967543</v>
          </cell>
          <cell r="AM31">
            <v>0.22259249562879835</v>
          </cell>
          <cell r="AN31">
            <v>0.19611637352475886</v>
          </cell>
          <cell r="AO31">
            <v>0.18923514024859367</v>
          </cell>
          <cell r="AP31">
            <v>0.19305977994688961</v>
          </cell>
          <cell r="AQ31">
            <v>0.19795115978433464</v>
          </cell>
          <cell r="AR31">
            <v>0.18276392540113795</v>
          </cell>
          <cell r="AS31">
            <v>0.18727161464097364</v>
          </cell>
          <cell r="AT31">
            <v>0.1491159285623409</v>
          </cell>
          <cell r="AU31">
            <v>0.17986984256449068</v>
          </cell>
        </row>
        <row r="32">
          <cell r="A32" t="str">
            <v>Atrasos deuda externa (mill. US$)</v>
          </cell>
          <cell r="C32">
            <v>40.200000000000003</v>
          </cell>
          <cell r="D32">
            <v>90.5</v>
          </cell>
          <cell r="E32">
            <v>90.5</v>
          </cell>
          <cell r="F32">
            <v>45.2</v>
          </cell>
          <cell r="G32">
            <v>45.2</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row>
        <row r="33">
          <cell r="A33" t="str">
            <v>Medio Circulante</v>
          </cell>
          <cell r="U33">
            <v>0.43224505741295549</v>
          </cell>
          <cell r="W33">
            <v>0.64401129569418059</v>
          </cell>
          <cell r="X33">
            <v>0.48869467727601368</v>
          </cell>
          <cell r="Y33">
            <v>0.44825567063783911</v>
          </cell>
          <cell r="Z33">
            <v>0.3199304966999803</v>
          </cell>
          <cell r="AA33">
            <v>0.25809253218940342</v>
          </cell>
          <cell r="AB33">
            <v>0.23632343337253103</v>
          </cell>
          <cell r="AC33">
            <v>0.21278828861320531</v>
          </cell>
          <cell r="AD33">
            <v>0.17955340293833122</v>
          </cell>
          <cell r="AE33">
            <v>0.21779398807992134</v>
          </cell>
          <cell r="AF33">
            <v>0.19824047960113611</v>
          </cell>
          <cell r="AG33">
            <v>0.16515723017306261</v>
          </cell>
          <cell r="AH33">
            <v>0.12290896336264123</v>
          </cell>
          <cell r="AI33">
            <v>0.23442543783957914</v>
          </cell>
          <cell r="AJ33">
            <v>0.17132383459926648</v>
          </cell>
          <cell r="AK33">
            <v>0.16889654856547898</v>
          </cell>
          <cell r="AL33">
            <v>0.14102089513867844</v>
          </cell>
          <cell r="AM33">
            <v>0.16521541594066247</v>
          </cell>
          <cell r="AN33">
            <v>0.18061950322149323</v>
          </cell>
          <cell r="AO33">
            <v>0.17369560715800558</v>
          </cell>
          <cell r="AP33">
            <v>0.2231552874526066</v>
          </cell>
          <cell r="AQ33">
            <v>0.20473486404090679</v>
          </cell>
          <cell r="AR33">
            <v>0.20541651998806287</v>
          </cell>
          <cell r="AS33">
            <v>0.18338773310124634</v>
          </cell>
          <cell r="AT33">
            <v>0.1322360241014966</v>
          </cell>
          <cell r="AU33">
            <v>0.20633750268727558</v>
          </cell>
        </row>
        <row r="34">
          <cell r="A34" t="str">
            <v>Base Monetaria amplia 1/</v>
          </cell>
          <cell r="U34">
            <v>0.20542255468497284</v>
          </cell>
          <cell r="W34">
            <v>0.14863318259184743</v>
          </cell>
          <cell r="X34">
            <v>0.10686321780331576</v>
          </cell>
          <cell r="Y34">
            <v>4.8061409960938661E-2</v>
          </cell>
          <cell r="Z34">
            <v>0.12158427859159593</v>
          </cell>
          <cell r="AA34">
            <v>0.18638247902813276</v>
          </cell>
          <cell r="AB34">
            <v>0.12221694859331489</v>
          </cell>
          <cell r="AC34">
            <v>0.15914074631054476</v>
          </cell>
          <cell r="AD34">
            <v>0.13703707635097451</v>
          </cell>
          <cell r="AE34">
            <v>8.2426159052382264E-2</v>
          </cell>
          <cell r="AF34">
            <v>0.13590368620140958</v>
          </cell>
          <cell r="AG34">
            <v>0.11786799941631299</v>
          </cell>
          <cell r="AH34">
            <v>9.4447370497998007E-2</v>
          </cell>
          <cell r="AI34">
            <v>0.24264543999593235</v>
          </cell>
          <cell r="AJ34">
            <v>0.19065321887952158</v>
          </cell>
          <cell r="AK34">
            <v>0.21343796487427258</v>
          </cell>
          <cell r="AL34">
            <v>0.15288980301729982</v>
          </cell>
          <cell r="AM34">
            <v>0.18744881774819455</v>
          </cell>
          <cell r="AN34">
            <v>0.1677931518795055</v>
          </cell>
          <cell r="AO34">
            <v>0.12952287981897848</v>
          </cell>
          <cell r="AP34">
            <v>0.14499019354136133</v>
          </cell>
          <cell r="AQ34">
            <v>0.14118987733556043</v>
          </cell>
          <cell r="AR34">
            <v>0.15951533366688397</v>
          </cell>
          <cell r="AS34">
            <v>0.13692031687283457</v>
          </cell>
          <cell r="AT34">
            <v>0.20183701377169716</v>
          </cell>
          <cell r="AU34">
            <v>0.24183302515423422</v>
          </cell>
        </row>
        <row r="37">
          <cell r="A37" t="str">
            <v>PRINCIPALES FUENTES DE ABSORCION</v>
          </cell>
          <cell r="C37">
            <v>95815.048089999982</v>
          </cell>
          <cell r="D37">
            <v>141370.88316999999</v>
          </cell>
          <cell r="E37">
            <v>141370.88316999993</v>
          </cell>
          <cell r="F37">
            <v>194391.05177699996</v>
          </cell>
          <cell r="G37">
            <v>194391.05177699999</v>
          </cell>
          <cell r="H37">
            <v>206393.88865999994</v>
          </cell>
          <cell r="I37">
            <v>206393.88865999994</v>
          </cell>
          <cell r="J37">
            <v>216372.58112399993</v>
          </cell>
          <cell r="K37">
            <v>226239.67126800003</v>
          </cell>
          <cell r="L37">
            <v>238490.82904000004</v>
          </cell>
          <cell r="M37">
            <v>246288.32878000016</v>
          </cell>
          <cell r="N37">
            <v>246123.97324000005</v>
          </cell>
          <cell r="O37">
            <v>254731.03074999992</v>
          </cell>
          <cell r="P37">
            <v>262697.60912999994</v>
          </cell>
          <cell r="Q37">
            <v>276618.86906999996</v>
          </cell>
          <cell r="R37">
            <v>278897.64092000003</v>
          </cell>
          <cell r="S37">
            <v>271402.57222000015</v>
          </cell>
          <cell r="T37">
            <v>268786.33913999994</v>
          </cell>
          <cell r="U37">
            <v>269376.79810000013</v>
          </cell>
          <cell r="V37">
            <v>269376.79810000013</v>
          </cell>
          <cell r="W37">
            <v>262640.09020000009</v>
          </cell>
          <cell r="X37">
            <v>265210.06930000015</v>
          </cell>
          <cell r="Y37">
            <v>271476.12723226973</v>
          </cell>
          <cell r="Z37">
            <v>271485.10654745903</v>
          </cell>
          <cell r="AA37">
            <v>295948.44532399398</v>
          </cell>
          <cell r="AB37">
            <v>290289.83002937183</v>
          </cell>
          <cell r="AC37">
            <v>267766.68792010943</v>
          </cell>
          <cell r="AD37">
            <v>264097.06013639405</v>
          </cell>
          <cell r="AE37">
            <v>253223.09822936711</v>
          </cell>
          <cell r="AF37">
            <v>260787.34666611598</v>
          </cell>
          <cell r="AG37">
            <v>274042.26516467158</v>
          </cell>
          <cell r="AH37">
            <v>278671.29780192376</v>
          </cell>
          <cell r="AI37">
            <v>278671.29780192388</v>
          </cell>
          <cell r="AJ37">
            <v>297589.66880937433</v>
          </cell>
          <cell r="AK37">
            <v>304090.43876505713</v>
          </cell>
          <cell r="AL37">
            <v>328067.67108933639</v>
          </cell>
          <cell r="AM37">
            <v>353283.87304736173</v>
          </cell>
          <cell r="AN37">
            <v>384686.87007711281</v>
          </cell>
          <cell r="AO37">
            <v>413831.7540541428</v>
          </cell>
          <cell r="AP37">
            <v>405072.09858648782</v>
          </cell>
          <cell r="AQ37">
            <v>451093.37272375438</v>
          </cell>
          <cell r="AR37">
            <v>475593.27117823606</v>
          </cell>
          <cell r="AS37">
            <v>473511.6391192649</v>
          </cell>
          <cell r="AT37">
            <v>473406.45279105863</v>
          </cell>
          <cell r="AU37">
            <v>445934.22019265185</v>
          </cell>
        </row>
        <row r="38">
          <cell r="A38" t="str">
            <v xml:space="preserve"> -----------------------------------------------</v>
          </cell>
        </row>
        <row r="39">
          <cell r="A39" t="str">
            <v xml:space="preserve"> Depósitos corrientes</v>
          </cell>
          <cell r="C39">
            <v>57421.206990000006</v>
          </cell>
          <cell r="D39">
            <v>70378.147949999999</v>
          </cell>
          <cell r="E39">
            <v>70378.147949999999</v>
          </cell>
          <cell r="F39">
            <v>66943.404999999999</v>
          </cell>
          <cell r="G39">
            <v>66943.404999999999</v>
          </cell>
          <cell r="H39">
            <v>139117.75711000001</v>
          </cell>
          <cell r="I39">
            <v>139117.75711000001</v>
          </cell>
          <cell r="J39">
            <v>144206.24093999999</v>
          </cell>
          <cell r="K39">
            <v>143549.34693</v>
          </cell>
          <cell r="L39">
            <v>176688.99096</v>
          </cell>
          <cell r="M39">
            <v>155065.89095999999</v>
          </cell>
          <cell r="N39">
            <v>136769.81990999999</v>
          </cell>
          <cell r="O39">
            <v>137598.78795</v>
          </cell>
          <cell r="P39">
            <v>98790.272999999986</v>
          </cell>
          <cell r="Q39">
            <v>102214.64394000001</v>
          </cell>
          <cell r="R39">
            <v>69570.269930000009</v>
          </cell>
          <cell r="S39">
            <v>53235.45592</v>
          </cell>
          <cell r="T39">
            <v>71614.943979999996</v>
          </cell>
          <cell r="U39">
            <v>83418.932939999999</v>
          </cell>
          <cell r="V39">
            <v>83418.932939999999</v>
          </cell>
          <cell r="W39">
            <v>81750.214999999997</v>
          </cell>
          <cell r="X39">
            <v>80133.614999999991</v>
          </cell>
          <cell r="Y39">
            <v>70907.866179939578</v>
          </cell>
          <cell r="Z39">
            <v>87761.855586912221</v>
          </cell>
          <cell r="AA39">
            <v>91853.131582610557</v>
          </cell>
          <cell r="AB39">
            <v>93583.793620528668</v>
          </cell>
          <cell r="AC39">
            <v>85951.31169845695</v>
          </cell>
          <cell r="AD39">
            <v>90640.129731470719</v>
          </cell>
          <cell r="AE39">
            <v>104755.5596841899</v>
          </cell>
          <cell r="AF39">
            <v>104302.32984319233</v>
          </cell>
          <cell r="AG39">
            <v>127160.0507676916</v>
          </cell>
          <cell r="AH39">
            <v>114401.67451039633</v>
          </cell>
          <cell r="AI39">
            <v>114401.67451039633</v>
          </cell>
          <cell r="AJ39">
            <v>119166.4656618165</v>
          </cell>
          <cell r="AK39">
            <v>115747.9892077719</v>
          </cell>
          <cell r="AL39">
            <v>118372.60212294254</v>
          </cell>
          <cell r="AM39">
            <v>124595.95251586961</v>
          </cell>
          <cell r="AN39">
            <v>123629.37009092711</v>
          </cell>
          <cell r="AO39">
            <v>124597.99015512299</v>
          </cell>
          <cell r="AP39">
            <v>119183.83603304756</v>
          </cell>
          <cell r="AQ39">
            <v>123657.92621271519</v>
          </cell>
          <cell r="AR39">
            <v>125967.17375085648</v>
          </cell>
          <cell r="AS39">
            <v>127447.86587050484</v>
          </cell>
          <cell r="AT39">
            <v>126582.25447725801</v>
          </cell>
          <cell r="AU39">
            <v>108851.44964818141</v>
          </cell>
        </row>
        <row r="40">
          <cell r="C40" t="str">
            <v xml:space="preserve"> ---------</v>
          </cell>
          <cell r="D40" t="str">
            <v xml:space="preserve"> ---------</v>
          </cell>
          <cell r="E40" t="str">
            <v xml:space="preserve"> ---------</v>
          </cell>
          <cell r="F40" t="str">
            <v xml:space="preserve"> ---------</v>
          </cell>
          <cell r="G40" t="str">
            <v xml:space="preserve"> ---------</v>
          </cell>
          <cell r="H40" t="str">
            <v xml:space="preserve"> ---------</v>
          </cell>
          <cell r="I40" t="str">
            <v xml:space="preserve"> ---------</v>
          </cell>
          <cell r="J40" t="str">
            <v xml:space="preserve"> ---------</v>
          </cell>
          <cell r="K40" t="str">
            <v xml:space="preserve"> ---------</v>
          </cell>
          <cell r="L40" t="str">
            <v xml:space="preserve"> ---------</v>
          </cell>
          <cell r="M40" t="str">
            <v xml:space="preserve"> ---------</v>
          </cell>
          <cell r="N40" t="str">
            <v xml:space="preserve"> ---------</v>
          </cell>
          <cell r="O40" t="str">
            <v xml:space="preserve"> ---------</v>
          </cell>
          <cell r="P40" t="str">
            <v xml:space="preserve"> ---------</v>
          </cell>
          <cell r="Q40" t="str">
            <v xml:space="preserve"> ---------</v>
          </cell>
          <cell r="R40" t="str">
            <v xml:space="preserve"> ---------</v>
          </cell>
          <cell r="S40" t="str">
            <v xml:space="preserve"> ---------</v>
          </cell>
          <cell r="T40" t="str">
            <v xml:space="preserve"> ---------</v>
          </cell>
          <cell r="U40" t="str">
            <v xml:space="preserve"> ---------</v>
          </cell>
          <cell r="V40" t="str">
            <v xml:space="preserve"> ---------</v>
          </cell>
          <cell r="W40" t="str">
            <v xml:space="preserve"> ---------</v>
          </cell>
          <cell r="X40" t="str">
            <v xml:space="preserve"> ---------</v>
          </cell>
          <cell r="Y40" t="str">
            <v xml:space="preserve"> ---------</v>
          </cell>
          <cell r="Z40" t="str">
            <v xml:space="preserve"> ---------</v>
          </cell>
          <cell r="AA40" t="str">
            <v xml:space="preserve"> ---------</v>
          </cell>
          <cell r="AB40" t="str">
            <v xml:space="preserve"> ---------</v>
          </cell>
          <cell r="AC40" t="str">
            <v xml:space="preserve"> ---------</v>
          </cell>
          <cell r="AD40" t="str">
            <v xml:space="preserve"> ---------</v>
          </cell>
          <cell r="AE40" t="str">
            <v xml:space="preserve"> ---------</v>
          </cell>
          <cell r="AF40" t="str">
            <v xml:space="preserve"> ---------</v>
          </cell>
          <cell r="AG40" t="str">
            <v xml:space="preserve"> ---------</v>
          </cell>
          <cell r="AH40" t="str">
            <v xml:space="preserve"> ---------</v>
          </cell>
          <cell r="AI40" t="str">
            <v xml:space="preserve"> ---------</v>
          </cell>
          <cell r="AJ40" t="str">
            <v xml:space="preserve"> ---------</v>
          </cell>
          <cell r="AK40" t="str">
            <v xml:space="preserve"> ---------</v>
          </cell>
          <cell r="AL40" t="str">
            <v xml:space="preserve"> ---------</v>
          </cell>
          <cell r="AM40" t="str">
            <v xml:space="preserve"> ---------</v>
          </cell>
          <cell r="AN40" t="str">
            <v xml:space="preserve"> ---------</v>
          </cell>
          <cell r="AO40" t="str">
            <v xml:space="preserve"> ---------</v>
          </cell>
          <cell r="AP40" t="str">
            <v xml:space="preserve"> ---------</v>
          </cell>
          <cell r="AQ40" t="str">
            <v xml:space="preserve"> ---------</v>
          </cell>
          <cell r="AR40" t="str">
            <v xml:space="preserve"> ---------</v>
          </cell>
          <cell r="AS40" t="str">
            <v xml:space="preserve"> ---------</v>
          </cell>
          <cell r="AT40" t="str">
            <v xml:space="preserve"> ---------</v>
          </cell>
          <cell r="AU40" t="str">
            <v xml:space="preserve"> ---------</v>
          </cell>
        </row>
        <row r="41">
          <cell r="A41" t="str">
            <v xml:space="preserve">    Bancos</v>
          </cell>
          <cell r="C41">
            <v>49726.41</v>
          </cell>
          <cell r="D41">
            <v>64632.557000000001</v>
          </cell>
          <cell r="E41">
            <v>64632.557000000001</v>
          </cell>
          <cell r="F41">
            <v>49363.409</v>
          </cell>
          <cell r="G41">
            <v>49363.409</v>
          </cell>
          <cell r="H41">
            <v>44326.845000000001</v>
          </cell>
          <cell r="I41">
            <v>44326.845000000001</v>
          </cell>
          <cell r="J41">
            <v>45976.341999999997</v>
          </cell>
          <cell r="K41">
            <v>43482.101999999999</v>
          </cell>
          <cell r="L41">
            <v>53508.445</v>
          </cell>
          <cell r="M41">
            <v>48418.48</v>
          </cell>
          <cell r="N41">
            <v>40274.635999999999</v>
          </cell>
          <cell r="O41">
            <v>58227.385999999999</v>
          </cell>
          <cell r="P41">
            <v>49596.436000000002</v>
          </cell>
          <cell r="Q41">
            <v>71948.070000000007</v>
          </cell>
          <cell r="R41">
            <v>52314.449000000001</v>
          </cell>
          <cell r="S41">
            <v>43906.603999999999</v>
          </cell>
          <cell r="T41">
            <v>55496.593999999997</v>
          </cell>
          <cell r="U41">
            <v>49219.383000000002</v>
          </cell>
          <cell r="V41">
            <v>49219.383000000002</v>
          </cell>
          <cell r="W41">
            <v>56187.514999999999</v>
          </cell>
          <cell r="X41">
            <v>62576.163999999997</v>
          </cell>
          <cell r="Y41">
            <v>40319.337697039999</v>
          </cell>
          <cell r="Z41">
            <v>68647.985951790004</v>
          </cell>
          <cell r="AA41">
            <v>76376.584560339994</v>
          </cell>
          <cell r="AB41">
            <v>77666.350220199995</v>
          </cell>
          <cell r="AC41">
            <v>66526.409400279997</v>
          </cell>
          <cell r="AD41">
            <v>70711.487982830004</v>
          </cell>
          <cell r="AE41">
            <v>83070.513301190003</v>
          </cell>
          <cell r="AF41">
            <v>81721.278380749995</v>
          </cell>
          <cell r="AG41">
            <v>85465.880223959903</v>
          </cell>
          <cell r="AH41">
            <v>77558.053398909993</v>
          </cell>
          <cell r="AI41">
            <v>77558.053398909993</v>
          </cell>
          <cell r="AJ41">
            <v>90097.503365490003</v>
          </cell>
          <cell r="AK41">
            <v>85787.025936410006</v>
          </cell>
          <cell r="AL41">
            <v>80766.643528410001</v>
          </cell>
          <cell r="AM41">
            <v>100937.34730931</v>
          </cell>
          <cell r="AN41">
            <v>92856.766543909995</v>
          </cell>
          <cell r="AO41">
            <v>91528.256683109998</v>
          </cell>
          <cell r="AP41">
            <v>93337.038017379993</v>
          </cell>
          <cell r="AQ41">
            <v>95989.347983450003</v>
          </cell>
          <cell r="AR41">
            <v>97404.206751370002</v>
          </cell>
          <cell r="AS41">
            <v>103045.96892111</v>
          </cell>
          <cell r="AT41">
            <v>90171.200429350007</v>
          </cell>
          <cell r="AU41">
            <v>44067.105451219897</v>
          </cell>
        </row>
        <row r="42">
          <cell r="A42" t="str">
            <v xml:space="preserve">    Sector financiero no bancario</v>
          </cell>
          <cell r="C42">
            <v>514.976</v>
          </cell>
          <cell r="D42">
            <v>693.59199999999998</v>
          </cell>
          <cell r="E42">
            <v>693.59199999999998</v>
          </cell>
          <cell r="F42">
            <v>619.52199999999993</v>
          </cell>
          <cell r="G42">
            <v>619.52199999999993</v>
          </cell>
          <cell r="H42">
            <v>727.92600000000004</v>
          </cell>
          <cell r="I42">
            <v>727.92600000000004</v>
          </cell>
          <cell r="J42">
            <v>677.67499999999995</v>
          </cell>
          <cell r="K42">
            <v>703.15199999999993</v>
          </cell>
          <cell r="L42">
            <v>865.37499999999989</v>
          </cell>
          <cell r="M42">
            <v>903.84599999999989</v>
          </cell>
          <cell r="N42">
            <v>927.58100000000002</v>
          </cell>
          <cell r="O42">
            <v>1058.0600000000002</v>
          </cell>
          <cell r="P42">
            <v>1188.626</v>
          </cell>
          <cell r="Q42">
            <v>1258.548</v>
          </cell>
          <cell r="R42">
            <v>1229.797</v>
          </cell>
          <cell r="S42">
            <v>1417.681</v>
          </cell>
          <cell r="T42">
            <v>1310.2260000000001</v>
          </cell>
          <cell r="U42">
            <v>4972.3890000000001</v>
          </cell>
          <cell r="V42">
            <v>4972.3890000000001</v>
          </cell>
          <cell r="W42">
            <v>5173.3279999999995</v>
          </cell>
          <cell r="X42">
            <v>6371.4389999999994</v>
          </cell>
          <cell r="Y42">
            <v>14457.26401228</v>
          </cell>
          <cell r="Z42">
            <v>9724.0081983999989</v>
          </cell>
          <cell r="AA42">
            <v>10745.10693905</v>
          </cell>
          <cell r="AB42">
            <v>10050.28094049</v>
          </cell>
          <cell r="AC42">
            <v>11844.11294522</v>
          </cell>
          <cell r="AD42">
            <v>12058.897181939999</v>
          </cell>
          <cell r="AE42">
            <v>13121.17647615</v>
          </cell>
          <cell r="AF42">
            <v>13652.511527989998</v>
          </cell>
          <cell r="AG42">
            <v>13868.87549097</v>
          </cell>
          <cell r="AH42">
            <v>14748.98848446</v>
          </cell>
          <cell r="AI42">
            <v>14748.98848446</v>
          </cell>
          <cell r="AJ42">
            <v>16313.356129169999</v>
          </cell>
          <cell r="AK42">
            <v>16500.103653819999</v>
          </cell>
          <cell r="AL42">
            <v>16503.575931980002</v>
          </cell>
          <cell r="AM42">
            <v>16691.621591269999</v>
          </cell>
          <cell r="AN42">
            <v>19366.183484040001</v>
          </cell>
          <cell r="AO42">
            <v>18638.08969913</v>
          </cell>
          <cell r="AP42">
            <v>19370.481357290002</v>
          </cell>
          <cell r="AQ42">
            <v>20785.498705360002</v>
          </cell>
          <cell r="AR42">
            <v>18773.445555489998</v>
          </cell>
          <cell r="AS42">
            <v>17232.313290950005</v>
          </cell>
          <cell r="AT42">
            <v>18455.24298576</v>
          </cell>
          <cell r="AU42">
            <v>16158.297323300003</v>
          </cell>
        </row>
        <row r="43">
          <cell r="A43" t="str">
            <v xml:space="preserve">    Gobierno </v>
          </cell>
          <cell r="C43">
            <v>7179.8209900000002</v>
          </cell>
          <cell r="D43">
            <v>5051.9989499999992</v>
          </cell>
          <cell r="E43">
            <v>5051.9989499999992</v>
          </cell>
          <cell r="F43">
            <v>16960.473999999995</v>
          </cell>
          <cell r="G43">
            <v>16960.473999999995</v>
          </cell>
          <cell r="H43">
            <v>16970.061909999997</v>
          </cell>
          <cell r="I43">
            <v>16970.061909999997</v>
          </cell>
          <cell r="J43">
            <v>9262.223939999998</v>
          </cell>
          <cell r="K43">
            <v>6146.0929300000007</v>
          </cell>
          <cell r="L43">
            <v>9981.1709599999976</v>
          </cell>
          <cell r="M43">
            <v>10399.56496</v>
          </cell>
          <cell r="N43">
            <v>13657.60291</v>
          </cell>
          <cell r="O43">
            <v>15337.341949999998</v>
          </cell>
          <cell r="P43">
            <v>7917.2109999999993</v>
          </cell>
          <cell r="Q43">
            <v>7650.0259400000004</v>
          </cell>
          <cell r="R43">
            <v>16026.023929999998</v>
          </cell>
          <cell r="S43">
            <v>7911.1709200000014</v>
          </cell>
          <cell r="T43">
            <v>14808.12398</v>
          </cell>
          <cell r="U43">
            <v>29227.160939999998</v>
          </cell>
          <cell r="V43">
            <v>29227.160939999998</v>
          </cell>
          <cell r="W43">
            <v>20389.372000000003</v>
          </cell>
          <cell r="X43">
            <v>11186.011999999999</v>
          </cell>
          <cell r="Y43">
            <v>16131.264470619581</v>
          </cell>
          <cell r="Z43">
            <v>9389.8614367222108</v>
          </cell>
          <cell r="AA43">
            <v>4731.4400832205502</v>
          </cell>
          <cell r="AB43">
            <v>5867.1624598386697</v>
          </cell>
          <cell r="AC43">
            <v>7580.7893529569501</v>
          </cell>
          <cell r="AD43">
            <v>7869.7445667007196</v>
          </cell>
          <cell r="AE43">
            <v>8563.8699068499009</v>
          </cell>
          <cell r="AF43">
            <v>8928.5399344523303</v>
          </cell>
          <cell r="AG43">
            <v>27825.295052761699</v>
          </cell>
          <cell r="AH43">
            <v>22094.632627026342</v>
          </cell>
          <cell r="AI43">
            <v>22094.632627026342</v>
          </cell>
          <cell r="AJ43">
            <v>12755.6061671565</v>
          </cell>
          <cell r="AK43">
            <v>13460.859617541901</v>
          </cell>
          <cell r="AL43">
            <v>21102.38266255254</v>
          </cell>
          <cell r="AM43">
            <v>6966.9836152896096</v>
          </cell>
          <cell r="AN43">
            <v>11406.420062977129</v>
          </cell>
          <cell r="AO43">
            <v>14431.643772882999</v>
          </cell>
          <cell r="AP43">
            <v>6476.3166583775601</v>
          </cell>
          <cell r="AQ43">
            <v>6883.0795239051804</v>
          </cell>
          <cell r="AR43">
            <v>9789.5214439964693</v>
          </cell>
          <cell r="AS43">
            <v>7169.5836584448207</v>
          </cell>
          <cell r="AT43">
            <v>17955.811062148019</v>
          </cell>
          <cell r="AU43">
            <v>48626.0468736615</v>
          </cell>
        </row>
        <row r="44">
          <cell r="A44" t="str">
            <v xml:space="preserve">    Gobierno por subasta conjunta</v>
          </cell>
          <cell r="C44">
            <v>0</v>
          </cell>
          <cell r="D44">
            <v>0</v>
          </cell>
          <cell r="E44">
            <v>0</v>
          </cell>
          <cell r="F44">
            <v>0</v>
          </cell>
          <cell r="G44">
            <v>0</v>
          </cell>
          <cell r="H44">
            <v>77092.924199999994</v>
          </cell>
          <cell r="I44">
            <v>77092.924199999994</v>
          </cell>
          <cell r="J44">
            <v>88290</v>
          </cell>
          <cell r="K44">
            <v>93218</v>
          </cell>
          <cell r="L44">
            <v>112334</v>
          </cell>
          <cell r="M44">
            <v>95344</v>
          </cell>
          <cell r="N44">
            <v>81910</v>
          </cell>
          <cell r="O44">
            <v>62976</v>
          </cell>
          <cell r="P44">
            <v>40088</v>
          </cell>
          <cell r="Q44">
            <v>21358</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row>
        <row r="45">
          <cell r="AH45">
            <v>-32436.413117315707</v>
          </cell>
          <cell r="AI45">
            <v>-21688.241868472571</v>
          </cell>
          <cell r="AU45">
            <v>47849.006645450834</v>
          </cell>
        </row>
        <row r="46">
          <cell r="A46" t="str">
            <v xml:space="preserve"> Operaciones de Mercado Abierto </v>
          </cell>
          <cell r="C46">
            <v>38393.841099999976</v>
          </cell>
          <cell r="D46">
            <v>70992.735219999973</v>
          </cell>
          <cell r="E46">
            <v>70992.735219999915</v>
          </cell>
          <cell r="F46">
            <v>127447.64677699996</v>
          </cell>
          <cell r="G46">
            <v>127447.64677699999</v>
          </cell>
          <cell r="H46">
            <v>67276.131549999933</v>
          </cell>
          <cell r="I46">
            <v>67276.131549999933</v>
          </cell>
          <cell r="J46">
            <v>72166.340183999942</v>
          </cell>
          <cell r="K46">
            <v>82690.324338000049</v>
          </cell>
          <cell r="L46">
            <v>61801.838080000052</v>
          </cell>
          <cell r="M46">
            <v>91222.437820000167</v>
          </cell>
          <cell r="N46">
            <v>109354.15333000006</v>
          </cell>
          <cell r="O46">
            <v>117132.24279999992</v>
          </cell>
          <cell r="P46">
            <v>163907.33612999995</v>
          </cell>
          <cell r="Q46">
            <v>174404.22512999995</v>
          </cell>
          <cell r="R46">
            <v>209327.37099000002</v>
          </cell>
          <cell r="S46">
            <v>218167.11630000017</v>
          </cell>
          <cell r="T46">
            <v>197171.39515999996</v>
          </cell>
          <cell r="U46">
            <v>185957.8651600001</v>
          </cell>
          <cell r="V46">
            <v>185957.86516000013</v>
          </cell>
          <cell r="W46">
            <v>180889.87520000013</v>
          </cell>
          <cell r="X46">
            <v>185076.45430000016</v>
          </cell>
          <cell r="Y46">
            <v>200568.26105233014</v>
          </cell>
          <cell r="Z46">
            <v>183723.25096054681</v>
          </cell>
          <cell r="AA46">
            <v>204095.3137413834</v>
          </cell>
          <cell r="AB46">
            <v>196706.03640884315</v>
          </cell>
          <cell r="AC46">
            <v>181815.37622165246</v>
          </cell>
          <cell r="AD46">
            <v>173456.93040492333</v>
          </cell>
          <cell r="AE46">
            <v>148467.5385451772</v>
          </cell>
          <cell r="AF46">
            <v>156485.01682292364</v>
          </cell>
          <cell r="AG46">
            <v>146882.21439697995</v>
          </cell>
          <cell r="AH46">
            <v>164269.62329152744</v>
          </cell>
          <cell r="AI46">
            <v>164269.62329152756</v>
          </cell>
          <cell r="AJ46">
            <v>178423.20314755786</v>
          </cell>
          <cell r="AK46">
            <v>188342.44955728523</v>
          </cell>
          <cell r="AL46">
            <v>209695.06896639382</v>
          </cell>
          <cell r="AM46">
            <v>228687.92053149216</v>
          </cell>
          <cell r="AN46">
            <v>261057.49998618569</v>
          </cell>
          <cell r="AO46">
            <v>289233.7638990198</v>
          </cell>
          <cell r="AP46">
            <v>285888.26255344029</v>
          </cell>
          <cell r="AQ46">
            <v>327435.44651103922</v>
          </cell>
          <cell r="AR46">
            <v>349626.09742737957</v>
          </cell>
          <cell r="AS46">
            <v>346063.77324876003</v>
          </cell>
          <cell r="AT46">
            <v>346824.19831380062</v>
          </cell>
          <cell r="AU46">
            <v>337082.7705444704</v>
          </cell>
        </row>
        <row r="47">
          <cell r="A47" t="str">
            <v xml:space="preserve"> (Incluye brecha cuentas monetarias)</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row>
        <row r="48">
          <cell r="A48" t="str">
            <v xml:space="preserve">   BEM</v>
          </cell>
          <cell r="C48">
            <v>24610.120880000002</v>
          </cell>
          <cell r="D48">
            <v>58619.234860000011</v>
          </cell>
          <cell r="E48">
            <v>58619.234860000011</v>
          </cell>
          <cell r="F48">
            <v>111645.38584000002</v>
          </cell>
          <cell r="G48">
            <v>111645.38584000002</v>
          </cell>
          <cell r="H48">
            <v>35656.965720000007</v>
          </cell>
          <cell r="I48">
            <v>35656.965720000007</v>
          </cell>
          <cell r="J48">
            <v>38450.118979999999</v>
          </cell>
          <cell r="K48">
            <v>34585.566959999996</v>
          </cell>
          <cell r="L48">
            <v>32824.736980000001</v>
          </cell>
          <cell r="M48">
            <v>64654.985319999992</v>
          </cell>
          <cell r="N48">
            <v>73631.751999999993</v>
          </cell>
          <cell r="O48">
            <v>96157.715949999998</v>
          </cell>
          <cell r="P48">
            <v>133650.88792000001</v>
          </cell>
          <cell r="Q48">
            <v>164066.27392000001</v>
          </cell>
          <cell r="R48">
            <v>170204.77099000002</v>
          </cell>
          <cell r="S48">
            <v>180639.16898000002</v>
          </cell>
          <cell r="T48">
            <v>164430.59698</v>
          </cell>
          <cell r="U48">
            <v>152712.82292000001</v>
          </cell>
          <cell r="V48">
            <v>152712.82292000001</v>
          </cell>
          <cell r="W48">
            <v>166419.37002000003</v>
          </cell>
          <cell r="X48">
            <v>169258.85792000001</v>
          </cell>
          <cell r="Y48">
            <v>176861.77100464981</v>
          </cell>
          <cell r="Z48">
            <v>174744.91765059999</v>
          </cell>
          <cell r="AA48">
            <v>200706.62358203999</v>
          </cell>
          <cell r="AB48">
            <v>194352.28166916</v>
          </cell>
          <cell r="AC48">
            <v>161792.95634998</v>
          </cell>
          <cell r="AD48">
            <v>156831.75430090909</v>
          </cell>
          <cell r="AE48">
            <v>144438.50311860989</v>
          </cell>
          <cell r="AF48">
            <v>149893.93527275982</v>
          </cell>
          <cell r="AG48">
            <v>134687.97468235969</v>
          </cell>
          <cell r="AH48">
            <v>153009.29949794011</v>
          </cell>
          <cell r="AI48">
            <v>153009.29949794011</v>
          </cell>
          <cell r="AJ48">
            <v>163880.53649496927</v>
          </cell>
          <cell r="AK48">
            <v>183852.50412036941</v>
          </cell>
          <cell r="AL48">
            <v>204148.68831715966</v>
          </cell>
          <cell r="AM48">
            <v>222174.88667145919</v>
          </cell>
          <cell r="AN48">
            <v>255242.14529750001</v>
          </cell>
          <cell r="AO48">
            <v>280170.1696386594</v>
          </cell>
          <cell r="AP48">
            <v>281519.30517830979</v>
          </cell>
          <cell r="AQ48">
            <v>319425.73970741004</v>
          </cell>
          <cell r="AR48">
            <v>340591.64123703924</v>
          </cell>
          <cell r="AS48">
            <v>323933.81775615981</v>
          </cell>
          <cell r="AT48">
            <v>302210.6485863892</v>
          </cell>
          <cell r="AU48">
            <v>299761.67081705946</v>
          </cell>
        </row>
        <row r="49">
          <cell r="A49" t="str">
            <v xml:space="preserve">   ICP</v>
          </cell>
          <cell r="C49">
            <v>13783.72021999997</v>
          </cell>
          <cell r="D49">
            <v>12373.500359999955</v>
          </cell>
          <cell r="E49">
            <v>12373.500359999896</v>
          </cell>
          <cell r="F49">
            <v>15802.260936999946</v>
          </cell>
          <cell r="G49">
            <v>15802.260936999968</v>
          </cell>
          <cell r="H49">
            <v>31619.165829999933</v>
          </cell>
          <cell r="I49">
            <v>31619.165829999933</v>
          </cell>
          <cell r="J49">
            <v>33716.221203999943</v>
          </cell>
          <cell r="K49">
            <v>48104.757378000053</v>
          </cell>
          <cell r="L49">
            <v>28977.101100000051</v>
          </cell>
          <cell r="M49">
            <v>26567.452500000178</v>
          </cell>
          <cell r="N49">
            <v>35722.401330000059</v>
          </cell>
          <cell r="O49">
            <v>20974.526849999929</v>
          </cell>
          <cell r="P49">
            <v>30256.448209999944</v>
          </cell>
          <cell r="Q49">
            <v>10337.95120999993</v>
          </cell>
          <cell r="R49">
            <v>39122.6</v>
          </cell>
          <cell r="S49">
            <v>37527.947320000152</v>
          </cell>
          <cell r="T49">
            <v>32740.798179999947</v>
          </cell>
          <cell r="U49">
            <v>33245.042240000097</v>
          </cell>
          <cell r="V49">
            <v>33245.042240000126</v>
          </cell>
          <cell r="W49">
            <v>14470.505180000095</v>
          </cell>
          <cell r="X49">
            <v>15817.596380000145</v>
          </cell>
          <cell r="Y49">
            <v>23706.490047680323</v>
          </cell>
          <cell r="Z49">
            <v>8978.3333099468036</v>
          </cell>
          <cell r="AA49">
            <v>3388.690159343404</v>
          </cell>
          <cell r="AB49">
            <v>2353.7547396831505</v>
          </cell>
          <cell r="AC49">
            <v>20022.419871672453</v>
          </cell>
          <cell r="AD49">
            <v>16625.176104014237</v>
          </cell>
          <cell r="AE49">
            <v>4029.0354265673204</v>
          </cell>
          <cell r="AF49">
            <v>6591.0815501638399</v>
          </cell>
          <cell r="AG49">
            <v>12194.239714620267</v>
          </cell>
          <cell r="AH49">
            <v>11260.323793587344</v>
          </cell>
          <cell r="AI49">
            <v>11260.32379358746</v>
          </cell>
          <cell r="AJ49">
            <v>14542.666652588578</v>
          </cell>
          <cell r="AK49">
            <v>4489.9454369158193</v>
          </cell>
          <cell r="AL49">
            <v>5546.3806492341682</v>
          </cell>
          <cell r="AM49">
            <v>6513.0338600329824</v>
          </cell>
          <cell r="AN49">
            <v>5815.3546886856866</v>
          </cell>
          <cell r="AO49">
            <v>9063.5942603604562</v>
          </cell>
          <cell r="AP49">
            <v>4368.9573751305106</v>
          </cell>
          <cell r="AQ49">
            <v>8009.7068036292012</v>
          </cell>
          <cell r="AR49">
            <v>9034.4561903403483</v>
          </cell>
          <cell r="AS49">
            <v>22129.955492600257</v>
          </cell>
          <cell r="AT49">
            <v>44613.549727411417</v>
          </cell>
          <cell r="AU49">
            <v>37321.09972741099</v>
          </cell>
        </row>
        <row r="50">
          <cell r="A50" t="str">
            <v xml:space="preserve">      Sector Privado</v>
          </cell>
          <cell r="C50">
            <v>9296.9579999999987</v>
          </cell>
          <cell r="D50">
            <v>4027.5</v>
          </cell>
          <cell r="E50">
            <v>4027.5</v>
          </cell>
          <cell r="F50">
            <v>3548.76</v>
          </cell>
          <cell r="G50">
            <v>3548.76</v>
          </cell>
          <cell r="H50">
            <v>7589.4000000000015</v>
          </cell>
          <cell r="I50">
            <v>7589.4000000000015</v>
          </cell>
          <cell r="J50">
            <v>8133.7574999999979</v>
          </cell>
          <cell r="K50">
            <v>15198.800000000003</v>
          </cell>
          <cell r="L50">
            <v>6695.0999999999967</v>
          </cell>
          <cell r="M50">
            <v>697.49300000000073</v>
          </cell>
          <cell r="N50">
            <v>4257.4000000000015</v>
          </cell>
          <cell r="O50">
            <v>1043.5999999999999</v>
          </cell>
          <cell r="P50">
            <v>3147.7500000000014</v>
          </cell>
          <cell r="Q50">
            <v>5424.9500000000007</v>
          </cell>
          <cell r="R50">
            <v>4395.6000000000004</v>
          </cell>
          <cell r="S50">
            <v>7909.5000000000018</v>
          </cell>
          <cell r="T50">
            <v>10474.85</v>
          </cell>
          <cell r="U50">
            <v>7362.7500000000018</v>
          </cell>
          <cell r="V50">
            <v>7362.7500000000018</v>
          </cell>
          <cell r="W50">
            <v>591.49999999999966</v>
          </cell>
          <cell r="X50">
            <v>7188.6000000000013</v>
          </cell>
          <cell r="Y50">
            <v>1071.5999999999992</v>
          </cell>
          <cell r="Z50">
            <v>6841.4500000000007</v>
          </cell>
          <cell r="AA50">
            <v>361.69999999999965</v>
          </cell>
          <cell r="AB50">
            <v>2326.75</v>
          </cell>
          <cell r="AC50">
            <v>1998.4500000000014</v>
          </cell>
          <cell r="AD50">
            <v>4606.0999999999995</v>
          </cell>
          <cell r="AE50">
            <v>55.749999999999815</v>
          </cell>
          <cell r="AF50">
            <v>19.05</v>
          </cell>
          <cell r="AG50">
            <v>5009.2999999999993</v>
          </cell>
          <cell r="AH50">
            <v>2126.8000000000002</v>
          </cell>
          <cell r="AI50">
            <v>2126.8000000000002</v>
          </cell>
          <cell r="AJ50">
            <v>8.8000000000000007</v>
          </cell>
          <cell r="AK50">
            <v>8.7895833299997328</v>
          </cell>
          <cell r="AL50">
            <v>608.79999999999995</v>
          </cell>
          <cell r="AM50">
            <v>8.8000000000000007</v>
          </cell>
          <cell r="AN50">
            <v>8.6958329999995847</v>
          </cell>
          <cell r="AO50">
            <v>8.7479169999995072</v>
          </cell>
          <cell r="AP50">
            <v>8.7895829999995847</v>
          </cell>
          <cell r="AQ50">
            <v>1384.9499999999996</v>
          </cell>
          <cell r="AR50">
            <v>1068.3999999999994</v>
          </cell>
          <cell r="AS50">
            <v>73.8</v>
          </cell>
          <cell r="AT50">
            <v>144.89999999999856</v>
          </cell>
          <cell r="AU50">
            <v>2474.4999999999973</v>
          </cell>
        </row>
        <row r="51">
          <cell r="A51" t="str">
            <v xml:space="preserve">      Bancos</v>
          </cell>
          <cell r="C51">
            <v>4424.3</v>
          </cell>
          <cell r="D51">
            <v>8346</v>
          </cell>
          <cell r="E51">
            <v>8346</v>
          </cell>
          <cell r="F51">
            <v>12253.5</v>
          </cell>
          <cell r="G51">
            <v>12253.5</v>
          </cell>
          <cell r="H51">
            <v>24029.75</v>
          </cell>
          <cell r="I51">
            <v>24029.75</v>
          </cell>
          <cell r="J51">
            <v>25582.4925</v>
          </cell>
          <cell r="K51">
            <v>32906</v>
          </cell>
          <cell r="L51">
            <v>22282</v>
          </cell>
          <cell r="M51">
            <v>25869.956999999999</v>
          </cell>
          <cell r="N51">
            <v>31465</v>
          </cell>
          <cell r="O51">
            <v>19931</v>
          </cell>
          <cell r="P51">
            <v>27108</v>
          </cell>
          <cell r="Q51">
            <v>4913</v>
          </cell>
          <cell r="R51">
            <v>34727</v>
          </cell>
          <cell r="S51">
            <v>29618.5</v>
          </cell>
          <cell r="T51">
            <v>22266</v>
          </cell>
          <cell r="U51">
            <v>25882</v>
          </cell>
          <cell r="V51">
            <v>25882</v>
          </cell>
          <cell r="W51">
            <v>13879</v>
          </cell>
          <cell r="X51">
            <v>8629</v>
          </cell>
          <cell r="Y51">
            <v>22632</v>
          </cell>
          <cell r="Z51">
            <v>2134</v>
          </cell>
          <cell r="AA51">
            <v>3027</v>
          </cell>
          <cell r="AB51">
            <v>27</v>
          </cell>
          <cell r="AC51">
            <v>18024</v>
          </cell>
          <cell r="AD51">
            <v>12019</v>
          </cell>
          <cell r="AE51">
            <v>2500</v>
          </cell>
          <cell r="AF51">
            <v>1000</v>
          </cell>
          <cell r="AG51">
            <v>0</v>
          </cell>
          <cell r="AH51">
            <v>0</v>
          </cell>
          <cell r="AI51">
            <v>0</v>
          </cell>
          <cell r="AJ51">
            <v>400</v>
          </cell>
          <cell r="AK51">
            <v>200.01041667000001</v>
          </cell>
          <cell r="AL51">
            <v>0</v>
          </cell>
          <cell r="AM51">
            <v>1000</v>
          </cell>
          <cell r="AN51">
            <v>2000.104167</v>
          </cell>
          <cell r="AO51">
            <v>5000.0520829999996</v>
          </cell>
          <cell r="AP51">
            <v>400.01041700000002</v>
          </cell>
          <cell r="AQ51">
            <v>2500</v>
          </cell>
          <cell r="AR51">
            <v>2500</v>
          </cell>
          <cell r="AS51">
            <v>16419</v>
          </cell>
          <cell r="AT51">
            <v>36194</v>
          </cell>
          <cell r="AU51">
            <v>27770</v>
          </cell>
        </row>
        <row r="52">
          <cell r="A52" t="str">
            <v xml:space="preserve">      Otros</v>
          </cell>
          <cell r="C52">
            <v>62.462219999972149</v>
          </cell>
          <cell r="D52">
            <v>3.5999995452584699E-4</v>
          </cell>
          <cell r="E52">
            <v>3.5999989631818607E-4</v>
          </cell>
          <cell r="F52">
            <v>9.3699994613416493E-4</v>
          </cell>
          <cell r="G52">
            <v>9.3699996796203777E-4</v>
          </cell>
          <cell r="H52">
            <v>1.5829999931156635E-2</v>
          </cell>
          <cell r="I52">
            <v>1.5829999931156635E-2</v>
          </cell>
          <cell r="J52">
            <v>-2.8796000056900084E-2</v>
          </cell>
          <cell r="K52">
            <v>-4.2621999949915335E-2</v>
          </cell>
          <cell r="L52">
            <v>1.1000000522471964E-3</v>
          </cell>
          <cell r="M52">
            <v>2.5000001769512892E-3</v>
          </cell>
          <cell r="N52">
            <v>1.3300000573508441E-3</v>
          </cell>
          <cell r="O52">
            <v>-7.31500000692904E-2</v>
          </cell>
          <cell r="P52">
            <v>0.69820999994408339</v>
          </cell>
          <cell r="Q52">
            <v>1.2099999294150621E-3</v>
          </cell>
          <cell r="R52">
            <v>1.1799999629147351E-3</v>
          </cell>
          <cell r="S52">
            <v>-5.2679999847896397E-2</v>
          </cell>
          <cell r="T52">
            <v>-5.1820000051520765E-2</v>
          </cell>
          <cell r="U52">
            <v>0.29224000009708107</v>
          </cell>
          <cell r="V52">
            <v>0.2922400001261849</v>
          </cell>
          <cell r="W52">
            <v>5.1800000946968794E-3</v>
          </cell>
          <cell r="X52">
            <v>-3.6199998576194048E-3</v>
          </cell>
          <cell r="Y52">
            <v>2.890047680324642</v>
          </cell>
          <cell r="Z52">
            <v>2.8833099468029104</v>
          </cell>
          <cell r="AA52">
            <v>-9.8406565957702696E-3</v>
          </cell>
          <cell r="AB52">
            <v>4.7396831505466253E-3</v>
          </cell>
          <cell r="AC52">
            <v>-3.0128327547572553E-2</v>
          </cell>
          <cell r="AD52">
            <v>7.6104014238808304E-2</v>
          </cell>
          <cell r="AE52">
            <v>1473.2854265673202</v>
          </cell>
          <cell r="AF52">
            <v>5572.0315501638397</v>
          </cell>
          <cell r="AG52">
            <v>7184.9397146202682</v>
          </cell>
          <cell r="AH52">
            <v>9133.5237935873447</v>
          </cell>
          <cell r="AI52">
            <v>9133.5237935874611</v>
          </cell>
          <cell r="AJ52">
            <v>14133.866652588578</v>
          </cell>
          <cell r="AK52">
            <v>4281.1454369158191</v>
          </cell>
          <cell r="AL52">
            <v>4937.580649234168</v>
          </cell>
          <cell r="AM52">
            <v>5504.2338600329822</v>
          </cell>
          <cell r="AN52">
            <v>3806.5546886856873</v>
          </cell>
          <cell r="AO52">
            <v>4054.7942603604579</v>
          </cell>
          <cell r="AP52">
            <v>3960.1573751305114</v>
          </cell>
          <cell r="AQ52">
            <v>4124.7568036292014</v>
          </cell>
          <cell r="AR52">
            <v>5466.0561903403486</v>
          </cell>
          <cell r="AS52">
            <v>5637.1554926002573</v>
          </cell>
          <cell r="AT52">
            <v>8274.6497274114136</v>
          </cell>
          <cell r="AU52">
            <v>7076.5997274109923</v>
          </cell>
        </row>
        <row r="54">
          <cell r="A54" t="str">
            <v>Dep del Gobierno en m/e</v>
          </cell>
          <cell r="C54">
            <v>17.184999999999999</v>
          </cell>
          <cell r="D54">
            <v>16.061</v>
          </cell>
          <cell r="E54">
            <v>16.061</v>
          </cell>
          <cell r="F54">
            <v>55.497</v>
          </cell>
          <cell r="G54">
            <v>55.497000000000007</v>
          </cell>
          <cell r="H54">
            <v>76.894000000000005</v>
          </cell>
          <cell r="I54">
            <v>76.894000000000005</v>
          </cell>
          <cell r="J54">
            <v>81.138000000000005</v>
          </cell>
          <cell r="K54">
            <v>75.671999999999997</v>
          </cell>
          <cell r="L54">
            <v>88.759</v>
          </cell>
          <cell r="M54">
            <v>76.406000000000006</v>
          </cell>
          <cell r="N54">
            <v>84.350999999999999</v>
          </cell>
          <cell r="O54">
            <v>101.60299999999999</v>
          </cell>
          <cell r="P54">
            <v>129.31800000000001</v>
          </cell>
          <cell r="Q54">
            <v>76.774000000000001</v>
          </cell>
          <cell r="R54">
            <v>84.617000000000004</v>
          </cell>
          <cell r="S54">
            <v>77.790999999999997</v>
          </cell>
          <cell r="T54">
            <v>99.129000000000005</v>
          </cell>
          <cell r="U54">
            <v>145.13899999999998</v>
          </cell>
          <cell r="V54">
            <v>145.13899999999998</v>
          </cell>
          <cell r="W54">
            <v>161.66499999999999</v>
          </cell>
          <cell r="X54">
            <v>176.92999999999998</v>
          </cell>
          <cell r="Y54">
            <v>158.39104961000001</v>
          </cell>
          <cell r="Z54">
            <v>381.00655645000001</v>
          </cell>
          <cell r="AA54">
            <v>203.25555874999998</v>
          </cell>
          <cell r="AB54">
            <v>160.62673228999998</v>
          </cell>
          <cell r="AC54">
            <v>156.75556295999999</v>
          </cell>
          <cell r="AD54">
            <v>147.33051895</v>
          </cell>
          <cell r="AE54">
            <v>142.80908166999998</v>
          </cell>
          <cell r="AF54">
            <v>146.34233954999999</v>
          </cell>
          <cell r="AG54">
            <v>147.50282648000001</v>
          </cell>
          <cell r="AH54">
            <v>150.20338176000001</v>
          </cell>
          <cell r="AI54">
            <v>150.20338176000001</v>
          </cell>
          <cell r="AJ54">
            <v>145.96823692000001</v>
          </cell>
          <cell r="AK54">
            <v>144.51780678</v>
          </cell>
          <cell r="AL54">
            <v>143.40093893</v>
          </cell>
          <cell r="AM54">
            <v>148.166695002458</v>
          </cell>
          <cell r="AN54">
            <v>363.08391979463897</v>
          </cell>
          <cell r="AO54">
            <v>271.11493295999998</v>
          </cell>
          <cell r="AP54">
            <v>292.29062252472698</v>
          </cell>
          <cell r="AQ54">
            <v>203.99009258447097</v>
          </cell>
          <cell r="AR54">
            <v>162.91239294573199</v>
          </cell>
          <cell r="AS54">
            <v>166.40056393153401</v>
          </cell>
          <cell r="AT54">
            <v>97.698525355470593</v>
          </cell>
          <cell r="AU54">
            <v>114.13824991857899</v>
          </cell>
        </row>
        <row r="56">
          <cell r="A56" t="str">
            <v>(*) Cifras preliminares.</v>
          </cell>
        </row>
        <row r="57">
          <cell r="A57" t="str">
            <v>Crédito al sector privado</v>
          </cell>
          <cell r="V57">
            <v>437361.91851599998</v>
          </cell>
          <cell r="W57">
            <v>440520.27835599997</v>
          </cell>
          <cell r="X57">
            <v>458518.38068200002</v>
          </cell>
          <cell r="Y57">
            <v>461888.61621742998</v>
          </cell>
          <cell r="Z57">
            <v>466377.4990085141</v>
          </cell>
          <cell r="AA57">
            <v>479915.10144917684</v>
          </cell>
          <cell r="AB57">
            <v>510885.64142081013</v>
          </cell>
          <cell r="AC57">
            <v>522490.32791791169</v>
          </cell>
          <cell r="AD57">
            <v>540266.41510781914</v>
          </cell>
          <cell r="AE57">
            <v>598664.67892324436</v>
          </cell>
          <cell r="AF57">
            <v>604348.18235688668</v>
          </cell>
          <cell r="AG57">
            <v>627409.38328779861</v>
          </cell>
          <cell r="AH57">
            <v>647202.23718941142</v>
          </cell>
          <cell r="AI57">
            <v>665659.16150439112</v>
          </cell>
          <cell r="AJ57">
            <v>678716.20574190235</v>
          </cell>
          <cell r="AK57">
            <v>692563.98803951987</v>
          </cell>
          <cell r="AL57">
            <v>714401.36011287104</v>
          </cell>
          <cell r="AM57">
            <v>712890.11058784812</v>
          </cell>
          <cell r="AN57">
            <v>708969.38565077819</v>
          </cell>
          <cell r="AO57">
            <v>714494.38518410176</v>
          </cell>
          <cell r="AP57">
            <v>713415.48097890755</v>
          </cell>
          <cell r="AQ57">
            <v>727823.37069778051</v>
          </cell>
          <cell r="AR57">
            <v>731691.14977638342</v>
          </cell>
          <cell r="AS57">
            <v>730921.32635335508</v>
          </cell>
          <cell r="AT57">
            <v>752024.68896268378</v>
          </cell>
          <cell r="AU57">
            <v>764756.58812623459</v>
          </cell>
        </row>
      </sheetData>
      <sheetData sheetId="16" refreshError="1"/>
      <sheetData sheetId="17" refreshError="1">
        <row r="3">
          <cell r="C3" t="str">
            <v>DIC.</v>
          </cell>
          <cell r="D3" t="str">
            <v>DIC.</v>
          </cell>
          <cell r="E3" t="str">
            <v>DIC.</v>
          </cell>
          <cell r="F3" t="str">
            <v>DIC.</v>
          </cell>
          <cell r="G3" t="str">
            <v>DIC.</v>
          </cell>
          <cell r="H3" t="str">
            <v>DIC.</v>
          </cell>
          <cell r="I3" t="str">
            <v>DIC.</v>
          </cell>
          <cell r="J3" t="str">
            <v>ENERO</v>
          </cell>
          <cell r="K3" t="str">
            <v>FEBRERO</v>
          </cell>
          <cell r="L3" t="str">
            <v xml:space="preserve">MARZO </v>
          </cell>
          <cell r="M3" t="str">
            <v>ABRIL</v>
          </cell>
          <cell r="N3" t="str">
            <v>MAYO</v>
          </cell>
          <cell r="O3" t="str">
            <v>JUNIO</v>
          </cell>
          <cell r="P3" t="str">
            <v>JULIO</v>
          </cell>
          <cell r="Q3" t="str">
            <v>AGOSTO</v>
          </cell>
          <cell r="R3" t="str">
            <v>SETIEM.</v>
          </cell>
          <cell r="S3" t="str">
            <v>OCTUB.</v>
          </cell>
          <cell r="T3" t="str">
            <v>NOVIEM</v>
          </cell>
          <cell r="U3" t="str">
            <v>DIC.</v>
          </cell>
          <cell r="V3" t="str">
            <v>DIC.</v>
          </cell>
          <cell r="W3" t="str">
            <v>ENE</v>
          </cell>
          <cell r="X3" t="str">
            <v>FEB</v>
          </cell>
          <cell r="Y3" t="str">
            <v>MAR</v>
          </cell>
          <cell r="Z3" t="str">
            <v>ABR</v>
          </cell>
          <cell r="AA3" t="str">
            <v>MAY</v>
          </cell>
          <cell r="AB3" t="str">
            <v>JUN</v>
          </cell>
          <cell r="AC3" t="str">
            <v>JUL</v>
          </cell>
          <cell r="AD3" t="str">
            <v>AGO</v>
          </cell>
          <cell r="AE3" t="str">
            <v>SEP</v>
          </cell>
          <cell r="AF3" t="str">
            <v>OCT</v>
          </cell>
          <cell r="AG3" t="str">
            <v>NOV</v>
          </cell>
          <cell r="AH3" t="str">
            <v>DIC</v>
          </cell>
        </row>
        <row r="4">
          <cell r="C4" t="str">
            <v>1993</v>
          </cell>
          <cell r="D4">
            <v>1994</v>
          </cell>
          <cell r="E4">
            <v>1994</v>
          </cell>
          <cell r="F4">
            <v>1995</v>
          </cell>
          <cell r="G4">
            <v>1995</v>
          </cell>
          <cell r="H4">
            <v>1996</v>
          </cell>
          <cell r="I4">
            <v>1996</v>
          </cell>
          <cell r="J4">
            <v>1997</v>
          </cell>
          <cell r="K4">
            <v>1997</v>
          </cell>
          <cell r="L4">
            <v>1997</v>
          </cell>
          <cell r="M4">
            <v>1997</v>
          </cell>
          <cell r="N4">
            <v>1997</v>
          </cell>
          <cell r="O4">
            <v>1997</v>
          </cell>
          <cell r="P4">
            <v>1997</v>
          </cell>
          <cell r="Q4">
            <v>1997</v>
          </cell>
          <cell r="R4">
            <v>1997</v>
          </cell>
          <cell r="S4">
            <v>1997</v>
          </cell>
          <cell r="T4">
            <v>1997</v>
          </cell>
          <cell r="U4">
            <v>1997</v>
          </cell>
          <cell r="V4">
            <v>1997</v>
          </cell>
          <cell r="W4">
            <v>1998</v>
          </cell>
          <cell r="X4">
            <v>1998</v>
          </cell>
          <cell r="Y4">
            <v>1998</v>
          </cell>
          <cell r="Z4">
            <v>1998</v>
          </cell>
          <cell r="AA4">
            <v>1998</v>
          </cell>
          <cell r="AB4">
            <v>1998</v>
          </cell>
          <cell r="AC4">
            <v>1998</v>
          </cell>
          <cell r="AD4">
            <v>1998</v>
          </cell>
          <cell r="AE4">
            <v>1998</v>
          </cell>
          <cell r="AF4">
            <v>1998</v>
          </cell>
          <cell r="AG4">
            <v>1998</v>
          </cell>
          <cell r="AH4">
            <v>1998</v>
          </cell>
        </row>
        <row r="5">
          <cell r="A5" t="str">
            <v>Tipo de cambio promedio</v>
          </cell>
          <cell r="C5">
            <v>157.09</v>
          </cell>
          <cell r="D5">
            <v>157.09</v>
          </cell>
          <cell r="E5">
            <v>179.8</v>
          </cell>
          <cell r="F5">
            <v>179.8</v>
          </cell>
          <cell r="G5">
            <v>207.72</v>
          </cell>
          <cell r="H5">
            <v>207.72</v>
          </cell>
          <cell r="I5">
            <v>232</v>
          </cell>
          <cell r="J5">
            <v>232</v>
          </cell>
          <cell r="K5">
            <v>232</v>
          </cell>
          <cell r="L5">
            <v>232</v>
          </cell>
          <cell r="M5">
            <v>232</v>
          </cell>
          <cell r="N5">
            <v>232</v>
          </cell>
          <cell r="O5">
            <v>232</v>
          </cell>
          <cell r="P5">
            <v>232</v>
          </cell>
          <cell r="Q5">
            <v>232</v>
          </cell>
          <cell r="R5">
            <v>232</v>
          </cell>
          <cell r="S5">
            <v>232</v>
          </cell>
          <cell r="T5">
            <v>232</v>
          </cell>
          <cell r="U5">
            <v>232</v>
          </cell>
          <cell r="V5">
            <v>257.14</v>
          </cell>
          <cell r="W5">
            <v>257.14</v>
          </cell>
          <cell r="X5">
            <v>257.14</v>
          </cell>
          <cell r="Y5">
            <v>257.14</v>
          </cell>
          <cell r="Z5">
            <v>257.14</v>
          </cell>
          <cell r="AA5">
            <v>257.14</v>
          </cell>
          <cell r="AB5">
            <v>257.14</v>
          </cell>
          <cell r="AC5">
            <v>257.14</v>
          </cell>
          <cell r="AD5">
            <v>257.14</v>
          </cell>
          <cell r="AE5">
            <v>257.14</v>
          </cell>
          <cell r="AF5">
            <v>257.14</v>
          </cell>
          <cell r="AG5">
            <v>257.14</v>
          </cell>
          <cell r="AH5">
            <v>257.14</v>
          </cell>
        </row>
        <row r="7">
          <cell r="A7" t="str">
            <v>SALDOS EN MILLONES DE COLONES</v>
          </cell>
        </row>
        <row r="9">
          <cell r="A9" t="str">
            <v>OPERACIONES DE MERCADO ABIERTO</v>
          </cell>
          <cell r="C9">
            <v>38393.841099999976</v>
          </cell>
          <cell r="D9">
            <v>70992.735219999973</v>
          </cell>
          <cell r="E9">
            <v>70992.735219999915</v>
          </cell>
          <cell r="F9">
            <v>127447.64677699996</v>
          </cell>
          <cell r="G9">
            <v>127447.64677699999</v>
          </cell>
          <cell r="H9">
            <v>144369.05574999994</v>
          </cell>
          <cell r="I9">
            <v>144369.05574999994</v>
          </cell>
          <cell r="J9">
            <v>160456.34018399994</v>
          </cell>
          <cell r="K9">
            <v>175908.32433800003</v>
          </cell>
          <cell r="L9">
            <v>174135.83808000005</v>
          </cell>
          <cell r="M9">
            <v>186566.43782000017</v>
          </cell>
          <cell r="N9">
            <v>191264.15333000006</v>
          </cell>
          <cell r="O9">
            <v>180108.24279999992</v>
          </cell>
          <cell r="P9">
            <v>203995.33612999995</v>
          </cell>
          <cell r="Q9">
            <v>195762.22512999995</v>
          </cell>
          <cell r="R9">
            <v>209327.37099000002</v>
          </cell>
          <cell r="S9">
            <v>218167.11630000017</v>
          </cell>
          <cell r="T9">
            <v>197171.39515999996</v>
          </cell>
          <cell r="U9">
            <v>185957.8651600001</v>
          </cell>
          <cell r="V9">
            <v>185957.86516000013</v>
          </cell>
          <cell r="W9">
            <v>180889.87520000013</v>
          </cell>
          <cell r="X9">
            <v>185076.45430000016</v>
          </cell>
          <cell r="Y9">
            <v>200568.26105233014</v>
          </cell>
          <cell r="Z9">
            <v>183723.25096054681</v>
          </cell>
          <cell r="AA9">
            <v>204095.3137413834</v>
          </cell>
          <cell r="AB9">
            <v>196706.03640884315</v>
          </cell>
          <cell r="AC9">
            <v>181815.37622165246</v>
          </cell>
          <cell r="AD9">
            <v>173456.93040492333</v>
          </cell>
          <cell r="AE9">
            <v>148467.5385451772</v>
          </cell>
          <cell r="AF9">
            <v>156485.01682292364</v>
          </cell>
          <cell r="AG9">
            <v>146882.21439697995</v>
          </cell>
          <cell r="AH9">
            <v>164269.62329152744</v>
          </cell>
        </row>
        <row r="11">
          <cell r="A11" t="str">
            <v>EMISIÓN MONETARIA</v>
          </cell>
          <cell r="C11">
            <v>63996.555899999992</v>
          </cell>
          <cell r="D11">
            <v>86012.928899999999</v>
          </cell>
          <cell r="E11">
            <v>86012.928899999999</v>
          </cell>
          <cell r="F11">
            <v>98930.90800000001</v>
          </cell>
          <cell r="G11">
            <v>98930.90800000001</v>
          </cell>
          <cell r="H11">
            <v>115765.6459</v>
          </cell>
          <cell r="I11">
            <v>115765.6459</v>
          </cell>
          <cell r="J11">
            <v>98622.474000000002</v>
          </cell>
          <cell r="K11">
            <v>97738.967000000004</v>
          </cell>
          <cell r="L11">
            <v>99384.570999999996</v>
          </cell>
          <cell r="M11">
            <v>97520.047999999981</v>
          </cell>
          <cell r="N11">
            <v>96311.207999999999</v>
          </cell>
          <cell r="O11">
            <v>96227.221999999994</v>
          </cell>
          <cell r="P11">
            <v>98406.516000000003</v>
          </cell>
          <cell r="Q11">
            <v>99123.035999999993</v>
          </cell>
          <cell r="R11">
            <v>100953.19500000001</v>
          </cell>
          <cell r="S11">
            <v>105712.45699999999</v>
          </cell>
          <cell r="T11">
            <v>125928.87</v>
          </cell>
          <cell r="U11">
            <v>146843.71900000001</v>
          </cell>
          <cell r="V11">
            <v>146843.71900000001</v>
          </cell>
          <cell r="W11">
            <v>125409.383</v>
          </cell>
          <cell r="X11">
            <v>121529.6839</v>
          </cell>
          <cell r="Y11">
            <v>120642.83656185</v>
          </cell>
          <cell r="Z11">
            <v>121915.70975285</v>
          </cell>
          <cell r="AA11">
            <v>119968.99234714999</v>
          </cell>
          <cell r="AB11">
            <v>118005.13466814999</v>
          </cell>
          <cell r="AC11">
            <v>118427.83018814999</v>
          </cell>
          <cell r="AD11">
            <v>117369.96538764999</v>
          </cell>
          <cell r="AE11">
            <v>117919.80712615</v>
          </cell>
          <cell r="AF11">
            <v>120875.3278649</v>
          </cell>
          <cell r="AG11">
            <v>142234.28913590001</v>
          </cell>
          <cell r="AH11">
            <v>165349.17987990001</v>
          </cell>
        </row>
        <row r="13">
          <cell r="A13" t="str">
            <v>ACTIVOS EXTERNOS NETOS</v>
          </cell>
          <cell r="C13">
            <v>-87522.812410000013</v>
          </cell>
          <cell r="D13">
            <v>-80920.35788999997</v>
          </cell>
          <cell r="E13">
            <v>-92618.755799999984</v>
          </cell>
          <cell r="F13">
            <v>-38509.330259999988</v>
          </cell>
          <cell r="G13">
            <v>-44489.19956399998</v>
          </cell>
          <cell r="H13">
            <v>-35861.320871999953</v>
          </cell>
          <cell r="I13">
            <v>-40053.083199999965</v>
          </cell>
          <cell r="J13">
            <v>-40575.709600000002</v>
          </cell>
          <cell r="K13">
            <v>-38232.555999999982</v>
          </cell>
          <cell r="L13">
            <v>-17647.776000000013</v>
          </cell>
          <cell r="M13">
            <v>-21521.712</v>
          </cell>
          <cell r="N13">
            <v>-21326.599999999948</v>
          </cell>
          <cell r="O13">
            <v>196.50399999998626</v>
          </cell>
          <cell r="P13">
            <v>4160.6880000000529</v>
          </cell>
          <cell r="Q13">
            <v>8722.0399999999499</v>
          </cell>
          <cell r="R13">
            <v>21185.079999999987</v>
          </cell>
          <cell r="S13">
            <v>186.52799999999115</v>
          </cell>
          <cell r="T13">
            <v>6251.704000000027</v>
          </cell>
          <cell r="U13">
            <v>38290.440000000061</v>
          </cell>
          <cell r="V13">
            <v>42439.671300000045</v>
          </cell>
          <cell r="W13">
            <v>16178.734520000027</v>
          </cell>
          <cell r="X13">
            <v>3697.1589200000744</v>
          </cell>
          <cell r="Y13">
            <v>19046.567314768676</v>
          </cell>
          <cell r="Z13">
            <v>78786.499538094969</v>
          </cell>
          <cell r="AA13">
            <v>48176.44430271376</v>
          </cell>
          <cell r="AB13">
            <v>37139.968184640922</v>
          </cell>
          <cell r="AC13">
            <v>17034.071910600236</v>
          </cell>
          <cell r="AD13">
            <v>11835.971879160381</v>
          </cell>
          <cell r="AE13">
            <v>-3325.341639854887</v>
          </cell>
          <cell r="AF13">
            <v>-4248.1574230926926</v>
          </cell>
          <cell r="AG13">
            <v>-12862.696438258863</v>
          </cell>
          <cell r="AH13">
            <v>-5238.2367874942429</v>
          </cell>
        </row>
        <row r="15">
          <cell r="B15" t="str">
            <v>RIN  ¢</v>
          </cell>
          <cell r="C15">
            <v>135486.19774999999</v>
          </cell>
          <cell r="D15">
            <v>119003.37241</v>
          </cell>
          <cell r="E15">
            <v>136207.31020000001</v>
          </cell>
          <cell r="F15">
            <v>177303.17134000006</v>
          </cell>
          <cell r="G15">
            <v>204835.45467600005</v>
          </cell>
          <cell r="H15">
            <v>192085.41412800003</v>
          </cell>
          <cell r="I15">
            <v>214537.91680000004</v>
          </cell>
          <cell r="J15">
            <v>205621.06639999998</v>
          </cell>
          <cell r="K15">
            <v>206178.74800000002</v>
          </cell>
          <cell r="L15">
            <v>225178.50399999999</v>
          </cell>
          <cell r="M15">
            <v>219220.74400000001</v>
          </cell>
          <cell r="N15">
            <v>216153.24000000005</v>
          </cell>
          <cell r="O15">
            <v>237660.56799999997</v>
          </cell>
          <cell r="P15">
            <v>239779.42400000003</v>
          </cell>
          <cell r="Q15">
            <v>243388.41599999994</v>
          </cell>
          <cell r="R15">
            <v>254288.93599999996</v>
          </cell>
          <cell r="S15">
            <v>231369.19199999998</v>
          </cell>
          <cell r="T15">
            <v>233049.80000000002</v>
          </cell>
          <cell r="U15">
            <v>264562.82400000002</v>
          </cell>
          <cell r="V15">
            <v>293231.39898</v>
          </cell>
          <cell r="W15">
            <v>265058.88344000001</v>
          </cell>
          <cell r="X15">
            <v>251751.88844000004</v>
          </cell>
          <cell r="Y15">
            <v>265617.1576187305</v>
          </cell>
          <cell r="Z15">
            <v>322491.91912252642</v>
          </cell>
          <cell r="AA15">
            <v>288371.17448409583</v>
          </cell>
          <cell r="AB15">
            <v>276581.39499603916</v>
          </cell>
          <cell r="AC15">
            <v>254882.87920539608</v>
          </cell>
          <cell r="AD15">
            <v>248261.44537518051</v>
          </cell>
          <cell r="AE15">
            <v>232282.60792186545</v>
          </cell>
          <cell r="AF15">
            <v>242464.44264419388</v>
          </cell>
          <cell r="AG15">
            <v>228688.06133461115</v>
          </cell>
          <cell r="AH15">
            <v>254953.52695641437</v>
          </cell>
        </row>
        <row r="16">
          <cell r="B16" t="str">
            <v xml:space="preserve">       $</v>
          </cell>
          <cell r="C16">
            <v>862.47499999999991</v>
          </cell>
          <cell r="D16">
            <v>757.54899999999998</v>
          </cell>
          <cell r="E16">
            <v>757.54899999999998</v>
          </cell>
          <cell r="F16">
            <v>986.11330000000032</v>
          </cell>
          <cell r="G16">
            <v>986.11330000000021</v>
          </cell>
          <cell r="H16">
            <v>924.73240000000021</v>
          </cell>
          <cell r="I16">
            <v>924.7324000000001</v>
          </cell>
          <cell r="J16">
            <v>886.29769999999996</v>
          </cell>
          <cell r="K16">
            <v>888.70150000000012</v>
          </cell>
          <cell r="L16">
            <v>970.59699999999998</v>
          </cell>
          <cell r="M16">
            <v>944.91700000000003</v>
          </cell>
          <cell r="N16">
            <v>931.69500000000016</v>
          </cell>
          <cell r="O16">
            <v>1024.3989999999999</v>
          </cell>
          <cell r="P16">
            <v>1033.5320000000002</v>
          </cell>
          <cell r="Q16">
            <v>1049.0879999999997</v>
          </cell>
          <cell r="R16">
            <v>1096.0729999999999</v>
          </cell>
          <cell r="S16">
            <v>997.28099999999995</v>
          </cell>
          <cell r="T16">
            <v>1004.5250000000001</v>
          </cell>
          <cell r="U16">
            <v>1140.3570000000002</v>
          </cell>
          <cell r="V16">
            <v>1140.357</v>
          </cell>
          <cell r="W16">
            <v>1030.796</v>
          </cell>
          <cell r="X16">
            <v>979.04600000000016</v>
          </cell>
          <cell r="Y16">
            <v>1032.9670903738452</v>
          </cell>
          <cell r="Z16">
            <v>1254.1491760228919</v>
          </cell>
          <cell r="AA16">
            <v>1121.4559169483389</v>
          </cell>
          <cell r="AB16">
            <v>1075.6062650542085</v>
          </cell>
          <cell r="AC16">
            <v>991.22221048999029</v>
          </cell>
          <cell r="AD16">
            <v>965.47190392463449</v>
          </cell>
          <cell r="AE16">
            <v>903.33129004381067</v>
          </cell>
          <cell r="AF16">
            <v>942.9277539246865</v>
          </cell>
          <cell r="AG16">
            <v>889.35234243840387</v>
          </cell>
          <cell r="AH16">
            <v>991.4969547966648</v>
          </cell>
        </row>
        <row r="17">
          <cell r="B17" t="str">
            <v>Endeud. ext. ¢</v>
          </cell>
          <cell r="C17">
            <v>223009.01016000001</v>
          </cell>
          <cell r="D17">
            <v>199923.73029999997</v>
          </cell>
          <cell r="E17">
            <v>228826.06599999999</v>
          </cell>
          <cell r="F17">
            <v>215812.50160000005</v>
          </cell>
          <cell r="G17">
            <v>249324.65424000003</v>
          </cell>
          <cell r="H17">
            <v>227946.73499999999</v>
          </cell>
          <cell r="I17">
            <v>254591</v>
          </cell>
          <cell r="J17">
            <v>246196.77599999998</v>
          </cell>
          <cell r="K17">
            <v>244411.304</v>
          </cell>
          <cell r="L17">
            <v>242826.28</v>
          </cell>
          <cell r="M17">
            <v>240742.45600000001</v>
          </cell>
          <cell r="N17">
            <v>237479.84</v>
          </cell>
          <cell r="O17">
            <v>237464.06399999998</v>
          </cell>
          <cell r="P17">
            <v>235618.73599999998</v>
          </cell>
          <cell r="Q17">
            <v>234666.37599999999</v>
          </cell>
          <cell r="R17">
            <v>233103.85599999997</v>
          </cell>
          <cell r="S17">
            <v>231182.66399999999</v>
          </cell>
          <cell r="T17">
            <v>226798.09599999999</v>
          </cell>
          <cell r="U17">
            <v>226272.38399999996</v>
          </cell>
          <cell r="V17">
            <v>250791.72767999995</v>
          </cell>
          <cell r="W17">
            <v>248880.14891999998</v>
          </cell>
          <cell r="X17">
            <v>248054.72951999996</v>
          </cell>
          <cell r="Y17">
            <v>246570.59030396183</v>
          </cell>
          <cell r="Z17">
            <v>243705.41958443145</v>
          </cell>
          <cell r="AA17">
            <v>240194.73018138207</v>
          </cell>
          <cell r="AB17">
            <v>239441.42681139824</v>
          </cell>
          <cell r="AC17">
            <v>237848.80729479584</v>
          </cell>
          <cell r="AD17">
            <v>236425.47349602013</v>
          </cell>
          <cell r="AE17">
            <v>235607.94956172034</v>
          </cell>
          <cell r="AF17">
            <v>246712.60006728658</v>
          </cell>
          <cell r="AG17">
            <v>241550.75777287001</v>
          </cell>
          <cell r="AH17">
            <v>260191.76374390861</v>
          </cell>
        </row>
        <row r="18">
          <cell r="B18" t="str">
            <v xml:space="preserve">       $</v>
          </cell>
          <cell r="C18">
            <v>1419.6257569546119</v>
          </cell>
          <cell r="D18">
            <v>1272.6699999999998</v>
          </cell>
          <cell r="E18">
            <v>1272.6699999999998</v>
          </cell>
          <cell r="F18">
            <v>1200.2920000000001</v>
          </cell>
          <cell r="G18">
            <v>1200.2920000000001</v>
          </cell>
          <cell r="H18">
            <v>1097.375</v>
          </cell>
          <cell r="I18">
            <v>1097.375</v>
          </cell>
          <cell r="J18">
            <v>1061.193</v>
          </cell>
          <cell r="K18">
            <v>1053.4970000000001</v>
          </cell>
          <cell r="L18">
            <v>1046.665</v>
          </cell>
          <cell r="M18">
            <v>1037.683</v>
          </cell>
          <cell r="N18">
            <v>1023.62</v>
          </cell>
          <cell r="O18">
            <v>1023.5519999999999</v>
          </cell>
          <cell r="P18">
            <v>1015.5979999999998</v>
          </cell>
          <cell r="Q18">
            <v>1011.4929999999999</v>
          </cell>
          <cell r="R18">
            <v>1004.7579999999999</v>
          </cell>
          <cell r="S18">
            <v>996.47699999999998</v>
          </cell>
          <cell r="T18">
            <v>977.57799999999997</v>
          </cell>
          <cell r="U18">
            <v>975.31199999999978</v>
          </cell>
          <cell r="V18">
            <v>975.3119999999999</v>
          </cell>
          <cell r="W18">
            <v>967.87799999999993</v>
          </cell>
          <cell r="X18">
            <v>964.66799999999989</v>
          </cell>
          <cell r="Y18">
            <v>958.89628336300007</v>
          </cell>
          <cell r="Z18">
            <v>947.75382898199996</v>
          </cell>
          <cell r="AA18">
            <v>934.10099627199997</v>
          </cell>
          <cell r="AB18">
            <v>931.17145061600002</v>
          </cell>
          <cell r="AC18">
            <v>924.97786145600003</v>
          </cell>
          <cell r="AD18">
            <v>919.44261295800004</v>
          </cell>
          <cell r="AE18">
            <v>916.26331788800007</v>
          </cell>
          <cell r="AF18">
            <v>959.44854968999994</v>
          </cell>
          <cell r="AG18">
            <v>939.37449550000008</v>
          </cell>
          <cell r="AH18">
            <v>1011.868101983</v>
          </cell>
        </row>
        <row r="20">
          <cell r="A20" t="str">
            <v>OTROS ACTIVOS NETOS</v>
          </cell>
          <cell r="C20">
            <v>189913.20940999995</v>
          </cell>
          <cell r="D20">
            <v>237713.64652699995</v>
          </cell>
          <cell r="E20">
            <v>249412.04443699995</v>
          </cell>
          <cell r="F20">
            <v>264825.50955399999</v>
          </cell>
          <cell r="G20">
            <v>270805.37885799992</v>
          </cell>
          <cell r="H20">
            <v>295996.02252199996</v>
          </cell>
          <cell r="I20">
            <v>300187.78485000005</v>
          </cell>
          <cell r="J20">
            <v>299654.52378400008</v>
          </cell>
          <cell r="K20">
            <v>311879.84733800008</v>
          </cell>
          <cell r="L20">
            <v>291168.18508000008</v>
          </cell>
          <cell r="M20">
            <v>305608.19782000012</v>
          </cell>
          <cell r="N20">
            <v>308901.96132999996</v>
          </cell>
          <cell r="O20">
            <v>276138.96079999988</v>
          </cell>
          <cell r="P20">
            <v>298241.16412999999</v>
          </cell>
          <cell r="Q20">
            <v>286163.22112999996</v>
          </cell>
          <cell r="R20">
            <v>289095.48716999998</v>
          </cell>
          <cell r="S20">
            <v>323693.04530000017</v>
          </cell>
          <cell r="T20">
            <v>316848.56115999998</v>
          </cell>
          <cell r="U20">
            <v>294511.14416000003</v>
          </cell>
          <cell r="V20">
            <v>290361.91286000016</v>
          </cell>
          <cell r="W20">
            <v>290120.52368000004</v>
          </cell>
          <cell r="X20">
            <v>302908.97928000015</v>
          </cell>
          <cell r="Y20">
            <v>302164.5302994115</v>
          </cell>
          <cell r="Z20">
            <v>226852.46117530178</v>
          </cell>
          <cell r="AA20">
            <v>275887.86178581964</v>
          </cell>
          <cell r="AB20">
            <v>277571.20289235219</v>
          </cell>
          <cell r="AC20">
            <v>283209.13449920225</v>
          </cell>
          <cell r="AD20">
            <v>278990.92391341296</v>
          </cell>
          <cell r="AE20">
            <v>269712.68731118215</v>
          </cell>
          <cell r="AF20">
            <v>281608.50211091636</v>
          </cell>
          <cell r="AG20">
            <v>301979.19997113873</v>
          </cell>
          <cell r="AH20">
            <v>334857.03995892155</v>
          </cell>
        </row>
        <row r="22">
          <cell r="B22" t="str">
            <v>Crédito bruto al Gob.</v>
          </cell>
          <cell r="C22">
            <v>50171.542669999995</v>
          </cell>
          <cell r="D22">
            <v>66108.265799999994</v>
          </cell>
          <cell r="E22">
            <v>72224.523000000001</v>
          </cell>
          <cell r="F22">
            <v>90122.687063999998</v>
          </cell>
          <cell r="G22">
            <v>96575.255927999999</v>
          </cell>
          <cell r="H22">
            <v>279446.06002999994</v>
          </cell>
          <cell r="I22">
            <v>286951.51791</v>
          </cell>
          <cell r="J22">
            <v>290198.74291999999</v>
          </cell>
          <cell r="K22">
            <v>295826.29991</v>
          </cell>
          <cell r="L22">
            <v>317477.29590999999</v>
          </cell>
          <cell r="M22">
            <v>324762.39698000002</v>
          </cell>
          <cell r="N22">
            <v>330250.81390999997</v>
          </cell>
          <cell r="O22">
            <v>335366.90299999999</v>
          </cell>
          <cell r="P22">
            <v>339484.52193000005</v>
          </cell>
          <cell r="Q22">
            <v>344554.27697000001</v>
          </cell>
          <cell r="R22">
            <v>350012.95192000002</v>
          </cell>
          <cell r="S22">
            <v>350125.86196000001</v>
          </cell>
          <cell r="T22">
            <v>354046.14491999999</v>
          </cell>
          <cell r="U22">
            <v>359972.48</v>
          </cell>
          <cell r="V22">
            <v>368512.26146000001</v>
          </cell>
          <cell r="W22">
            <v>372226.16160000005</v>
          </cell>
          <cell r="X22">
            <v>377333.01226000005</v>
          </cell>
          <cell r="Y22">
            <v>382641.27903887455</v>
          </cell>
          <cell r="Z22">
            <v>388456.07242504682</v>
          </cell>
          <cell r="AA22">
            <v>393072.03427307081</v>
          </cell>
          <cell r="AB22">
            <v>392463.74402452301</v>
          </cell>
          <cell r="AC22">
            <v>394353.29772792873</v>
          </cell>
          <cell r="AD22">
            <v>397339.9552518428</v>
          </cell>
          <cell r="AE22">
            <v>401491.2657344726</v>
          </cell>
          <cell r="AF22">
            <v>404516.53643493913</v>
          </cell>
          <cell r="AG22">
            <v>406599.07548335363</v>
          </cell>
          <cell r="AH22">
            <v>410237.75516589615</v>
          </cell>
        </row>
        <row r="23">
          <cell r="B23" t="str">
            <v xml:space="preserve">          Depósitos del Gobierno en M/N</v>
          </cell>
          <cell r="C23">
            <v>7179.8209900000002</v>
          </cell>
          <cell r="D23">
            <v>5051.9989499999992</v>
          </cell>
          <cell r="E23">
            <v>5051.9989499999992</v>
          </cell>
          <cell r="F23">
            <v>16960.473999999995</v>
          </cell>
          <cell r="G23">
            <v>16960.473999999995</v>
          </cell>
          <cell r="H23">
            <v>16970.061909999997</v>
          </cell>
          <cell r="I23">
            <v>16970.061909999997</v>
          </cell>
          <cell r="J23">
            <v>9262.223939999998</v>
          </cell>
          <cell r="K23">
            <v>6146.0929300000007</v>
          </cell>
          <cell r="L23">
            <v>9981.1709599999976</v>
          </cell>
          <cell r="M23">
            <v>10399.56496</v>
          </cell>
          <cell r="N23">
            <v>13657.60291</v>
          </cell>
          <cell r="O23">
            <v>15337.341949999998</v>
          </cell>
          <cell r="P23">
            <v>7917.2109999999993</v>
          </cell>
          <cell r="Q23">
            <v>7650.0259400000004</v>
          </cell>
          <cell r="R23">
            <v>16026.023929999998</v>
          </cell>
          <cell r="S23">
            <v>7911.1709200000014</v>
          </cell>
          <cell r="T23">
            <v>14808.12398</v>
          </cell>
          <cell r="U23">
            <v>29227.160939999998</v>
          </cell>
          <cell r="V23">
            <v>29227.160939999998</v>
          </cell>
          <cell r="W23">
            <v>20389.372000000003</v>
          </cell>
          <cell r="X23">
            <v>11186.011999999999</v>
          </cell>
          <cell r="Y23">
            <v>16131.264470619581</v>
          </cell>
          <cell r="Z23">
            <v>9389.8614367222108</v>
          </cell>
          <cell r="AA23">
            <v>4731.4400832205502</v>
          </cell>
          <cell r="AB23">
            <v>5867.1624598386697</v>
          </cell>
          <cell r="AC23">
            <v>7580.7893529569501</v>
          </cell>
          <cell r="AD23">
            <v>7869.7445667007196</v>
          </cell>
          <cell r="AE23">
            <v>8563.8699068499009</v>
          </cell>
          <cell r="AF23">
            <v>8928.5399344523303</v>
          </cell>
          <cell r="AG23">
            <v>27825.295052761699</v>
          </cell>
          <cell r="AH23">
            <v>22094.632627026342</v>
          </cell>
        </row>
        <row r="24">
          <cell r="B24" t="str">
            <v xml:space="preserve">         Depósitos del Gobierno en M/E</v>
          </cell>
          <cell r="C24">
            <v>2699.5916499999998</v>
          </cell>
          <cell r="D24">
            <v>2523.0224900000003</v>
          </cell>
          <cell r="E24">
            <v>2887.7678000000001</v>
          </cell>
          <cell r="F24">
            <v>9978.3606</v>
          </cell>
          <cell r="G24">
            <v>11527.83684</v>
          </cell>
          <cell r="H24">
            <v>15972.421680000001</v>
          </cell>
          <cell r="I24">
            <v>17839.408000000003</v>
          </cell>
          <cell r="J24">
            <v>18824.016</v>
          </cell>
          <cell r="K24">
            <v>17555.903999999999</v>
          </cell>
          <cell r="L24">
            <v>20592.088</v>
          </cell>
          <cell r="M24">
            <v>17726.192000000003</v>
          </cell>
          <cell r="N24">
            <v>19569.432000000001</v>
          </cell>
          <cell r="O24">
            <v>23571.896000000001</v>
          </cell>
          <cell r="P24">
            <v>30001.775999999998</v>
          </cell>
          <cell r="Q24">
            <v>17811.567999999999</v>
          </cell>
          <cell r="R24">
            <v>19631.144</v>
          </cell>
          <cell r="S24">
            <v>18047.512000000002</v>
          </cell>
          <cell r="T24">
            <v>22997.928</v>
          </cell>
          <cell r="U24">
            <v>33672.248</v>
          </cell>
          <cell r="V24">
            <v>37321.042459999997</v>
          </cell>
          <cell r="W24">
            <v>41570.538099999998</v>
          </cell>
          <cell r="X24">
            <v>45495.780199999994</v>
          </cell>
          <cell r="Y24">
            <v>40728.674496715401</v>
          </cell>
          <cell r="Z24">
            <v>97972.025925552996</v>
          </cell>
          <cell r="AA24">
            <v>52265.134376974995</v>
          </cell>
          <cell r="AB24">
            <v>41303.557941050596</v>
          </cell>
          <cell r="AC24">
            <v>40308.1254595344</v>
          </cell>
          <cell r="AD24">
            <v>37884.569642802999</v>
          </cell>
          <cell r="AE24">
            <v>36721.927260623801</v>
          </cell>
          <cell r="AF24">
            <v>37630.469191887001</v>
          </cell>
          <cell r="AG24">
            <v>37928.876801067199</v>
          </cell>
          <cell r="AH24">
            <v>38623.297585766399</v>
          </cell>
        </row>
        <row r="25">
          <cell r="B25" t="str">
            <v>Crédito neto a las entidades</v>
          </cell>
          <cell r="C25">
            <v>31365.994269999996</v>
          </cell>
          <cell r="D25">
            <v>24774.370119999992</v>
          </cell>
          <cell r="E25">
            <v>26611.881639999996</v>
          </cell>
          <cell r="F25">
            <v>23756.86462</v>
          </cell>
          <cell r="G25">
            <v>25505.270860000001</v>
          </cell>
          <cell r="H25">
            <v>26654.081599999998</v>
          </cell>
          <cell r="I25">
            <v>28124.187040000001</v>
          </cell>
          <cell r="J25">
            <v>27831.448079999998</v>
          </cell>
          <cell r="K25">
            <v>27790.59604</v>
          </cell>
          <cell r="L25">
            <v>11658.026039999999</v>
          </cell>
          <cell r="M25">
            <v>9672.5150599999997</v>
          </cell>
          <cell r="N25">
            <v>9516.2280200000005</v>
          </cell>
          <cell r="O25">
            <v>9534.6591000000008</v>
          </cell>
          <cell r="P25">
            <v>9569.3600200000001</v>
          </cell>
          <cell r="Q25">
            <v>9590.8790399999998</v>
          </cell>
          <cell r="R25">
            <v>9483.9730200000013</v>
          </cell>
          <cell r="S25">
            <v>9644.131040000002</v>
          </cell>
          <cell r="T25">
            <v>9375.8040199999996</v>
          </cell>
          <cell r="U25">
            <v>9741.0690600000016</v>
          </cell>
          <cell r="V25">
            <v>10506.732900000001</v>
          </cell>
          <cell r="W25">
            <v>10228.490580000002</v>
          </cell>
          <cell r="X25">
            <v>10174.237519999999</v>
          </cell>
          <cell r="Y25">
            <v>10481.682549542147</v>
          </cell>
          <cell r="Z25">
            <v>10497.177190576798</v>
          </cell>
          <cell r="AA25">
            <v>10418.312732615725</v>
          </cell>
          <cell r="AB25">
            <v>10461.568968792337</v>
          </cell>
          <cell r="AC25">
            <v>10498.133635186721</v>
          </cell>
          <cell r="AD25">
            <v>10481.235194647015</v>
          </cell>
          <cell r="AE25">
            <v>4687.4255912517192</v>
          </cell>
          <cell r="AF25">
            <v>10556.343142274798</v>
          </cell>
          <cell r="AG25">
            <v>10366.036928965399</v>
          </cell>
          <cell r="AH25">
            <v>10336.4287278018</v>
          </cell>
        </row>
        <row r="26">
          <cell r="B26" t="str">
            <v>Crédito bruto al sist. financiero</v>
          </cell>
          <cell r="C26">
            <v>22452.35801</v>
          </cell>
          <cell r="D26">
            <v>49908.469649999999</v>
          </cell>
          <cell r="E26">
            <v>50880.116999999991</v>
          </cell>
          <cell r="F26">
            <v>17282.72753</v>
          </cell>
          <cell r="G26">
            <v>18278.41057</v>
          </cell>
          <cell r="H26">
            <v>14658.616980000001</v>
          </cell>
          <cell r="I26">
            <v>15334.814979999999</v>
          </cell>
          <cell r="J26">
            <v>15209.46594</v>
          </cell>
          <cell r="K26">
            <v>15071.332949999998</v>
          </cell>
          <cell r="L26">
            <v>14955.978000000001</v>
          </cell>
          <cell r="M26">
            <v>14816.415000000001</v>
          </cell>
          <cell r="N26">
            <v>14579.43297</v>
          </cell>
          <cell r="O26">
            <v>14031.898950000001</v>
          </cell>
          <cell r="P26">
            <v>13954.198960000002</v>
          </cell>
          <cell r="Q26">
            <v>14031.405919999999</v>
          </cell>
          <cell r="R26">
            <v>13962.951979999998</v>
          </cell>
          <cell r="S26">
            <v>13761.94196</v>
          </cell>
          <cell r="T26">
            <v>13540.489959999999</v>
          </cell>
          <cell r="U26">
            <v>13278.194</v>
          </cell>
          <cell r="V26">
            <v>13900.71068</v>
          </cell>
          <cell r="W26">
            <v>13771.737000000001</v>
          </cell>
          <cell r="X26">
            <v>13629.93246</v>
          </cell>
          <cell r="Y26">
            <v>13942.4196246468</v>
          </cell>
          <cell r="Z26">
            <v>13505.1501496822</v>
          </cell>
          <cell r="AA26">
            <v>13259.068674496799</v>
          </cell>
          <cell r="AB26">
            <v>12687.5229155914</v>
          </cell>
          <cell r="AC26">
            <v>12743.768010234395</v>
          </cell>
          <cell r="AD26">
            <v>13262.694527457999</v>
          </cell>
          <cell r="AE26">
            <v>13015.889474340998</v>
          </cell>
          <cell r="AF26">
            <v>12535.682957328598</v>
          </cell>
          <cell r="AG26">
            <v>12363.144303446199</v>
          </cell>
          <cell r="AH26">
            <v>12113.2228653114</v>
          </cell>
        </row>
        <row r="27">
          <cell r="B27" t="str">
            <v xml:space="preserve">         Depósitos de los bancos en M/N</v>
          </cell>
          <cell r="C27">
            <v>49966.51</v>
          </cell>
          <cell r="D27">
            <v>64632.557000000001</v>
          </cell>
          <cell r="E27">
            <v>64632.557000000001</v>
          </cell>
          <cell r="F27">
            <v>49363.409</v>
          </cell>
          <cell r="G27">
            <v>49363.409</v>
          </cell>
          <cell r="H27">
            <v>44326.845000000001</v>
          </cell>
          <cell r="I27">
            <v>44326.845000000001</v>
          </cell>
          <cell r="J27">
            <v>45976.341999999997</v>
          </cell>
          <cell r="K27">
            <v>43482.101999999999</v>
          </cell>
          <cell r="L27">
            <v>53508.445</v>
          </cell>
          <cell r="M27">
            <v>48418.48</v>
          </cell>
          <cell r="N27">
            <v>40274.635999999999</v>
          </cell>
          <cell r="O27">
            <v>58227.385999999999</v>
          </cell>
          <cell r="P27">
            <v>49596.436000000002</v>
          </cell>
          <cell r="Q27">
            <v>71948.070000000007</v>
          </cell>
          <cell r="R27">
            <v>52314.449000000001</v>
          </cell>
          <cell r="S27">
            <v>43906.603999999999</v>
          </cell>
          <cell r="T27">
            <v>55496.593999999997</v>
          </cell>
          <cell r="U27">
            <v>49219.383000000002</v>
          </cell>
          <cell r="V27">
            <v>49219.383000000002</v>
          </cell>
          <cell r="W27">
            <v>56187.514999999999</v>
          </cell>
          <cell r="X27">
            <v>62576.163999999997</v>
          </cell>
          <cell r="Y27">
            <v>40319.337697039999</v>
          </cell>
          <cell r="Z27">
            <v>68647.985951790004</v>
          </cell>
          <cell r="AA27">
            <v>76376.584560339994</v>
          </cell>
          <cell r="AB27">
            <v>77666.350220199995</v>
          </cell>
          <cell r="AC27">
            <v>66526.409400279997</v>
          </cell>
          <cell r="AD27">
            <v>70711.487982830004</v>
          </cell>
          <cell r="AE27">
            <v>83070.513301190003</v>
          </cell>
          <cell r="AF27">
            <v>81721.278380749995</v>
          </cell>
          <cell r="AG27">
            <v>85465.880223959903</v>
          </cell>
          <cell r="AH27">
            <v>77558.053398909993</v>
          </cell>
        </row>
        <row r="28">
          <cell r="B28" t="str">
            <v xml:space="preserve">        Depósitos del resto del sistema financiero</v>
          </cell>
          <cell r="C28">
            <v>542.78093000000001</v>
          </cell>
          <cell r="D28">
            <v>693.59199999999998</v>
          </cell>
          <cell r="E28">
            <v>693.59199999999998</v>
          </cell>
          <cell r="F28">
            <v>619.52199999999993</v>
          </cell>
          <cell r="G28">
            <v>619.52199999999993</v>
          </cell>
          <cell r="H28">
            <v>727.92600000000004</v>
          </cell>
          <cell r="I28">
            <v>727.92600000000004</v>
          </cell>
          <cell r="J28">
            <v>677.67499999999995</v>
          </cell>
          <cell r="K28">
            <v>703.15199999999993</v>
          </cell>
          <cell r="L28">
            <v>865.37499999999989</v>
          </cell>
          <cell r="M28">
            <v>903.84599999999989</v>
          </cell>
          <cell r="N28">
            <v>927.58100000000002</v>
          </cell>
          <cell r="O28">
            <v>1058.0600000000002</v>
          </cell>
          <cell r="P28">
            <v>1188.626</v>
          </cell>
          <cell r="Q28">
            <v>1258.548</v>
          </cell>
          <cell r="R28">
            <v>1229.797</v>
          </cell>
          <cell r="S28">
            <v>1417.681</v>
          </cell>
          <cell r="T28">
            <v>1310.2260000000001</v>
          </cell>
          <cell r="U28">
            <v>4972.3890000000001</v>
          </cell>
          <cell r="V28">
            <v>4972.3890000000001</v>
          </cell>
          <cell r="W28">
            <v>5173.3279999999995</v>
          </cell>
          <cell r="X28">
            <v>6371.4389999999994</v>
          </cell>
          <cell r="Y28">
            <v>14838.030408352401</v>
          </cell>
          <cell r="Z28">
            <v>10011.490718399999</v>
          </cell>
          <cell r="AA28">
            <v>11317.50057905</v>
          </cell>
          <cell r="AB28">
            <v>10604.9640655614</v>
          </cell>
          <cell r="AC28">
            <v>12174.5070372766</v>
          </cell>
          <cell r="AD28">
            <v>12583.7987327786</v>
          </cell>
          <cell r="AE28">
            <v>13493.8511469886</v>
          </cell>
          <cell r="AF28">
            <v>14379.782258828598</v>
          </cell>
          <cell r="AG28">
            <v>14623.7052244512</v>
          </cell>
          <cell r="AH28">
            <v>15495.706150362001</v>
          </cell>
        </row>
        <row r="29">
          <cell r="B29" t="str">
            <v>Depósitos bancos en M/E</v>
          </cell>
          <cell r="C29">
            <v>93947.674499999994</v>
          </cell>
          <cell r="D29">
            <v>106292.12087999999</v>
          </cell>
          <cell r="E29">
            <v>121658.4336</v>
          </cell>
          <cell r="F29">
            <v>142229.17180000001</v>
          </cell>
          <cell r="G29">
            <v>164315.03652000002</v>
          </cell>
          <cell r="H29">
            <v>192090.93948</v>
          </cell>
          <cell r="I29">
            <v>214544.08799999999</v>
          </cell>
          <cell r="J29">
            <v>224854.864</v>
          </cell>
          <cell r="K29">
            <v>221969.712</v>
          </cell>
          <cell r="L29">
            <v>226268.44</v>
          </cell>
          <cell r="M29">
            <v>224904.74400000001</v>
          </cell>
          <cell r="N29">
            <v>233473.432</v>
          </cell>
          <cell r="O29">
            <v>243653.128</v>
          </cell>
          <cell r="P29">
            <v>236153.26400000002</v>
          </cell>
          <cell r="Q29">
            <v>241423.60800000004</v>
          </cell>
          <cell r="R29">
            <v>246741.28</v>
          </cell>
          <cell r="S29">
            <v>240254.09599999999</v>
          </cell>
          <cell r="T29">
            <v>228978.43199999997</v>
          </cell>
          <cell r="U29">
            <v>233061.864</v>
          </cell>
          <cell r="V29">
            <v>258316.92977999998</v>
          </cell>
          <cell r="W29">
            <v>263969.38125999999</v>
          </cell>
          <cell r="X29">
            <v>253422.01274000001</v>
          </cell>
          <cell r="Y29">
            <v>272443.9651351964</v>
          </cell>
          <cell r="Z29">
            <v>277979.30452159914</v>
          </cell>
          <cell r="AA29">
            <v>274989.55858536734</v>
          </cell>
          <cell r="AB29">
            <v>285253.50249113637</v>
          </cell>
          <cell r="AC29">
            <v>295430.40199721878</v>
          </cell>
          <cell r="AD29">
            <v>300670.10696762777</v>
          </cell>
          <cell r="AE29">
            <v>296735.22319761576</v>
          </cell>
          <cell r="AF29">
            <v>288201.16167043243</v>
          </cell>
          <cell r="AG29">
            <v>251923.38129535978</v>
          </cell>
          <cell r="AH29">
            <v>226286.14945494218</v>
          </cell>
        </row>
        <row r="30">
          <cell r="B30" t="str">
            <v>Cuentas de déficit</v>
          </cell>
          <cell r="C30">
            <v>167048.06269999998</v>
          </cell>
          <cell r="D30">
            <v>185859.06269999998</v>
          </cell>
          <cell r="E30">
            <v>185859.06269999998</v>
          </cell>
          <cell r="F30">
            <v>216389.06269999998</v>
          </cell>
          <cell r="G30">
            <v>216389.06269999998</v>
          </cell>
          <cell r="H30">
            <v>255290.06269999998</v>
          </cell>
          <cell r="I30">
            <v>255290.06269999998</v>
          </cell>
          <cell r="J30">
            <v>253379.36269999997</v>
          </cell>
          <cell r="K30">
            <v>252628.76269999999</v>
          </cell>
          <cell r="L30">
            <v>249551.26269999999</v>
          </cell>
          <cell r="M30">
            <v>248833.56269999998</v>
          </cell>
          <cell r="N30">
            <v>247925.96269999997</v>
          </cell>
          <cell r="O30">
            <v>245720.46269999997</v>
          </cell>
          <cell r="P30">
            <v>245250.46269999997</v>
          </cell>
          <cell r="Q30">
            <v>244135.06269999998</v>
          </cell>
          <cell r="R30">
            <v>243347.76269999999</v>
          </cell>
          <cell r="S30">
            <v>243843.16269999999</v>
          </cell>
          <cell r="T30">
            <v>243602.46269999997</v>
          </cell>
          <cell r="U30">
            <v>243955.46269999997</v>
          </cell>
          <cell r="V30">
            <v>243955.46269999997</v>
          </cell>
          <cell r="W30">
            <v>241171.16269999999</v>
          </cell>
          <cell r="X30">
            <v>240106.47269999998</v>
          </cell>
          <cell r="Y30">
            <v>240999.46269999997</v>
          </cell>
          <cell r="Z30">
            <v>241885.46269999997</v>
          </cell>
          <cell r="AA30">
            <v>243426.46269999997</v>
          </cell>
          <cell r="AB30">
            <v>244178.46269999997</v>
          </cell>
          <cell r="AC30">
            <v>245717.46269999997</v>
          </cell>
          <cell r="AD30">
            <v>247133.46269999997</v>
          </cell>
          <cell r="AE30">
            <v>247869.46269999997</v>
          </cell>
          <cell r="AF30">
            <v>249052.46269999997</v>
          </cell>
          <cell r="AG30">
            <v>251988.46269999997</v>
          </cell>
          <cell r="AH30">
            <v>253789.46269999997</v>
          </cell>
        </row>
        <row r="31">
          <cell r="B31" t="str">
            <v>Resto otros activos no clasif.</v>
          </cell>
          <cell r="C31">
            <v>73211.629829999976</v>
          </cell>
          <cell r="D31">
            <v>90256.769576999985</v>
          </cell>
          <cell r="E31">
            <v>108760.80944699998</v>
          </cell>
          <cell r="F31">
            <v>136425.10504000002</v>
          </cell>
          <cell r="G31">
            <v>156843.65715999997</v>
          </cell>
          <cell r="H31">
            <v>-9964.6047179999878</v>
          </cell>
          <cell r="I31">
            <v>8895.5311300000467</v>
          </cell>
          <cell r="J31">
            <v>12630.625084000058</v>
          </cell>
          <cell r="K31">
            <v>10419.81866800008</v>
          </cell>
          <cell r="L31">
            <v>8741.1413900000916</v>
          </cell>
          <cell r="M31">
            <v>9876.1350400001102</v>
          </cell>
          <cell r="N31">
            <v>14532.207640000037</v>
          </cell>
          <cell r="O31">
            <v>13332.848999999958</v>
          </cell>
          <cell r="P31">
            <v>14839.933519999962</v>
          </cell>
          <cell r="Q31">
            <v>13943.41644000003</v>
          </cell>
          <cell r="R31">
            <v>8230.5414800000435</v>
          </cell>
          <cell r="S31">
            <v>17855.011560000072</v>
          </cell>
          <cell r="T31">
            <v>19874.963540000026</v>
          </cell>
          <cell r="U31">
            <v>17716.983340000064</v>
          </cell>
          <cell r="V31">
            <v>32543.650300000067</v>
          </cell>
          <cell r="W31">
            <v>40013.106160000025</v>
          </cell>
          <cell r="X31">
            <v>40716.732280000055</v>
          </cell>
          <cell r="Y31">
            <v>38560.958594271768</v>
          </cell>
          <cell r="Z31">
            <v>36509.267264060356</v>
          </cell>
          <cell r="AA31">
            <v>35392.201590589189</v>
          </cell>
          <cell r="AB31">
            <v>38475.441461232549</v>
          </cell>
          <cell r="AC31">
            <v>41916.705673119082</v>
          </cell>
          <cell r="AD31">
            <v>40493.284132205154</v>
          </cell>
          <cell r="AE31">
            <v>41234.028624384926</v>
          </cell>
          <cell r="AF31">
            <v>35808.708312724135</v>
          </cell>
          <cell r="AG31">
            <v>38429.619152973319</v>
          </cell>
          <cell r="AH31">
            <v>28438.009716919216</v>
          </cell>
        </row>
        <row r="33">
          <cell r="A33" t="str">
            <v>cierre</v>
          </cell>
          <cell r="C33">
            <v>0</v>
          </cell>
          <cell r="D33">
            <v>212.37548300001072</v>
          </cell>
          <cell r="E33">
            <v>212.37548299995251</v>
          </cell>
          <cell r="F33">
            <v>62.37548299995251</v>
          </cell>
          <cell r="G33">
            <v>62.375483000068925</v>
          </cell>
          <cell r="H33">
            <v>0</v>
          </cell>
          <cell r="I33">
            <v>0</v>
          </cell>
          <cell r="J33">
            <v>0</v>
          </cell>
          <cell r="K33">
            <v>0</v>
          </cell>
          <cell r="L33">
            <v>0</v>
          </cell>
          <cell r="M33">
            <v>0</v>
          </cell>
          <cell r="N33">
            <v>0</v>
          </cell>
          <cell r="O33">
            <v>0</v>
          </cell>
          <cell r="P33">
            <v>0</v>
          </cell>
          <cell r="Q33">
            <v>0</v>
          </cell>
          <cell r="R33">
            <v>-1.1799999047070742E-3</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7">
          <cell r="A37" t="str">
            <v>VARIACIONES ACUMULADAS</v>
          </cell>
        </row>
        <row r="39">
          <cell r="A39" t="str">
            <v>OPERACIONES DE MERCADO ABIERTO</v>
          </cell>
        </row>
        <row r="41">
          <cell r="A41" t="str">
            <v>EMISION MONETARIA</v>
          </cell>
        </row>
        <row r="43">
          <cell r="A43" t="str">
            <v>ACTIVOS EXTERNOS NETOS</v>
          </cell>
        </row>
        <row r="45">
          <cell r="B45" t="str">
            <v>RIN  ¢</v>
          </cell>
        </row>
        <row r="46">
          <cell r="B46" t="str">
            <v xml:space="preserve">       $</v>
          </cell>
        </row>
        <row r="47">
          <cell r="B47" t="str">
            <v>Endeud. ext. ¢</v>
          </cell>
        </row>
        <row r="48">
          <cell r="B48" t="str">
            <v xml:space="preserve">       $</v>
          </cell>
        </row>
        <row r="50">
          <cell r="A50" t="str">
            <v>OTROS ACTIVOS NETOS</v>
          </cell>
        </row>
        <row r="52">
          <cell r="B52" t="str">
            <v>Crédito bruto al Gob.</v>
          </cell>
        </row>
        <row r="53">
          <cell r="B53" t="str">
            <v xml:space="preserve">          Depósitos del Gobierno en M/N</v>
          </cell>
        </row>
        <row r="54">
          <cell r="B54" t="str">
            <v xml:space="preserve">         Depósitos del Gobierno en M/E</v>
          </cell>
        </row>
        <row r="55">
          <cell r="B55" t="str">
            <v>Crédito neto a las entidades</v>
          </cell>
        </row>
        <row r="56">
          <cell r="B56" t="str">
            <v>Crédito bruto al sist. financiero</v>
          </cell>
        </row>
        <row r="57">
          <cell r="B57" t="str">
            <v xml:space="preserve">         Depósitos de los bancos en M/N</v>
          </cell>
        </row>
        <row r="58">
          <cell r="B58" t="str">
            <v xml:space="preserve">        Depósitos del resto del sistema financiero</v>
          </cell>
        </row>
        <row r="59">
          <cell r="B59" t="str">
            <v>Depósitos bancos en M/E</v>
          </cell>
        </row>
        <row r="60">
          <cell r="B60" t="str">
            <v>Cuentas de déficit</v>
          </cell>
        </row>
        <row r="61">
          <cell r="B61" t="str">
            <v>Resto otros activos no clasif.</v>
          </cell>
        </row>
        <row r="63">
          <cell r="A63" t="str">
            <v>cierre</v>
          </cell>
        </row>
        <row r="66">
          <cell r="A66" t="str">
            <v>VARIACIONES MENSUALES</v>
          </cell>
        </row>
        <row r="68">
          <cell r="A68" t="str">
            <v>OPERACIONES DE MERCADO ABIERTO</v>
          </cell>
        </row>
        <row r="70">
          <cell r="A70" t="str">
            <v>EMISION MONETARIA</v>
          </cell>
        </row>
        <row r="72">
          <cell r="A72" t="str">
            <v>ACTIVOS EXTERNOS NETOS</v>
          </cell>
        </row>
        <row r="81">
          <cell r="B81" t="str">
            <v>Crédito al Gob.</v>
          </cell>
        </row>
        <row r="82">
          <cell r="B82" t="str">
            <v xml:space="preserve">          Depósitos del Gobierno en M/N</v>
          </cell>
        </row>
        <row r="83">
          <cell r="B83" t="str">
            <v xml:space="preserve">         Depósitos del Gobierno en M/E</v>
          </cell>
        </row>
        <row r="84">
          <cell r="B84" t="str">
            <v>Crédito neto a las entidades</v>
          </cell>
        </row>
        <row r="85">
          <cell r="B85" t="str">
            <v>Crédito bruto al sist. financiero</v>
          </cell>
        </row>
        <row r="86">
          <cell r="B86" t="str">
            <v xml:space="preserve">         Depósitos de los bancos en M/N</v>
          </cell>
        </row>
        <row r="87">
          <cell r="B87" t="str">
            <v xml:space="preserve">        Depósitos del resto del sistema financiero</v>
          </cell>
        </row>
        <row r="88">
          <cell r="B88" t="str">
            <v>Depósitos bancos en M/E</v>
          </cell>
        </row>
        <row r="89">
          <cell r="B89" t="str">
            <v>Cuentas de déficit</v>
          </cell>
        </row>
        <row r="90">
          <cell r="B90" t="str">
            <v>Resto otros activos no clasif.</v>
          </cell>
        </row>
        <row r="92">
          <cell r="A92" t="str">
            <v>cierre</v>
          </cell>
        </row>
      </sheetData>
      <sheetData sheetId="18" refreshError="1">
        <row r="7">
          <cell r="A7" t="str">
            <v>BANCO CENTRAL DE COSTA RICA</v>
          </cell>
        </row>
        <row r="8">
          <cell r="A8" t="str">
            <v>CUENTAS MONETARIAS</v>
          </cell>
        </row>
        <row r="9">
          <cell r="A9" t="str">
            <v>SALDOS EN MILLONES</v>
          </cell>
        </row>
        <row r="12">
          <cell r="A12" t="str">
            <v>ACTIVOS</v>
          </cell>
          <cell r="C12">
            <v>626851.46419999993</v>
          </cell>
          <cell r="D12">
            <v>679671.83837999997</v>
          </cell>
          <cell r="E12">
            <v>729439.98582000006</v>
          </cell>
          <cell r="F12">
            <v>801943.42642700009</v>
          </cell>
          <cell r="G12">
            <v>864729.36402699992</v>
          </cell>
          <cell r="H12">
            <v>1008119.3563799999</v>
          </cell>
          <cell r="I12">
            <v>1063876.3125800001</v>
          </cell>
          <cell r="J12">
            <v>1056083.662644</v>
          </cell>
          <cell r="K12">
            <v>1060343.239668</v>
          </cell>
          <cell r="L12">
            <v>1081003.58654</v>
          </cell>
          <cell r="M12">
            <v>1078675.1833200001</v>
          </cell>
          <cell r="N12">
            <v>1079638.6306</v>
          </cell>
          <cell r="O12">
            <v>1101464.3697000002</v>
          </cell>
          <cell r="P12">
            <v>1108485.5464900001</v>
          </cell>
          <cell r="Q12">
            <v>1115020.8055400001</v>
          </cell>
          <cell r="R12">
            <v>1138748.9405700001</v>
          </cell>
          <cell r="S12">
            <v>1122995.8708000001</v>
          </cell>
          <cell r="T12">
            <v>1130630.80064</v>
          </cell>
          <cell r="U12">
            <v>1170618.5346400002</v>
          </cell>
          <cell r="V12">
            <v>1228413.7102600001</v>
          </cell>
          <cell r="W12">
            <v>1208752.1277399999</v>
          </cell>
          <cell r="X12">
            <v>1200601.8180800001</v>
          </cell>
          <cell r="Y12">
            <v>1215874.836714302</v>
          </cell>
          <cell r="Z12">
            <v>1277050.6270698239</v>
          </cell>
          <cell r="AA12">
            <v>1246755.4399566723</v>
          </cell>
          <cell r="AB12">
            <v>1237857.1233200117</v>
          </cell>
          <cell r="AC12">
            <v>1219964.2679861828</v>
          </cell>
          <cell r="AD12">
            <v>1217872.8074250619</v>
          </cell>
          <cell r="AE12">
            <v>1206868.6106374762</v>
          </cell>
          <cell r="AF12">
            <v>1221506.4492293454</v>
          </cell>
          <cell r="AG12">
            <v>1214412.1199201019</v>
          </cell>
          <cell r="AH12">
            <v>1247394.8827124257</v>
          </cell>
          <cell r="AI12">
            <v>1303492.2395685548</v>
          </cell>
          <cell r="AJ12">
            <v>1300551.2800182325</v>
          </cell>
          <cell r="AK12">
            <v>1317765.5269389728</v>
          </cell>
          <cell r="AL12">
            <v>1343858.7421458652</v>
          </cell>
          <cell r="AM12">
            <v>1373649.6230351662</v>
          </cell>
          <cell r="AN12">
            <v>1463074.3328331765</v>
          </cell>
          <cell r="AO12">
            <v>1473696.9064647802</v>
          </cell>
          <cell r="AP12">
            <v>1481375.7175920843</v>
          </cell>
          <cell r="AQ12">
            <v>1482883.006383314</v>
          </cell>
          <cell r="AR12">
            <v>1475831.0346112521</v>
          </cell>
          <cell r="AS12">
            <v>1475136.9394948613</v>
          </cell>
          <cell r="AT12">
            <v>1467595.106075885</v>
          </cell>
          <cell r="AU12">
            <v>1511723.9176269798</v>
          </cell>
        </row>
        <row r="14">
          <cell r="A14" t="str">
            <v>Reservas internacionales netas</v>
          </cell>
          <cell r="C14">
            <v>135486.19774999999</v>
          </cell>
          <cell r="D14">
            <v>119003.37241</v>
          </cell>
          <cell r="E14">
            <v>136207.31020000001</v>
          </cell>
          <cell r="F14">
            <v>177303.17134000006</v>
          </cell>
          <cell r="G14">
            <v>204835.45467600005</v>
          </cell>
          <cell r="H14">
            <v>192085.41412800003</v>
          </cell>
          <cell r="I14">
            <v>214537.91680000004</v>
          </cell>
          <cell r="J14">
            <v>205621.06639999998</v>
          </cell>
          <cell r="K14">
            <v>206178.74800000002</v>
          </cell>
          <cell r="L14">
            <v>225178.50399999999</v>
          </cell>
          <cell r="M14">
            <v>219220.74400000001</v>
          </cell>
          <cell r="N14">
            <v>216153.24000000005</v>
          </cell>
          <cell r="O14">
            <v>237660.56799999997</v>
          </cell>
          <cell r="P14">
            <v>239779.42400000003</v>
          </cell>
          <cell r="Q14">
            <v>243388.41599999994</v>
          </cell>
          <cell r="R14">
            <v>254288.93599999996</v>
          </cell>
          <cell r="S14">
            <v>231369.19199999998</v>
          </cell>
          <cell r="T14">
            <v>233049.80000000002</v>
          </cell>
          <cell r="U14">
            <v>264562.82400000002</v>
          </cell>
          <cell r="V14">
            <v>293231.39898</v>
          </cell>
          <cell r="W14">
            <v>265058.88344000001</v>
          </cell>
          <cell r="X14">
            <v>251751.88844000004</v>
          </cell>
          <cell r="Y14">
            <v>265617.1576187305</v>
          </cell>
          <cell r="Z14">
            <v>322491.91912252642</v>
          </cell>
          <cell r="AA14">
            <v>288371.17448409583</v>
          </cell>
          <cell r="AB14">
            <v>276581.39499603916</v>
          </cell>
          <cell r="AC14">
            <v>254882.87920539608</v>
          </cell>
          <cell r="AD14">
            <v>248261.44537518051</v>
          </cell>
          <cell r="AE14">
            <v>232282.60792186545</v>
          </cell>
          <cell r="AF14">
            <v>242464.44264419388</v>
          </cell>
          <cell r="AG14">
            <v>228688.06133461115</v>
          </cell>
          <cell r="AH14">
            <v>254953.52695641437</v>
          </cell>
          <cell r="AI14">
            <v>279602.14125265949</v>
          </cell>
          <cell r="AJ14">
            <v>269932.83571514557</v>
          </cell>
          <cell r="AK14">
            <v>281976.33156863524</v>
          </cell>
          <cell r="AL14">
            <v>302981.72926675307</v>
          </cell>
          <cell r="AM14">
            <v>325764.67287072301</v>
          </cell>
          <cell r="AN14">
            <v>407467.61178325186</v>
          </cell>
          <cell r="AO14">
            <v>409334.61074187391</v>
          </cell>
          <cell r="AP14">
            <v>410618.2557263776</v>
          </cell>
          <cell r="AQ14">
            <v>403974.03910332778</v>
          </cell>
          <cell r="AR14">
            <v>387722.68572717789</v>
          </cell>
          <cell r="AS14">
            <v>378006.38234333228</v>
          </cell>
          <cell r="AT14">
            <v>380479.47924543277</v>
          </cell>
          <cell r="AU14">
            <v>414919.76389257389</v>
          </cell>
        </row>
        <row r="15">
          <cell r="A15" t="str">
            <v>Crédito bruto a Gobierno</v>
          </cell>
          <cell r="C15">
            <v>50171.542669999995</v>
          </cell>
          <cell r="D15">
            <v>66108.265799999994</v>
          </cell>
          <cell r="E15">
            <v>72224.523000000001</v>
          </cell>
          <cell r="F15">
            <v>90122.687063999998</v>
          </cell>
          <cell r="G15">
            <v>96575.255927999999</v>
          </cell>
          <cell r="H15">
            <v>279446.06002999994</v>
          </cell>
          <cell r="I15">
            <v>286951.51791</v>
          </cell>
          <cell r="J15">
            <v>290198.74291999999</v>
          </cell>
          <cell r="K15">
            <v>295826.29991</v>
          </cell>
          <cell r="L15">
            <v>317477.29590999999</v>
          </cell>
          <cell r="M15">
            <v>324762.39698000002</v>
          </cell>
          <cell r="N15">
            <v>330250.81390999997</v>
          </cell>
          <cell r="O15">
            <v>335366.90299999999</v>
          </cell>
          <cell r="P15">
            <v>339484.52193000005</v>
          </cell>
          <cell r="Q15">
            <v>344554.27697000001</v>
          </cell>
          <cell r="R15">
            <v>350012.95192000002</v>
          </cell>
          <cell r="S15">
            <v>350125.86196000001</v>
          </cell>
          <cell r="T15">
            <v>354046.14491999999</v>
          </cell>
          <cell r="U15">
            <v>359972.48</v>
          </cell>
          <cell r="V15">
            <v>368512.26146000001</v>
          </cell>
          <cell r="W15">
            <v>372226.16160000005</v>
          </cell>
          <cell r="X15">
            <v>377333.01226000005</v>
          </cell>
          <cell r="Y15">
            <v>382641.27903887455</v>
          </cell>
          <cell r="Z15">
            <v>388456.07242504682</v>
          </cell>
          <cell r="AA15">
            <v>393072.03427307081</v>
          </cell>
          <cell r="AB15">
            <v>392463.74402452301</v>
          </cell>
          <cell r="AC15">
            <v>394353.29772792873</v>
          </cell>
          <cell r="AD15">
            <v>397339.9552518428</v>
          </cell>
          <cell r="AE15">
            <v>401491.2657344726</v>
          </cell>
          <cell r="AF15">
            <v>404516.53643493913</v>
          </cell>
          <cell r="AG15">
            <v>406599.07548335363</v>
          </cell>
          <cell r="AH15">
            <v>410237.75516589615</v>
          </cell>
          <cell r="AI15">
            <v>418868.17917541997</v>
          </cell>
          <cell r="AJ15">
            <v>418445.29419375001</v>
          </cell>
          <cell r="AK15">
            <v>419215.83314755996</v>
          </cell>
          <cell r="AL15">
            <v>419995.39741202997</v>
          </cell>
          <cell r="AM15">
            <v>423129.6956115163</v>
          </cell>
          <cell r="AN15">
            <v>425646.34116271435</v>
          </cell>
          <cell r="AO15">
            <v>429239.57216198009</v>
          </cell>
          <cell r="AP15">
            <v>432163.44512243103</v>
          </cell>
          <cell r="AQ15">
            <v>419617.10415613884</v>
          </cell>
          <cell r="AR15">
            <v>419753.93557434133</v>
          </cell>
          <cell r="AS15">
            <v>420838.00977614225</v>
          </cell>
          <cell r="AT15">
            <v>304705.62686785607</v>
          </cell>
          <cell r="AU15">
            <v>310111.71707922441</v>
          </cell>
        </row>
        <row r="16">
          <cell r="A16" t="str">
            <v>Crédito bruto a Entidades</v>
          </cell>
          <cell r="C16">
            <v>31928.182589999997</v>
          </cell>
          <cell r="D16">
            <v>25285.232339999995</v>
          </cell>
          <cell r="E16">
            <v>27123.061799999996</v>
          </cell>
          <cell r="F16">
            <v>24829.836799999997</v>
          </cell>
          <cell r="G16">
            <v>26578.63392</v>
          </cell>
          <cell r="H16">
            <v>27018.969639999999</v>
          </cell>
          <cell r="I16">
            <v>28489.415000000001</v>
          </cell>
          <cell r="J16">
            <v>28177.105</v>
          </cell>
          <cell r="K16">
            <v>28186.087</v>
          </cell>
          <cell r="L16">
            <v>11989.281999999999</v>
          </cell>
          <cell r="M16">
            <v>10020.903999999999</v>
          </cell>
          <cell r="N16">
            <v>9857.7530000000006</v>
          </cell>
          <cell r="O16">
            <v>9895.99</v>
          </cell>
          <cell r="P16">
            <v>9933.7099999999991</v>
          </cell>
          <cell r="Q16">
            <v>9916.8379999999997</v>
          </cell>
          <cell r="R16">
            <v>9955.393</v>
          </cell>
          <cell r="S16">
            <v>9994.4880000000012</v>
          </cell>
          <cell r="T16">
            <v>9723.7999999999993</v>
          </cell>
          <cell r="U16">
            <v>9761.6910000000007</v>
          </cell>
          <cell r="V16">
            <v>10527.7068</v>
          </cell>
          <cell r="W16">
            <v>10569.902480000001</v>
          </cell>
          <cell r="X16">
            <v>10548.327439999999</v>
          </cell>
          <cell r="Y16">
            <v>10590.760725055201</v>
          </cell>
          <cell r="Z16">
            <v>10631.318461515599</v>
          </cell>
          <cell r="AA16">
            <v>10447.0362928096</v>
          </cell>
          <cell r="AB16">
            <v>10487.095870818401</v>
          </cell>
          <cell r="AC16">
            <v>10527.918776631399</v>
          </cell>
          <cell r="AD16">
            <v>10506.647116677399</v>
          </cell>
          <cell r="AE16">
            <v>10547.5601140608</v>
          </cell>
          <cell r="AF16">
            <v>10582.776920783999</v>
          </cell>
          <cell r="AG16">
            <v>10395.597347414599</v>
          </cell>
          <cell r="AH16">
            <v>10435.5872327692</v>
          </cell>
          <cell r="AI16">
            <v>11183.545299040001</v>
          </cell>
          <cell r="AJ16">
            <v>11225.960998119999</v>
          </cell>
          <cell r="AK16">
            <v>11200.95917152</v>
          </cell>
          <cell r="AL16">
            <v>11243.991043419999</v>
          </cell>
          <cell r="AM16">
            <v>11286.697926721346</v>
          </cell>
          <cell r="AN16">
            <v>11083.04960271046</v>
          </cell>
          <cell r="AO16">
            <v>11125.455036879999</v>
          </cell>
          <cell r="AP16">
            <v>11170.039203790508</v>
          </cell>
          <cell r="AQ16">
            <v>11107.959524199623</v>
          </cell>
          <cell r="AR16">
            <v>11144.605013901297</v>
          </cell>
          <cell r="AS16">
            <v>11184.156320491345</v>
          </cell>
          <cell r="AT16">
            <v>9851.4638319692276</v>
          </cell>
          <cell r="AU16">
            <v>9890.0376672614457</v>
          </cell>
        </row>
        <row r="17">
          <cell r="A17" t="str">
            <v>Crédito bruto a Bancos</v>
          </cell>
          <cell r="C17">
            <v>18867.039919999999</v>
          </cell>
          <cell r="D17">
            <v>46702.828699999998</v>
          </cell>
          <cell r="E17">
            <v>47373.454999999994</v>
          </cell>
          <cell r="F17">
            <v>14364.48013</v>
          </cell>
          <cell r="G17">
            <v>15074.45781</v>
          </cell>
          <cell r="H17">
            <v>11530.089980000001</v>
          </cell>
          <cell r="I17">
            <v>11959.23898</v>
          </cell>
          <cell r="J17">
            <v>11822.81394</v>
          </cell>
          <cell r="K17">
            <v>11694.076949999999</v>
          </cell>
          <cell r="L17">
            <v>11567.485000000001</v>
          </cell>
          <cell r="M17">
            <v>11482.532000000001</v>
          </cell>
          <cell r="N17">
            <v>11243.73797</v>
          </cell>
          <cell r="O17">
            <v>10685.22695</v>
          </cell>
          <cell r="P17">
            <v>10596.534960000001</v>
          </cell>
          <cell r="Q17">
            <v>10682.98792</v>
          </cell>
          <cell r="R17">
            <v>10603.394979999999</v>
          </cell>
          <cell r="S17">
            <v>10455.999960000001</v>
          </cell>
          <cell r="T17">
            <v>10233.39896</v>
          </cell>
          <cell r="U17">
            <v>9961.494999999999</v>
          </cell>
          <cell r="V17">
            <v>10327.608819999999</v>
          </cell>
          <cell r="W17">
            <v>10271.736500000001</v>
          </cell>
          <cell r="X17">
            <v>10139.34296</v>
          </cell>
          <cell r="Y17">
            <v>10092.3208381604</v>
          </cell>
          <cell r="Z17">
            <v>10256.3841211734</v>
          </cell>
          <cell r="AA17">
            <v>9999.3878837410011</v>
          </cell>
          <cell r="AB17">
            <v>9424.3802778558002</v>
          </cell>
          <cell r="AC17">
            <v>9457.7565765217987</v>
          </cell>
          <cell r="AD17">
            <v>9973.427455735</v>
          </cell>
          <cell r="AE17">
            <v>9703.8726013960004</v>
          </cell>
          <cell r="AF17">
            <v>9262.7739409496007</v>
          </cell>
          <cell r="AG17">
            <v>9079.5128640976</v>
          </cell>
          <cell r="AH17">
            <v>8826.5887951168006</v>
          </cell>
          <cell r="AI17">
            <v>9184.4990882000002</v>
          </cell>
          <cell r="AJ17">
            <v>9138.9626925499997</v>
          </cell>
          <cell r="AK17">
            <v>9000.2440629599987</v>
          </cell>
          <cell r="AL17">
            <v>8592.1078198499999</v>
          </cell>
          <cell r="AM17">
            <v>8582.4769732599998</v>
          </cell>
          <cell r="AN17">
            <v>9039.2073122199999</v>
          </cell>
          <cell r="AO17">
            <v>8533.5817989399984</v>
          </cell>
          <cell r="AP17">
            <v>8494.7052439799991</v>
          </cell>
          <cell r="AQ17">
            <v>8493.0770345599994</v>
          </cell>
          <cell r="AR17">
            <v>8435.2729648200002</v>
          </cell>
          <cell r="AS17">
            <v>8370.6312397700003</v>
          </cell>
          <cell r="AT17">
            <v>8123.5309896900008</v>
          </cell>
          <cell r="AU17">
            <v>7823.3490562999996</v>
          </cell>
        </row>
        <row r="18">
          <cell r="A18" t="str">
            <v>Crédito bruto a Sector financiero no bancario</v>
          </cell>
          <cell r="C18">
            <v>3585.3180899999998</v>
          </cell>
          <cell r="D18">
            <v>3205.64095</v>
          </cell>
          <cell r="E18">
            <v>3506.6619999999998</v>
          </cell>
          <cell r="F18">
            <v>2918.2474000000002</v>
          </cell>
          <cell r="G18">
            <v>3203.9527600000001</v>
          </cell>
          <cell r="H18">
            <v>3128.527</v>
          </cell>
          <cell r="I18">
            <v>3375.576</v>
          </cell>
          <cell r="J18">
            <v>3386.652</v>
          </cell>
          <cell r="K18">
            <v>3377.2559999999999</v>
          </cell>
          <cell r="L18">
            <v>3388.4930000000004</v>
          </cell>
          <cell r="M18">
            <v>3333.8829999999998</v>
          </cell>
          <cell r="N18">
            <v>3335.6949999999997</v>
          </cell>
          <cell r="O18">
            <v>3346.672</v>
          </cell>
          <cell r="P18">
            <v>3357.6639999999998</v>
          </cell>
          <cell r="Q18">
            <v>3348.4179999999997</v>
          </cell>
          <cell r="R18">
            <v>3359.5569999999998</v>
          </cell>
          <cell r="S18">
            <v>3305.942</v>
          </cell>
          <cell r="T18">
            <v>3307.0909999999994</v>
          </cell>
          <cell r="U18">
            <v>3316.6990000000001</v>
          </cell>
          <cell r="V18">
            <v>3573.1018599999998</v>
          </cell>
          <cell r="W18">
            <v>3500.0004999999996</v>
          </cell>
          <cell r="X18">
            <v>3490.5894999999996</v>
          </cell>
          <cell r="Y18">
            <v>3850.0987864863996</v>
          </cell>
          <cell r="Z18">
            <v>3248.7660285088</v>
          </cell>
          <cell r="AA18">
            <v>3259.6807907557973</v>
          </cell>
          <cell r="AB18">
            <v>3263.1426377355997</v>
          </cell>
          <cell r="AC18">
            <v>3286.011433712597</v>
          </cell>
          <cell r="AD18">
            <v>3289.2670717229998</v>
          </cell>
          <cell r="AE18">
            <v>3312.016872944997</v>
          </cell>
          <cell r="AF18">
            <v>3272.9090163789974</v>
          </cell>
          <cell r="AG18">
            <v>3283.6314393485995</v>
          </cell>
          <cell r="AH18">
            <v>3286.6340701946001</v>
          </cell>
          <cell r="AI18">
            <v>3519.5938335100004</v>
          </cell>
          <cell r="AJ18">
            <v>3524.5387122999991</v>
          </cell>
          <cell r="AK18">
            <v>3528.5698697900002</v>
          </cell>
          <cell r="AL18">
            <v>3552.0752321599971</v>
          </cell>
          <cell r="AM18">
            <v>3514.80362977</v>
          </cell>
          <cell r="AN18">
            <v>3524.3113738900001</v>
          </cell>
          <cell r="AO18">
            <v>3547.4290614699999</v>
          </cell>
          <cell r="AP18">
            <v>3569.6913394100002</v>
          </cell>
          <cell r="AQ18">
            <v>3577.8699746299972</v>
          </cell>
          <cell r="AR18">
            <v>3600.3083629999969</v>
          </cell>
          <cell r="AS18">
            <v>3565.0302076600001</v>
          </cell>
          <cell r="AT18">
            <v>3242.6757346200002</v>
          </cell>
          <cell r="AU18">
            <v>3265.5813595600002</v>
          </cell>
        </row>
        <row r="19">
          <cell r="A19" t="str">
            <v>Credito Sector Privado</v>
          </cell>
          <cell r="C19">
            <v>0</v>
          </cell>
          <cell r="D19">
            <v>0</v>
          </cell>
          <cell r="E19">
            <v>0</v>
          </cell>
          <cell r="F19">
            <v>23636.029256000002</v>
          </cell>
          <cell r="G19">
            <v>25196.165352</v>
          </cell>
          <cell r="H19">
            <v>13005.9</v>
          </cell>
          <cell r="I19">
            <v>13005.9</v>
          </cell>
          <cell r="J19">
            <v>13005.9</v>
          </cell>
          <cell r="K19">
            <v>13005.9</v>
          </cell>
          <cell r="L19">
            <v>13005.9</v>
          </cell>
          <cell r="M19">
            <v>13005.9</v>
          </cell>
          <cell r="N19">
            <v>13005.9</v>
          </cell>
          <cell r="O19">
            <v>13005.9</v>
          </cell>
          <cell r="P19">
            <v>13005.9</v>
          </cell>
          <cell r="Q19">
            <v>13005.9</v>
          </cell>
          <cell r="R19">
            <v>13005.9</v>
          </cell>
          <cell r="S19">
            <v>13005.9</v>
          </cell>
          <cell r="T19">
            <v>13005.899999999998</v>
          </cell>
          <cell r="U19">
            <v>12181</v>
          </cell>
          <cell r="V19">
            <v>12181</v>
          </cell>
          <cell r="W19">
            <v>12181</v>
          </cell>
          <cell r="X19">
            <v>12181</v>
          </cell>
          <cell r="Y19">
            <v>12181</v>
          </cell>
          <cell r="Z19">
            <v>12181</v>
          </cell>
          <cell r="AA19">
            <v>12181</v>
          </cell>
          <cell r="AB19">
            <v>12181</v>
          </cell>
          <cell r="AC19">
            <v>12181</v>
          </cell>
          <cell r="AD19">
            <v>12181</v>
          </cell>
          <cell r="AE19">
            <v>12181</v>
          </cell>
          <cell r="AF19">
            <v>12181</v>
          </cell>
          <cell r="AG19">
            <v>12181</v>
          </cell>
          <cell r="AH19">
            <v>12181</v>
          </cell>
          <cell r="AI19">
            <v>12181</v>
          </cell>
          <cell r="AJ19">
            <v>12181</v>
          </cell>
          <cell r="AK19">
            <v>12181</v>
          </cell>
          <cell r="AL19">
            <v>12181</v>
          </cell>
          <cell r="AM19">
            <v>12181</v>
          </cell>
          <cell r="AN19">
            <v>12181</v>
          </cell>
          <cell r="AO19">
            <v>12181</v>
          </cell>
          <cell r="AP19">
            <v>12181</v>
          </cell>
          <cell r="AQ19">
            <v>12181</v>
          </cell>
          <cell r="AR19">
            <v>12181</v>
          </cell>
          <cell r="AS19">
            <v>12181</v>
          </cell>
          <cell r="AT19">
            <v>12181</v>
          </cell>
          <cell r="AU19">
            <v>12181</v>
          </cell>
        </row>
        <row r="20">
          <cell r="A20" t="str">
            <v>Activos no clasificados</v>
          </cell>
          <cell r="C20">
            <v>51321.032779999994</v>
          </cell>
          <cell r="D20">
            <v>61767.929300000003</v>
          </cell>
          <cell r="E20">
            <v>67741.522280000005</v>
          </cell>
          <cell r="F20">
            <v>66359.831880000012</v>
          </cell>
          <cell r="G20">
            <v>74171.41791199999</v>
          </cell>
          <cell r="H20">
            <v>79493.914822000006</v>
          </cell>
          <cell r="I20">
            <v>86861.234069999991</v>
          </cell>
          <cell r="J20">
            <v>86716.46558399999</v>
          </cell>
          <cell r="K20">
            <v>86854.686440000005</v>
          </cell>
          <cell r="L20">
            <v>89310.68982</v>
          </cell>
          <cell r="M20">
            <v>89302.133879999994</v>
          </cell>
          <cell r="N20">
            <v>89810.572879999992</v>
          </cell>
          <cell r="O20">
            <v>89510.016900000002</v>
          </cell>
          <cell r="P20">
            <v>88830.171820000003</v>
          </cell>
          <cell r="Q20">
            <v>88830.575849999994</v>
          </cell>
          <cell r="R20">
            <v>89845.232859999989</v>
          </cell>
          <cell r="S20">
            <v>90522.035300000003</v>
          </cell>
          <cell r="T20">
            <v>90556.33898</v>
          </cell>
          <cell r="U20">
            <v>93250.128859999997</v>
          </cell>
          <cell r="V20">
            <v>101245.57904000001</v>
          </cell>
          <cell r="W20">
            <v>102858.84022000001</v>
          </cell>
          <cell r="X20">
            <v>103475.09643999999</v>
          </cell>
          <cell r="Y20">
            <v>103684.86405929679</v>
          </cell>
          <cell r="Z20">
            <v>104184.91026773179</v>
          </cell>
          <cell r="AA20">
            <v>104606.2527134704</v>
          </cell>
          <cell r="AB20">
            <v>104703.61297289218</v>
          </cell>
          <cell r="AC20">
            <v>105076.30114774458</v>
          </cell>
          <cell r="AD20">
            <v>105717.33190753299</v>
          </cell>
          <cell r="AE20">
            <v>106386.53512778919</v>
          </cell>
          <cell r="AF20">
            <v>106960.98355420599</v>
          </cell>
          <cell r="AG20">
            <v>107544.75477929637</v>
          </cell>
          <cell r="AH20">
            <v>108905.086841161</v>
          </cell>
          <cell r="AI20">
            <v>117414.2577251</v>
          </cell>
          <cell r="AJ20">
            <v>118677.94723083999</v>
          </cell>
          <cell r="AK20">
            <v>119070.43611953998</v>
          </cell>
          <cell r="AL20">
            <v>119161.50551852</v>
          </cell>
          <cell r="AM20">
            <v>119536.05615185387</v>
          </cell>
          <cell r="AN20">
            <v>120116.24005406772</v>
          </cell>
          <cell r="AO20">
            <v>121104.75415117</v>
          </cell>
          <cell r="AP20">
            <v>121283.6178963678</v>
          </cell>
          <cell r="AQ20">
            <v>123902.89045013968</v>
          </cell>
          <cell r="AR20">
            <v>125002.38851328415</v>
          </cell>
          <cell r="AS20">
            <v>124839.8619367097</v>
          </cell>
          <cell r="AT20">
            <v>126107.35452456918</v>
          </cell>
          <cell r="AU20">
            <v>125231.38602971038</v>
          </cell>
        </row>
        <row r="21">
          <cell r="A21" t="str">
            <v>Déficit</v>
          </cell>
          <cell r="C21">
            <v>167048.06269999998</v>
          </cell>
          <cell r="D21">
            <v>185859.06269999998</v>
          </cell>
          <cell r="E21">
            <v>185859.06269999998</v>
          </cell>
          <cell r="F21">
            <v>216389.06269999998</v>
          </cell>
          <cell r="G21">
            <v>216389.06269999998</v>
          </cell>
          <cell r="H21">
            <v>255290.06269999998</v>
          </cell>
          <cell r="I21">
            <v>255290.06269999998</v>
          </cell>
          <cell r="J21">
            <v>253379.36269999997</v>
          </cell>
          <cell r="K21">
            <v>252628.76269999999</v>
          </cell>
          <cell r="L21">
            <v>249551.26269999999</v>
          </cell>
          <cell r="M21">
            <v>248833.56269999998</v>
          </cell>
          <cell r="N21">
            <v>247925.96269999997</v>
          </cell>
          <cell r="O21">
            <v>245720.46269999997</v>
          </cell>
          <cell r="P21">
            <v>245250.46269999997</v>
          </cell>
          <cell r="Q21">
            <v>244135.06269999998</v>
          </cell>
          <cell r="R21">
            <v>243347.76269999999</v>
          </cell>
          <cell r="S21">
            <v>243843.16269999999</v>
          </cell>
          <cell r="T21">
            <v>243602.46269999997</v>
          </cell>
          <cell r="U21">
            <v>243955.46269999997</v>
          </cell>
          <cell r="V21">
            <v>243955.46269999997</v>
          </cell>
          <cell r="W21">
            <v>241171.16269999999</v>
          </cell>
          <cell r="X21">
            <v>240106.47269999998</v>
          </cell>
          <cell r="Y21">
            <v>240999.46269999997</v>
          </cell>
          <cell r="Z21">
            <v>241885.46269999997</v>
          </cell>
          <cell r="AA21">
            <v>243426.46269999997</v>
          </cell>
          <cell r="AB21">
            <v>244178.46269999997</v>
          </cell>
          <cell r="AC21">
            <v>245717.46269999997</v>
          </cell>
          <cell r="AD21">
            <v>247133.46269999997</v>
          </cell>
          <cell r="AE21">
            <v>247869.46269999997</v>
          </cell>
          <cell r="AF21">
            <v>249052.46269999997</v>
          </cell>
          <cell r="AG21">
            <v>251988.46269999997</v>
          </cell>
          <cell r="AH21">
            <v>253789.46269999997</v>
          </cell>
          <cell r="AI21">
            <v>253789.46269999997</v>
          </cell>
          <cell r="AJ21">
            <v>257514.46269999997</v>
          </cell>
          <cell r="AK21">
            <v>261465.46269999997</v>
          </cell>
          <cell r="AL21">
            <v>266157.46269999997</v>
          </cell>
          <cell r="AM21">
            <v>272278.46269999997</v>
          </cell>
          <cell r="AN21">
            <v>278821.46269999997</v>
          </cell>
          <cell r="AO21">
            <v>284755.46269999997</v>
          </cell>
          <cell r="AP21">
            <v>290987.46269999997</v>
          </cell>
          <cell r="AQ21">
            <v>297033.46269999997</v>
          </cell>
          <cell r="AR21">
            <v>303207.46269999997</v>
          </cell>
          <cell r="AS21">
            <v>309646.46269999997</v>
          </cell>
          <cell r="AT21">
            <v>317788.46269999997</v>
          </cell>
          <cell r="AU21">
            <v>325015.46269999997</v>
          </cell>
        </row>
        <row r="22">
          <cell r="A22" t="str">
            <v>Cuentas de fluctuación</v>
          </cell>
          <cell r="C22">
            <v>168444.0877</v>
          </cell>
          <cell r="D22">
            <v>171739.50618</v>
          </cell>
          <cell r="E22">
            <v>189404.38883999997</v>
          </cell>
          <cell r="F22">
            <v>186020.079857</v>
          </cell>
          <cell r="G22">
            <v>202704.96296899999</v>
          </cell>
          <cell r="H22">
            <v>147120.41808</v>
          </cell>
          <cell r="I22">
            <v>163405.45112000004</v>
          </cell>
          <cell r="J22">
            <v>163775.55410000007</v>
          </cell>
          <cell r="K22">
            <v>162591.42266800007</v>
          </cell>
          <cell r="L22">
            <v>159534.67411000005</v>
          </cell>
          <cell r="M22">
            <v>158713.1267600001</v>
          </cell>
          <cell r="N22">
            <v>158054.95514000003</v>
          </cell>
          <cell r="O22">
            <v>156272.63014999998</v>
          </cell>
          <cell r="P22">
            <v>158247.15708</v>
          </cell>
          <cell r="Q22">
            <v>157158.33010000002</v>
          </cell>
          <cell r="R22">
            <v>164329.81211000006</v>
          </cell>
          <cell r="S22">
            <v>170373.28888000001</v>
          </cell>
          <cell r="T22">
            <v>173105.86408000006</v>
          </cell>
          <cell r="U22">
            <v>173656.75408000004</v>
          </cell>
          <cell r="V22">
            <v>184859.59060000003</v>
          </cell>
          <cell r="W22">
            <v>190914.44029999999</v>
          </cell>
          <cell r="X22">
            <v>191576.08833999999</v>
          </cell>
          <cell r="Y22">
            <v>186217.89294769824</v>
          </cell>
          <cell r="Z22">
            <v>183714.79394332104</v>
          </cell>
          <cell r="AA22">
            <v>181392.41081872891</v>
          </cell>
          <cell r="AB22">
            <v>184574.28984014763</v>
          </cell>
          <cell r="AC22">
            <v>184481.64041824781</v>
          </cell>
          <cell r="AD22">
            <v>183470.27054637024</v>
          </cell>
          <cell r="AE22">
            <v>183094.28956494722</v>
          </cell>
          <cell r="AF22">
            <v>183212.56401789366</v>
          </cell>
          <cell r="AG22">
            <v>184652.02397198012</v>
          </cell>
          <cell r="AH22">
            <v>184779.24095087359</v>
          </cell>
          <cell r="AI22">
            <v>197749.56049462513</v>
          </cell>
          <cell r="AJ22">
            <v>199910.27777552689</v>
          </cell>
          <cell r="AK22">
            <v>200126.69029896744</v>
          </cell>
          <cell r="AL22">
            <v>199993.47315313236</v>
          </cell>
          <cell r="AM22">
            <v>197375.75717132166</v>
          </cell>
          <cell r="AN22">
            <v>195195.10884432207</v>
          </cell>
          <cell r="AO22">
            <v>193875.04081246624</v>
          </cell>
          <cell r="AP22">
            <v>190907.50035972742</v>
          </cell>
          <cell r="AQ22">
            <v>202995.60344031831</v>
          </cell>
          <cell r="AR22">
            <v>204783.3757547274</v>
          </cell>
          <cell r="AS22">
            <v>206505.40497075577</v>
          </cell>
          <cell r="AT22">
            <v>305115.512181748</v>
          </cell>
          <cell r="AU22">
            <v>303285.61984234967</v>
          </cell>
        </row>
        <row r="25">
          <cell r="A25" t="str">
            <v>PASIVOS</v>
          </cell>
          <cell r="C25">
            <v>626850.75198000006</v>
          </cell>
          <cell r="D25">
            <v>679671.83801999991</v>
          </cell>
          <cell r="E25">
            <v>729439.98545999988</v>
          </cell>
          <cell r="F25">
            <v>801943.42549000017</v>
          </cell>
          <cell r="G25">
            <v>864729.36309000012</v>
          </cell>
          <cell r="H25">
            <v>931026.41634999996</v>
          </cell>
          <cell r="I25">
            <v>986783.37254999997</v>
          </cell>
          <cell r="J25">
            <v>967793.69144000008</v>
          </cell>
          <cell r="K25">
            <v>967125.28229</v>
          </cell>
          <cell r="L25">
            <v>968669.58544000005</v>
          </cell>
          <cell r="M25">
            <v>983331.18081999989</v>
          </cell>
          <cell r="N25">
            <v>997728.62927000003</v>
          </cell>
          <cell r="O25">
            <v>1038488.4428499999</v>
          </cell>
          <cell r="P25">
            <v>1068396.84828</v>
          </cell>
          <cell r="Q25">
            <v>1093662.8043300002</v>
          </cell>
          <cell r="R25">
            <v>1138748.9393900002</v>
          </cell>
          <cell r="S25">
            <v>1122995.9234799999</v>
          </cell>
          <cell r="T25">
            <v>1130630.8524599997</v>
          </cell>
          <cell r="U25">
            <v>1170618.2424000001</v>
          </cell>
          <cell r="V25">
            <v>1228413.4180199997</v>
          </cell>
          <cell r="W25">
            <v>1208752.1225599998</v>
          </cell>
          <cell r="X25">
            <v>1200601.8217</v>
          </cell>
          <cell r="Y25">
            <v>1215871.9466666218</v>
          </cell>
          <cell r="Z25">
            <v>1277047.743759877</v>
          </cell>
          <cell r="AA25">
            <v>1246755.449797329</v>
          </cell>
          <cell r="AB25">
            <v>1237857.1185803285</v>
          </cell>
          <cell r="AC25">
            <v>1219964.2981145107</v>
          </cell>
          <cell r="AD25">
            <v>1217872.7313210478</v>
          </cell>
          <cell r="AE25">
            <v>1206868.6252109087</v>
          </cell>
          <cell r="AF25">
            <v>1221506.4176791816</v>
          </cell>
          <cell r="AG25">
            <v>1214412.1802054818</v>
          </cell>
          <cell r="AH25">
            <v>1247394.8589188384</v>
          </cell>
          <cell r="AI25">
            <v>1303492.2157749673</v>
          </cell>
          <cell r="AJ25">
            <v>1300551.6633656439</v>
          </cell>
          <cell r="AK25">
            <v>1317765.5815020567</v>
          </cell>
          <cell r="AL25">
            <v>1343858.8614966313</v>
          </cell>
          <cell r="AM25">
            <v>1373649.6391751333</v>
          </cell>
          <cell r="AN25">
            <v>1463074.3281444905</v>
          </cell>
          <cell r="AO25">
            <v>1473696.9122044197</v>
          </cell>
          <cell r="AP25">
            <v>1481375.8102169537</v>
          </cell>
          <cell r="AQ25">
            <v>1482883.0995796851</v>
          </cell>
          <cell r="AR25">
            <v>1475831.1284209115</v>
          </cell>
          <cell r="AS25">
            <v>1475137.034002261</v>
          </cell>
          <cell r="AT25">
            <v>1467595.1063484738</v>
          </cell>
          <cell r="AU25">
            <v>1511723.9178995686</v>
          </cell>
        </row>
        <row r="27">
          <cell r="A27" t="str">
            <v>Operaciones de mercado abierto</v>
          </cell>
          <cell r="C27">
            <v>38393.128880000004</v>
          </cell>
          <cell r="D27">
            <v>70780.359377000015</v>
          </cell>
          <cell r="E27">
            <v>70780.359377000015</v>
          </cell>
          <cell r="F27">
            <v>127385.27035700002</v>
          </cell>
          <cell r="G27">
            <v>127385.27035700002</v>
          </cell>
          <cell r="H27">
            <v>67276.115720000002</v>
          </cell>
          <cell r="I27">
            <v>67276.115720000002</v>
          </cell>
          <cell r="J27">
            <v>72166.368979999999</v>
          </cell>
          <cell r="K27">
            <v>82690.366959999999</v>
          </cell>
          <cell r="L27">
            <v>61801.83698</v>
          </cell>
          <cell r="M27">
            <v>91222.43531999999</v>
          </cell>
          <cell r="N27">
            <v>109354.15199999997</v>
          </cell>
          <cell r="O27">
            <v>117132.31594999999</v>
          </cell>
          <cell r="P27">
            <v>163906.63792000001</v>
          </cell>
          <cell r="Q27">
            <v>174404.22392000002</v>
          </cell>
          <cell r="R27">
            <v>209327.37099</v>
          </cell>
          <cell r="S27">
            <v>218167.16898000002</v>
          </cell>
          <cell r="T27">
            <v>197171.44697999998</v>
          </cell>
          <cell r="U27">
            <v>185957.57292000001</v>
          </cell>
          <cell r="V27">
            <v>185957.57292000001</v>
          </cell>
          <cell r="W27">
            <v>180889.87002000003</v>
          </cell>
          <cell r="X27">
            <v>185076.45791999999</v>
          </cell>
          <cell r="Y27">
            <v>200565.37100464982</v>
          </cell>
          <cell r="Z27">
            <v>183720.3676506</v>
          </cell>
          <cell r="AA27">
            <v>204095.32358204</v>
          </cell>
          <cell r="AB27">
            <v>196706.03166916</v>
          </cell>
          <cell r="AC27">
            <v>181815.40634998001</v>
          </cell>
          <cell r="AD27">
            <v>173456.85430090909</v>
          </cell>
          <cell r="AE27">
            <v>148467.55311860988</v>
          </cell>
          <cell r="AF27">
            <v>156484.9852727598</v>
          </cell>
          <cell r="AG27">
            <v>146882.27468235968</v>
          </cell>
          <cell r="AH27">
            <v>164269.5994979401</v>
          </cell>
          <cell r="AI27">
            <v>164269.5994979401</v>
          </cell>
          <cell r="AJ27">
            <v>178423.58649496926</v>
          </cell>
          <cell r="AK27">
            <v>188342.50412036941</v>
          </cell>
          <cell r="AL27">
            <v>209695.18831715966</v>
          </cell>
          <cell r="AM27">
            <v>228687.93667145917</v>
          </cell>
          <cell r="AN27">
            <v>261057.49529750002</v>
          </cell>
          <cell r="AO27">
            <v>289233.76963865937</v>
          </cell>
          <cell r="AP27">
            <v>285888.35517830978</v>
          </cell>
          <cell r="AQ27">
            <v>327435.53970741003</v>
          </cell>
          <cell r="AR27">
            <v>349626.19123703922</v>
          </cell>
          <cell r="AS27">
            <v>346063.8677561598</v>
          </cell>
          <cell r="AT27">
            <v>346824.19858638919</v>
          </cell>
          <cell r="AU27">
            <v>337082.77081705944</v>
          </cell>
        </row>
        <row r="28">
          <cell r="A28" t="str">
            <v xml:space="preserve">     Bonos de estabilización monetaria</v>
          </cell>
          <cell r="C28">
            <v>24610.120880000002</v>
          </cell>
          <cell r="D28">
            <v>58406.859377000015</v>
          </cell>
          <cell r="E28">
            <v>58406.859377000015</v>
          </cell>
          <cell r="F28">
            <v>111583.01035700002</v>
          </cell>
          <cell r="G28">
            <v>111583.01035700002</v>
          </cell>
          <cell r="H28">
            <v>35656.965720000007</v>
          </cell>
          <cell r="I28">
            <v>35656.965720000007</v>
          </cell>
          <cell r="J28">
            <v>38450.118979999999</v>
          </cell>
          <cell r="K28">
            <v>34585.566959999996</v>
          </cell>
          <cell r="L28">
            <v>32824.736980000001</v>
          </cell>
          <cell r="M28">
            <v>64654.985319999992</v>
          </cell>
          <cell r="N28">
            <v>73631.751999999979</v>
          </cell>
          <cell r="O28">
            <v>96157.715949999998</v>
          </cell>
          <cell r="P28">
            <v>133650.88792000001</v>
          </cell>
          <cell r="Q28">
            <v>164066.27392000001</v>
          </cell>
          <cell r="R28">
            <v>170204.77098999999</v>
          </cell>
          <cell r="S28">
            <v>180639.16898000002</v>
          </cell>
          <cell r="T28">
            <v>164430.59697999997</v>
          </cell>
          <cell r="U28">
            <v>152712.82292000001</v>
          </cell>
          <cell r="V28">
            <v>152712.82292000001</v>
          </cell>
          <cell r="W28">
            <v>166419.37002000003</v>
          </cell>
          <cell r="X28">
            <v>169258.85791999998</v>
          </cell>
          <cell r="Y28">
            <v>176861.77100464981</v>
          </cell>
          <cell r="Z28">
            <v>174744.91765059999</v>
          </cell>
          <cell r="AA28">
            <v>200706.62358203999</v>
          </cell>
          <cell r="AB28">
            <v>194352.28166916</v>
          </cell>
          <cell r="AC28">
            <v>161792.95634998</v>
          </cell>
          <cell r="AD28">
            <v>156831.75430090909</v>
          </cell>
          <cell r="AE28">
            <v>144438.50311860989</v>
          </cell>
          <cell r="AF28">
            <v>149893.93527275982</v>
          </cell>
          <cell r="AG28">
            <v>134687.97468235969</v>
          </cell>
          <cell r="AH28">
            <v>153009.29949794011</v>
          </cell>
          <cell r="AI28">
            <v>153009.29949794011</v>
          </cell>
          <cell r="AJ28">
            <v>163880.53649496927</v>
          </cell>
          <cell r="AK28">
            <v>183852.50412036941</v>
          </cell>
          <cell r="AL28">
            <v>204148.68831715966</v>
          </cell>
          <cell r="AM28">
            <v>222174.88667145919</v>
          </cell>
          <cell r="AN28">
            <v>255242.14529750001</v>
          </cell>
          <cell r="AO28">
            <v>280170.1696386594</v>
          </cell>
          <cell r="AP28">
            <v>281519.30517830979</v>
          </cell>
          <cell r="AQ28">
            <v>319425.73970741004</v>
          </cell>
          <cell r="AR28">
            <v>340591.64123703924</v>
          </cell>
          <cell r="AS28">
            <v>323933.81775615981</v>
          </cell>
          <cell r="AT28">
            <v>302210.6485863892</v>
          </cell>
          <cell r="AU28">
            <v>299761.67081705946</v>
          </cell>
        </row>
        <row r="29">
          <cell r="A29" t="str">
            <v xml:space="preserve">             Entidades</v>
          </cell>
          <cell r="C29">
            <v>420</v>
          </cell>
          <cell r="D29">
            <v>1556</v>
          </cell>
          <cell r="E29">
            <v>1556</v>
          </cell>
          <cell r="F29">
            <v>5073</v>
          </cell>
          <cell r="G29">
            <v>5073</v>
          </cell>
          <cell r="H29">
            <v>489</v>
          </cell>
          <cell r="I29">
            <v>489</v>
          </cell>
          <cell r="J29">
            <v>364</v>
          </cell>
          <cell r="K29">
            <v>490</v>
          </cell>
          <cell r="L29">
            <v>490</v>
          </cell>
          <cell r="M29">
            <v>365</v>
          </cell>
          <cell r="N29">
            <v>365</v>
          </cell>
          <cell r="O29">
            <v>365</v>
          </cell>
          <cell r="P29">
            <v>975</v>
          </cell>
          <cell r="Q29">
            <v>551</v>
          </cell>
          <cell r="R29">
            <v>551</v>
          </cell>
          <cell r="S29">
            <v>570</v>
          </cell>
          <cell r="T29">
            <v>610</v>
          </cell>
          <cell r="U29">
            <v>390</v>
          </cell>
          <cell r="V29">
            <v>390</v>
          </cell>
          <cell r="W29">
            <v>389</v>
          </cell>
          <cell r="X29">
            <v>703</v>
          </cell>
          <cell r="Y29">
            <v>660</v>
          </cell>
          <cell r="Z29">
            <v>950</v>
          </cell>
          <cell r="AA29">
            <v>541</v>
          </cell>
          <cell r="AB29">
            <v>541</v>
          </cell>
          <cell r="AC29">
            <v>595</v>
          </cell>
          <cell r="AD29">
            <v>595</v>
          </cell>
          <cell r="AE29">
            <v>345</v>
          </cell>
          <cell r="AF29">
            <v>25345</v>
          </cell>
          <cell r="AG29">
            <v>25360</v>
          </cell>
          <cell r="AH29">
            <v>24389</v>
          </cell>
          <cell r="AI29">
            <v>24389</v>
          </cell>
          <cell r="AJ29">
            <v>23381</v>
          </cell>
          <cell r="AK29">
            <v>23252</v>
          </cell>
          <cell r="AL29">
            <v>23253</v>
          </cell>
          <cell r="AM29">
            <v>24427</v>
          </cell>
          <cell r="AN29">
            <v>24426</v>
          </cell>
          <cell r="AO29">
            <v>24427</v>
          </cell>
          <cell r="AP29">
            <v>25664</v>
          </cell>
          <cell r="AQ29">
            <v>25664</v>
          </cell>
          <cell r="AR29">
            <v>25449</v>
          </cell>
          <cell r="AS29">
            <v>26502</v>
          </cell>
          <cell r="AT29">
            <v>26502</v>
          </cell>
          <cell r="AU29">
            <v>26502</v>
          </cell>
        </row>
        <row r="30">
          <cell r="A30" t="str">
            <v xml:space="preserve">            Sector financiero no bancario</v>
          </cell>
          <cell r="C30">
            <v>188</v>
          </cell>
          <cell r="D30">
            <v>4799</v>
          </cell>
          <cell r="E30">
            <v>4799</v>
          </cell>
          <cell r="F30">
            <v>2559</v>
          </cell>
          <cell r="G30">
            <v>2559</v>
          </cell>
          <cell r="H30">
            <v>578</v>
          </cell>
          <cell r="I30">
            <v>578</v>
          </cell>
          <cell r="J30">
            <v>5</v>
          </cell>
          <cell r="K30">
            <v>5</v>
          </cell>
          <cell r="L30">
            <v>5</v>
          </cell>
          <cell r="M30">
            <v>1182</v>
          </cell>
          <cell r="N30">
            <v>4383</v>
          </cell>
          <cell r="O30">
            <v>5580</v>
          </cell>
          <cell r="P30">
            <v>12191</v>
          </cell>
          <cell r="Q30">
            <v>20020</v>
          </cell>
          <cell r="R30">
            <v>24564</v>
          </cell>
          <cell r="S30">
            <v>33112</v>
          </cell>
          <cell r="T30">
            <v>28957</v>
          </cell>
          <cell r="U30">
            <v>30639</v>
          </cell>
          <cell r="V30">
            <v>30639</v>
          </cell>
          <cell r="W30">
            <v>28015</v>
          </cell>
          <cell r="X30">
            <v>29332</v>
          </cell>
          <cell r="Y30">
            <v>34343</v>
          </cell>
          <cell r="Z30">
            <v>37592</v>
          </cell>
          <cell r="AA30">
            <v>45214</v>
          </cell>
          <cell r="AB30">
            <v>48704</v>
          </cell>
          <cell r="AC30">
            <v>44538</v>
          </cell>
          <cell r="AD30">
            <v>39001</v>
          </cell>
          <cell r="AE30">
            <v>28617</v>
          </cell>
          <cell r="AF30">
            <v>29103</v>
          </cell>
          <cell r="AG30">
            <v>22559</v>
          </cell>
          <cell r="AH30">
            <v>27902</v>
          </cell>
          <cell r="AI30">
            <v>27902</v>
          </cell>
          <cell r="AJ30">
            <v>37605</v>
          </cell>
          <cell r="AK30">
            <v>35927</v>
          </cell>
          <cell r="AL30">
            <v>37243</v>
          </cell>
          <cell r="AM30">
            <v>36358</v>
          </cell>
          <cell r="AN30">
            <v>36532</v>
          </cell>
          <cell r="AO30">
            <v>36774</v>
          </cell>
          <cell r="AP30">
            <v>39155</v>
          </cell>
          <cell r="AQ30">
            <v>54243</v>
          </cell>
          <cell r="AR30">
            <v>56885</v>
          </cell>
          <cell r="AS30">
            <v>54779</v>
          </cell>
          <cell r="AT30">
            <v>56813</v>
          </cell>
          <cell r="AU30">
            <v>50735</v>
          </cell>
        </row>
        <row r="31">
          <cell r="A31" t="str">
            <v xml:space="preserve">            Bancos comerciales</v>
          </cell>
          <cell r="C31">
            <v>1505.2548999999999</v>
          </cell>
          <cell r="D31">
            <v>8271.2311000000009</v>
          </cell>
          <cell r="E31">
            <v>8271.2311000000009</v>
          </cell>
          <cell r="F31">
            <v>38310.792300000001</v>
          </cell>
          <cell r="G31">
            <v>38310.792300000001</v>
          </cell>
          <cell r="H31">
            <v>30646.848299999998</v>
          </cell>
          <cell r="I31">
            <v>30646.848299999998</v>
          </cell>
          <cell r="J31">
            <v>36420.933133999999</v>
          </cell>
          <cell r="K31">
            <v>30586.966091999999</v>
          </cell>
          <cell r="L31">
            <v>28914.68766</v>
          </cell>
          <cell r="M31">
            <v>23754.110219999999</v>
          </cell>
          <cell r="N31">
            <v>23396.649526000001</v>
          </cell>
          <cell r="O31">
            <v>24508.880709999998</v>
          </cell>
          <cell r="P31">
            <v>26875.808634000001</v>
          </cell>
          <cell r="Q31">
            <v>25568.016219000001</v>
          </cell>
          <cell r="R31">
            <v>25669.048077000003</v>
          </cell>
          <cell r="S31">
            <v>38101.224820000003</v>
          </cell>
          <cell r="T31">
            <v>42395.612503999997</v>
          </cell>
          <cell r="U31">
            <v>40091.120808</v>
          </cell>
          <cell r="V31">
            <v>40091.120808</v>
          </cell>
          <cell r="W31">
            <v>45787.981699999997</v>
          </cell>
          <cell r="X31">
            <v>31926.9604</v>
          </cell>
          <cell r="Y31">
            <v>23033.729463</v>
          </cell>
          <cell r="Z31">
            <v>18852.194050999999</v>
          </cell>
          <cell r="AA31">
            <v>23423.280383000001</v>
          </cell>
          <cell r="AB31">
            <v>25132.017130979999</v>
          </cell>
          <cell r="AC31">
            <v>19891.6954138</v>
          </cell>
          <cell r="AD31">
            <v>18783.904656800001</v>
          </cell>
          <cell r="AE31">
            <v>19101.3165678</v>
          </cell>
          <cell r="AF31">
            <v>16769.4711838</v>
          </cell>
          <cell r="AG31">
            <v>7954.3486112299997</v>
          </cell>
          <cell r="AH31">
            <v>17075.534410849999</v>
          </cell>
          <cell r="AI31">
            <v>17075.534410849999</v>
          </cell>
          <cell r="AJ31">
            <v>14709.025948500001</v>
          </cell>
          <cell r="AK31">
            <v>16836.571979910001</v>
          </cell>
          <cell r="AL31">
            <v>18036.68325668</v>
          </cell>
          <cell r="AM31">
            <v>22156.001254999999</v>
          </cell>
          <cell r="AN31">
            <v>31917.695027999998</v>
          </cell>
          <cell r="AO31">
            <v>40604.445226999997</v>
          </cell>
          <cell r="AP31">
            <v>48363.161495</v>
          </cell>
          <cell r="AQ31">
            <v>57586.790177000003</v>
          </cell>
          <cell r="AR31">
            <v>65135.626762</v>
          </cell>
          <cell r="AS31">
            <v>65369.484311</v>
          </cell>
          <cell r="AT31">
            <v>53935.516846999999</v>
          </cell>
          <cell r="AU31">
            <v>56518.03757</v>
          </cell>
        </row>
        <row r="32">
          <cell r="A32" t="str">
            <v xml:space="preserve">            Sector privado</v>
          </cell>
          <cell r="C32">
            <v>22496.865980000002</v>
          </cell>
          <cell r="D32">
            <v>43780.628277000011</v>
          </cell>
          <cell r="E32">
            <v>43780.628277000011</v>
          </cell>
          <cell r="F32">
            <v>65640.21805700002</v>
          </cell>
          <cell r="G32">
            <v>65640.21805700002</v>
          </cell>
          <cell r="H32">
            <v>3943.1174200000096</v>
          </cell>
          <cell r="I32">
            <v>3943.1174200000096</v>
          </cell>
          <cell r="J32">
            <v>1660.1858460000003</v>
          </cell>
          <cell r="K32">
            <v>3503.6008680000014</v>
          </cell>
          <cell r="L32">
            <v>3415.0493199999983</v>
          </cell>
          <cell r="M32">
            <v>39353.87509999999</v>
          </cell>
          <cell r="N32">
            <v>45487.102473999985</v>
          </cell>
          <cell r="O32">
            <v>65703.83524</v>
          </cell>
          <cell r="P32">
            <v>93609.079285999993</v>
          </cell>
          <cell r="Q32">
            <v>117927.25770100002</v>
          </cell>
          <cell r="R32">
            <v>119420.72291300001</v>
          </cell>
          <cell r="S32">
            <v>108855.94416</v>
          </cell>
          <cell r="T32">
            <v>92467.984475999998</v>
          </cell>
          <cell r="U32">
            <v>81592.702111999984</v>
          </cell>
          <cell r="V32">
            <v>81592.702111999984</v>
          </cell>
          <cell r="W32">
            <v>92227.388320000013</v>
          </cell>
          <cell r="X32">
            <v>107296.89752</v>
          </cell>
          <cell r="Y32">
            <v>118825.04154164981</v>
          </cell>
          <cell r="Z32">
            <v>117350.72359959999</v>
          </cell>
          <cell r="AA32">
            <v>131528.34319903998</v>
          </cell>
          <cell r="AB32">
            <v>119975.26453818001</v>
          </cell>
          <cell r="AC32">
            <v>96768.260936179999</v>
          </cell>
          <cell r="AD32">
            <v>98451.849644109083</v>
          </cell>
          <cell r="AE32">
            <v>96375.186550809885</v>
          </cell>
          <cell r="AF32">
            <v>78676.464088959823</v>
          </cell>
          <cell r="AG32">
            <v>78814.626071129693</v>
          </cell>
          <cell r="AH32">
            <v>83642.765087090098</v>
          </cell>
          <cell r="AI32">
            <v>83642.765087090098</v>
          </cell>
          <cell r="AJ32">
            <v>88185.510546469275</v>
          </cell>
          <cell r="AK32">
            <v>107836.93214045941</v>
          </cell>
          <cell r="AL32">
            <v>125616.00506047967</v>
          </cell>
          <cell r="AM32">
            <v>139233.8854164592</v>
          </cell>
          <cell r="AN32">
            <v>162366.4502695</v>
          </cell>
          <cell r="AO32">
            <v>178364.72441165941</v>
          </cell>
          <cell r="AP32">
            <v>168337.14368330978</v>
          </cell>
          <cell r="AQ32">
            <v>181931.94953041006</v>
          </cell>
          <cell r="AR32">
            <v>193122.01447503924</v>
          </cell>
          <cell r="AS32">
            <v>177283.33344515983</v>
          </cell>
          <cell r="AT32">
            <v>164960.13173938921</v>
          </cell>
          <cell r="AU32">
            <v>166006.63324705948</v>
          </cell>
        </row>
        <row r="33">
          <cell r="A33" t="str">
            <v xml:space="preserve">     Inversiones de corto plazo</v>
          </cell>
          <cell r="C33">
            <v>13783.007999999998</v>
          </cell>
          <cell r="D33">
            <v>12373.5</v>
          </cell>
          <cell r="E33">
            <v>12373.5</v>
          </cell>
          <cell r="F33">
            <v>15802.26</v>
          </cell>
          <cell r="G33">
            <v>15802.26</v>
          </cell>
          <cell r="H33">
            <v>31619.15</v>
          </cell>
          <cell r="I33">
            <v>31619.15</v>
          </cell>
          <cell r="J33">
            <v>33716.25</v>
          </cell>
          <cell r="K33">
            <v>48104.800000000003</v>
          </cell>
          <cell r="L33">
            <v>28977.1</v>
          </cell>
          <cell r="M33">
            <v>26567.45</v>
          </cell>
          <cell r="N33">
            <v>35722.400000000001</v>
          </cell>
          <cell r="O33">
            <v>20974.6</v>
          </cell>
          <cell r="P33">
            <v>30255.75</v>
          </cell>
          <cell r="Q33">
            <v>10337.950000000001</v>
          </cell>
          <cell r="R33">
            <v>39122.6</v>
          </cell>
          <cell r="S33">
            <v>37528</v>
          </cell>
          <cell r="T33">
            <v>32740.85</v>
          </cell>
          <cell r="U33">
            <v>33244.75</v>
          </cell>
          <cell r="V33">
            <v>33244.75</v>
          </cell>
          <cell r="W33">
            <v>14470.5</v>
          </cell>
          <cell r="X33">
            <v>15817.600000000002</v>
          </cell>
          <cell r="Y33">
            <v>23703.599999999999</v>
          </cell>
          <cell r="Z33">
            <v>8975.4500000000007</v>
          </cell>
          <cell r="AA33">
            <v>3388.7</v>
          </cell>
          <cell r="AB33">
            <v>2353.75</v>
          </cell>
          <cell r="AC33">
            <v>20022.45</v>
          </cell>
          <cell r="AD33">
            <v>16625.099999999999</v>
          </cell>
          <cell r="AE33">
            <v>4029.05</v>
          </cell>
          <cell r="AF33">
            <v>6591.05</v>
          </cell>
          <cell r="AG33">
            <v>12194.3</v>
          </cell>
          <cell r="AH33">
            <v>11260.3</v>
          </cell>
          <cell r="AI33">
            <v>11260.3</v>
          </cell>
          <cell r="AJ33">
            <v>14543.05</v>
          </cell>
          <cell r="AK33">
            <v>4490</v>
          </cell>
          <cell r="AL33">
            <v>5546.5</v>
          </cell>
          <cell r="AM33">
            <v>6513.05</v>
          </cell>
          <cell r="AN33">
            <v>5815.35</v>
          </cell>
          <cell r="AO33">
            <v>9063.5999999999985</v>
          </cell>
          <cell r="AP33">
            <v>4369.05</v>
          </cell>
          <cell r="AQ33">
            <v>8009.8</v>
          </cell>
          <cell r="AR33">
            <v>9034.5499999999993</v>
          </cell>
          <cell r="AS33">
            <v>22130.05</v>
          </cell>
          <cell r="AT33">
            <v>44613.55</v>
          </cell>
          <cell r="AU33">
            <v>37321.1</v>
          </cell>
        </row>
        <row r="34">
          <cell r="A34" t="str">
            <v xml:space="preserve">             Entidades</v>
          </cell>
          <cell r="C34">
            <v>61.75</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1473.3</v>
          </cell>
          <cell r="AF34">
            <v>5572</v>
          </cell>
          <cell r="AG34">
            <v>7185</v>
          </cell>
          <cell r="AH34">
            <v>9133.5</v>
          </cell>
          <cell r="AI34">
            <v>9133.5</v>
          </cell>
          <cell r="AJ34">
            <v>14134.25</v>
          </cell>
          <cell r="AK34">
            <v>4281.2</v>
          </cell>
          <cell r="AL34">
            <v>4937.7</v>
          </cell>
          <cell r="AM34">
            <v>5504.25</v>
          </cell>
          <cell r="AN34">
            <v>3806.55</v>
          </cell>
          <cell r="AO34">
            <v>4054.8</v>
          </cell>
          <cell r="AP34">
            <v>3960.25</v>
          </cell>
          <cell r="AQ34">
            <v>4124.8500000000004</v>
          </cell>
          <cell r="AR34">
            <v>5466.15</v>
          </cell>
          <cell r="AS34">
            <v>5637.25</v>
          </cell>
          <cell r="AT34">
            <v>8274.65</v>
          </cell>
          <cell r="AU34">
            <v>7076.6</v>
          </cell>
        </row>
        <row r="35">
          <cell r="A35" t="str">
            <v xml:space="preserve">            Sector financiero no bancario</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row>
        <row r="36">
          <cell r="A36" t="str">
            <v xml:space="preserve">            Bancos comerciales</v>
          </cell>
          <cell r="C36">
            <v>4424.3</v>
          </cell>
          <cell r="D36">
            <v>8346</v>
          </cell>
          <cell r="E36">
            <v>8346</v>
          </cell>
          <cell r="F36">
            <v>12253.5</v>
          </cell>
          <cell r="G36">
            <v>12253.5</v>
          </cell>
          <cell r="H36">
            <v>24029.75</v>
          </cell>
          <cell r="I36">
            <v>24029.75</v>
          </cell>
          <cell r="J36">
            <v>25582.4925</v>
          </cell>
          <cell r="K36">
            <v>32906</v>
          </cell>
          <cell r="L36">
            <v>22282</v>
          </cell>
          <cell r="M36">
            <v>25869.956999999999</v>
          </cell>
          <cell r="N36">
            <v>31465</v>
          </cell>
          <cell r="O36">
            <v>19931</v>
          </cell>
          <cell r="P36">
            <v>27108</v>
          </cell>
          <cell r="Q36">
            <v>4913</v>
          </cell>
          <cell r="R36">
            <v>34727</v>
          </cell>
          <cell r="S36">
            <v>29618.5</v>
          </cell>
          <cell r="T36">
            <v>22266</v>
          </cell>
          <cell r="U36">
            <v>25882</v>
          </cell>
          <cell r="V36">
            <v>25882</v>
          </cell>
          <cell r="W36">
            <v>13879</v>
          </cell>
          <cell r="X36">
            <v>8629</v>
          </cell>
          <cell r="Y36">
            <v>22632</v>
          </cell>
          <cell r="Z36">
            <v>2134</v>
          </cell>
          <cell r="AA36">
            <v>3027</v>
          </cell>
          <cell r="AB36">
            <v>27</v>
          </cell>
          <cell r="AC36">
            <v>18024</v>
          </cell>
          <cell r="AD36">
            <v>12019</v>
          </cell>
          <cell r="AE36">
            <v>2500</v>
          </cell>
          <cell r="AF36">
            <v>1000</v>
          </cell>
          <cell r="AG36">
            <v>0</v>
          </cell>
          <cell r="AH36">
            <v>0</v>
          </cell>
          <cell r="AI36">
            <v>0</v>
          </cell>
          <cell r="AJ36">
            <v>400</v>
          </cell>
          <cell r="AK36">
            <v>200.01041667000001</v>
          </cell>
          <cell r="AL36">
            <v>0</v>
          </cell>
          <cell r="AM36">
            <v>1000</v>
          </cell>
          <cell r="AN36">
            <v>2000.104167</v>
          </cell>
          <cell r="AO36">
            <v>5000.0520829999996</v>
          </cell>
          <cell r="AP36">
            <v>400.01041700000002</v>
          </cell>
          <cell r="AQ36">
            <v>2500</v>
          </cell>
          <cell r="AR36">
            <v>2500</v>
          </cell>
          <cell r="AS36">
            <v>16419</v>
          </cell>
          <cell r="AT36">
            <v>36194</v>
          </cell>
          <cell r="AU36">
            <v>27770</v>
          </cell>
        </row>
        <row r="37">
          <cell r="A37" t="str">
            <v xml:space="preserve">            Sector privado</v>
          </cell>
          <cell r="C37">
            <v>9296.9579999999987</v>
          </cell>
          <cell r="D37">
            <v>4027.5</v>
          </cell>
          <cell r="E37">
            <v>4027.5</v>
          </cell>
          <cell r="F37">
            <v>3548.76</v>
          </cell>
          <cell r="G37">
            <v>3548.76</v>
          </cell>
          <cell r="H37">
            <v>7589.4000000000015</v>
          </cell>
          <cell r="I37">
            <v>7589.4000000000015</v>
          </cell>
          <cell r="J37">
            <v>8133.7574999999979</v>
          </cell>
          <cell r="K37">
            <v>15198.800000000003</v>
          </cell>
          <cell r="L37">
            <v>6695.0999999999967</v>
          </cell>
          <cell r="M37">
            <v>697.49300000000073</v>
          </cell>
          <cell r="N37">
            <v>4257.4000000000015</v>
          </cell>
          <cell r="O37">
            <v>1043.5999999999999</v>
          </cell>
          <cell r="P37">
            <v>3147.7500000000014</v>
          </cell>
          <cell r="Q37">
            <v>5424.9500000000007</v>
          </cell>
          <cell r="R37">
            <v>4395.6000000000004</v>
          </cell>
          <cell r="S37">
            <v>7909.5000000000018</v>
          </cell>
          <cell r="T37">
            <v>10474.85</v>
          </cell>
          <cell r="U37">
            <v>7362.7500000000018</v>
          </cell>
          <cell r="V37">
            <v>7362.7500000000018</v>
          </cell>
          <cell r="W37">
            <v>591.49999999999966</v>
          </cell>
          <cell r="X37">
            <v>7188.6000000000013</v>
          </cell>
          <cell r="Y37">
            <v>1071.5999999999992</v>
          </cell>
          <cell r="Z37">
            <v>6841.4500000000007</v>
          </cell>
          <cell r="AA37">
            <v>361.69999999999965</v>
          </cell>
          <cell r="AB37">
            <v>2326.75</v>
          </cell>
          <cell r="AC37">
            <v>1998.4500000000014</v>
          </cell>
          <cell r="AD37">
            <v>4606.0999999999995</v>
          </cell>
          <cell r="AE37">
            <v>55.749999999999815</v>
          </cell>
          <cell r="AF37">
            <v>19.05</v>
          </cell>
          <cell r="AG37">
            <v>5009.2999999999993</v>
          </cell>
          <cell r="AH37">
            <v>2126.8000000000002</v>
          </cell>
          <cell r="AI37">
            <v>2126.8000000000002</v>
          </cell>
          <cell r="AJ37">
            <v>8.8000000000000007</v>
          </cell>
          <cell r="AK37">
            <v>8.7895833299997328</v>
          </cell>
          <cell r="AL37">
            <v>608.79999999999995</v>
          </cell>
          <cell r="AM37">
            <v>8.8000000000000007</v>
          </cell>
          <cell r="AN37">
            <v>8.6958329999995847</v>
          </cell>
          <cell r="AO37">
            <v>8.7479169999995072</v>
          </cell>
          <cell r="AP37">
            <v>8.7895829999995847</v>
          </cell>
          <cell r="AQ37">
            <v>1384.9499999999996</v>
          </cell>
          <cell r="AR37">
            <v>1068.3999999999994</v>
          </cell>
          <cell r="AS37">
            <v>73.8</v>
          </cell>
          <cell r="AT37">
            <v>144.89999999999856</v>
          </cell>
          <cell r="AU37">
            <v>2474.4999999999973</v>
          </cell>
        </row>
        <row r="38">
          <cell r="A38" t="str">
            <v>BEM  conversión, canje y fundaciones</v>
          </cell>
          <cell r="C38">
            <v>17993.197</v>
          </cell>
          <cell r="D38">
            <v>17395.037482999996</v>
          </cell>
          <cell r="E38">
            <v>17395.037482999996</v>
          </cell>
          <cell r="F38">
            <v>13252.621482999999</v>
          </cell>
          <cell r="G38">
            <v>13252.621482999999</v>
          </cell>
          <cell r="H38">
            <v>7057.2510000000002</v>
          </cell>
          <cell r="I38">
            <v>7057.2510000000002</v>
          </cell>
          <cell r="J38">
            <v>7054.973</v>
          </cell>
          <cell r="K38">
            <v>7054.442</v>
          </cell>
          <cell r="L38">
            <v>7039.4629999999997</v>
          </cell>
          <cell r="M38">
            <v>7039.4049999999997</v>
          </cell>
          <cell r="N38">
            <v>6569.31</v>
          </cell>
          <cell r="O38">
            <v>6567.6589999999997</v>
          </cell>
          <cell r="P38">
            <v>6565.3760000000002</v>
          </cell>
          <cell r="Q38">
            <v>6562.866</v>
          </cell>
          <cell r="R38">
            <v>6560.433</v>
          </cell>
          <cell r="S38">
            <v>6560.433</v>
          </cell>
          <cell r="T38">
            <v>6560.433</v>
          </cell>
          <cell r="U38">
            <v>6085.3220000000001</v>
          </cell>
          <cell r="V38">
            <v>6085.3220000000001</v>
          </cell>
          <cell r="W38">
            <v>6083.1639999999998</v>
          </cell>
          <cell r="X38">
            <v>6083.1639999999998</v>
          </cell>
          <cell r="Y38">
            <v>6082.1260000000002</v>
          </cell>
          <cell r="Z38">
            <v>6081.4439999999995</v>
          </cell>
          <cell r="AA38">
            <v>5602.33</v>
          </cell>
          <cell r="AB38">
            <v>5597.8710000000001</v>
          </cell>
          <cell r="AC38">
            <v>5596.5360000000001</v>
          </cell>
          <cell r="AD38">
            <v>5596.4879999999994</v>
          </cell>
          <cell r="AE38">
            <v>5595.2699999999995</v>
          </cell>
          <cell r="AF38">
            <v>5594.8809999999994</v>
          </cell>
          <cell r="AG38">
            <v>5595.2699999999995</v>
          </cell>
          <cell r="AH38">
            <v>5105.1559999999999</v>
          </cell>
          <cell r="AI38">
            <v>5105.1559999999999</v>
          </cell>
          <cell r="AJ38">
            <v>5105.0860000000002</v>
          </cell>
          <cell r="AK38">
            <v>5104.2219999999998</v>
          </cell>
          <cell r="AL38">
            <v>5103.7350000000006</v>
          </cell>
          <cell r="AM38">
            <v>5103.7012000000004</v>
          </cell>
          <cell r="AN38">
            <v>4621.9888000000001</v>
          </cell>
          <cell r="AO38">
            <v>4619.7550499999998</v>
          </cell>
          <cell r="AP38">
            <v>4614.6019999999999</v>
          </cell>
          <cell r="AQ38">
            <v>4612.8639917600003</v>
          </cell>
          <cell r="AR38">
            <v>3685.0966768099997</v>
          </cell>
          <cell r="AS38">
            <v>4612.3419800000001</v>
          </cell>
          <cell r="AT38">
            <v>3327.7498399999999</v>
          </cell>
          <cell r="AU38">
            <v>4121.9815899999994</v>
          </cell>
        </row>
        <row r="39">
          <cell r="A39" t="str">
            <v>Endeudamiento externo neto</v>
          </cell>
          <cell r="C39">
            <v>223009.01016000001</v>
          </cell>
          <cell r="D39">
            <v>199923.73029999997</v>
          </cell>
          <cell r="E39">
            <v>228826.06599999999</v>
          </cell>
          <cell r="F39">
            <v>215812.50160000005</v>
          </cell>
          <cell r="G39">
            <v>249324.65424000003</v>
          </cell>
          <cell r="H39">
            <v>227946.73499999999</v>
          </cell>
          <cell r="I39">
            <v>254591</v>
          </cell>
          <cell r="J39">
            <v>246196.77599999998</v>
          </cell>
          <cell r="K39">
            <v>244411.304</v>
          </cell>
          <cell r="L39">
            <v>242826.28</v>
          </cell>
          <cell r="M39">
            <v>240742.45600000001</v>
          </cell>
          <cell r="N39">
            <v>237479.84</v>
          </cell>
          <cell r="O39">
            <v>237464.06399999998</v>
          </cell>
          <cell r="P39">
            <v>235618.73599999998</v>
          </cell>
          <cell r="Q39">
            <v>234666.37599999999</v>
          </cell>
          <cell r="R39">
            <v>233103.85599999997</v>
          </cell>
          <cell r="S39">
            <v>231182.66399999999</v>
          </cell>
          <cell r="T39">
            <v>226798.09599999999</v>
          </cell>
          <cell r="U39">
            <v>226272.38399999996</v>
          </cell>
          <cell r="V39">
            <v>250791.72767999995</v>
          </cell>
          <cell r="W39">
            <v>248880.14891999998</v>
          </cell>
          <cell r="X39">
            <v>248054.72951999996</v>
          </cell>
          <cell r="Y39">
            <v>246570.59030396183</v>
          </cell>
          <cell r="Z39">
            <v>243705.41958443145</v>
          </cell>
          <cell r="AA39">
            <v>240194.73018138207</v>
          </cell>
          <cell r="AB39">
            <v>239441.42681139824</v>
          </cell>
          <cell r="AC39">
            <v>237848.80729479584</v>
          </cell>
          <cell r="AD39">
            <v>236425.47349602013</v>
          </cell>
          <cell r="AE39">
            <v>235607.94956172034</v>
          </cell>
          <cell r="AF39">
            <v>246712.60006728658</v>
          </cell>
          <cell r="AG39">
            <v>241550.75777287001</v>
          </cell>
          <cell r="AH39">
            <v>260191.76374390861</v>
          </cell>
          <cell r="AI39">
            <v>285346.80475920602</v>
          </cell>
          <cell r="AJ39">
            <v>284842.28790553199</v>
          </cell>
          <cell r="AK39">
            <v>282532.41697487398</v>
          </cell>
          <cell r="AL39">
            <v>280827.20703624602</v>
          </cell>
          <cell r="AM39">
            <v>278135.57225423539</v>
          </cell>
          <cell r="AN39">
            <v>273217.00317791861</v>
          </cell>
          <cell r="AO39">
            <v>272879.88926421601</v>
          </cell>
          <cell r="AP39">
            <v>271143.49191531906</v>
          </cell>
          <cell r="AQ39">
            <v>270729.61441301875</v>
          </cell>
          <cell r="AR39">
            <v>269569.97773523262</v>
          </cell>
          <cell r="AS39">
            <v>267128.12785579311</v>
          </cell>
          <cell r="AT39">
            <v>264447.22949625348</v>
          </cell>
          <cell r="AU39">
            <v>264066.56056469411</v>
          </cell>
        </row>
        <row r="40">
          <cell r="A40" t="str">
            <v>Obligaciones con Gobierno M/N</v>
          </cell>
          <cell r="C40">
            <v>7179.8209900000002</v>
          </cell>
          <cell r="D40">
            <v>5051.9989499999992</v>
          </cell>
          <cell r="E40">
            <v>5051.9989499999992</v>
          </cell>
          <cell r="F40">
            <v>16960.473999999995</v>
          </cell>
          <cell r="G40">
            <v>16960.473999999995</v>
          </cell>
          <cell r="H40">
            <v>16970.061909999997</v>
          </cell>
          <cell r="I40">
            <v>16970.061909999997</v>
          </cell>
          <cell r="J40">
            <v>9262.223939999998</v>
          </cell>
          <cell r="K40">
            <v>6146.0929300000007</v>
          </cell>
          <cell r="L40">
            <v>9981.1709599999976</v>
          </cell>
          <cell r="M40">
            <v>10399.56496</v>
          </cell>
          <cell r="N40">
            <v>13657.60291</v>
          </cell>
          <cell r="O40">
            <v>15337.341949999998</v>
          </cell>
          <cell r="P40">
            <v>7917.2109999999993</v>
          </cell>
          <cell r="Q40">
            <v>7650.0259400000004</v>
          </cell>
          <cell r="R40">
            <v>16026.023929999998</v>
          </cell>
          <cell r="S40">
            <v>7911.1709200000014</v>
          </cell>
          <cell r="T40">
            <v>14808.12398</v>
          </cell>
          <cell r="U40">
            <v>29227.160939999998</v>
          </cell>
          <cell r="V40">
            <v>29227.160939999998</v>
          </cell>
          <cell r="W40">
            <v>20389.372000000003</v>
          </cell>
          <cell r="X40">
            <v>11186.011999999999</v>
          </cell>
          <cell r="Y40">
            <v>16131.264470619581</v>
          </cell>
          <cell r="Z40">
            <v>9389.8614367222108</v>
          </cell>
          <cell r="AA40">
            <v>4731.4400832205502</v>
          </cell>
          <cell r="AB40">
            <v>5867.1624598386697</v>
          </cell>
          <cell r="AC40">
            <v>7580.7893529569501</v>
          </cell>
          <cell r="AD40">
            <v>7869.7445667007196</v>
          </cell>
          <cell r="AE40">
            <v>8563.8699068499009</v>
          </cell>
          <cell r="AF40">
            <v>8928.5399344523303</v>
          </cell>
          <cell r="AG40">
            <v>27825.295052761699</v>
          </cell>
          <cell r="AH40">
            <v>22094.632627026342</v>
          </cell>
          <cell r="AI40">
            <v>22094.632627026342</v>
          </cell>
          <cell r="AJ40">
            <v>12755.6061671565</v>
          </cell>
          <cell r="AK40">
            <v>13460.859617541901</v>
          </cell>
          <cell r="AL40">
            <v>21102.38266255254</v>
          </cell>
          <cell r="AM40">
            <v>6966.9836152896096</v>
          </cell>
          <cell r="AN40">
            <v>11406.420062977129</v>
          </cell>
          <cell r="AO40">
            <v>14431.643772882999</v>
          </cell>
          <cell r="AP40">
            <v>6476.3166583775601</v>
          </cell>
          <cell r="AQ40">
            <v>6883.0795239051804</v>
          </cell>
          <cell r="AR40">
            <v>9789.5214439964693</v>
          </cell>
          <cell r="AS40">
            <v>7169.5836584448207</v>
          </cell>
          <cell r="AT40">
            <v>17955.811062148019</v>
          </cell>
          <cell r="AU40">
            <v>48626.0468736615</v>
          </cell>
        </row>
        <row r="41">
          <cell r="A41" t="str">
            <v>Obligaciones con Gobierno M/E</v>
          </cell>
          <cell r="C41">
            <v>2699.5916499999998</v>
          </cell>
          <cell r="D41">
            <v>2523.0224900000003</v>
          </cell>
          <cell r="E41">
            <v>2887.7678000000001</v>
          </cell>
          <cell r="F41">
            <v>9978.3606</v>
          </cell>
          <cell r="G41">
            <v>11527.83684</v>
          </cell>
          <cell r="H41">
            <v>15972.421680000001</v>
          </cell>
          <cell r="I41">
            <v>17839.408000000003</v>
          </cell>
          <cell r="J41">
            <v>18824.016</v>
          </cell>
          <cell r="K41">
            <v>17555.903999999999</v>
          </cell>
          <cell r="L41">
            <v>20592.088</v>
          </cell>
          <cell r="M41">
            <v>17726.192000000003</v>
          </cell>
          <cell r="N41">
            <v>19569.432000000001</v>
          </cell>
          <cell r="O41">
            <v>23571.896000000001</v>
          </cell>
          <cell r="P41">
            <v>30001.775999999998</v>
          </cell>
          <cell r="Q41">
            <v>17811.567999999999</v>
          </cell>
          <cell r="R41">
            <v>19631.144</v>
          </cell>
          <cell r="S41">
            <v>18047.512000000002</v>
          </cell>
          <cell r="T41">
            <v>22997.928</v>
          </cell>
          <cell r="U41">
            <v>33672.248</v>
          </cell>
          <cell r="V41">
            <v>37321.042459999997</v>
          </cell>
          <cell r="W41">
            <v>41570.538099999998</v>
          </cell>
          <cell r="X41">
            <v>45495.780199999994</v>
          </cell>
          <cell r="Y41">
            <v>40728.674496715401</v>
          </cell>
          <cell r="Z41">
            <v>97972.025925552996</v>
          </cell>
          <cell r="AA41">
            <v>52265.134376974995</v>
          </cell>
          <cell r="AB41">
            <v>41303.557941050596</v>
          </cell>
          <cell r="AC41">
            <v>40308.1254595344</v>
          </cell>
          <cell r="AD41">
            <v>37884.569642802999</v>
          </cell>
          <cell r="AE41">
            <v>36721.927260623801</v>
          </cell>
          <cell r="AF41">
            <v>37630.469191887001</v>
          </cell>
          <cell r="AG41">
            <v>37928.876801067199</v>
          </cell>
          <cell r="AH41">
            <v>38623.297585766399</v>
          </cell>
          <cell r="AI41">
            <v>42357.353656320003</v>
          </cell>
          <cell r="AJ41">
            <v>41163.042811440006</v>
          </cell>
          <cell r="AK41">
            <v>40754.021511960003</v>
          </cell>
          <cell r="AL41">
            <v>40439.064778259999</v>
          </cell>
          <cell r="AM41">
            <v>41783.007990693157</v>
          </cell>
          <cell r="AN41">
            <v>102389.66538208821</v>
          </cell>
          <cell r="AO41">
            <v>76454.411094719995</v>
          </cell>
          <cell r="AP41">
            <v>82425.95555197302</v>
          </cell>
          <cell r="AQ41">
            <v>57525.206108820814</v>
          </cell>
          <cell r="AR41">
            <v>45941.294810696425</v>
          </cell>
          <cell r="AS41">
            <v>46924.959028692581</v>
          </cell>
          <cell r="AT41">
            <v>27550.984150242708</v>
          </cell>
          <cell r="AU41">
            <v>32186.986477039278</v>
          </cell>
        </row>
        <row r="42">
          <cell r="A42" t="str">
            <v>Obligaciones con Entidades</v>
          </cell>
          <cell r="C42">
            <v>562.18831999999998</v>
          </cell>
          <cell r="D42">
            <v>510.86221999999998</v>
          </cell>
          <cell r="E42">
            <v>511.18016</v>
          </cell>
          <cell r="F42">
            <v>1072.97218</v>
          </cell>
          <cell r="G42">
            <v>1073.3630599999999</v>
          </cell>
          <cell r="H42">
            <v>364.88803999999999</v>
          </cell>
          <cell r="I42">
            <v>365.22796</v>
          </cell>
          <cell r="J42">
            <v>345.65692000000001</v>
          </cell>
          <cell r="K42">
            <v>395.49095999999997</v>
          </cell>
          <cell r="L42">
            <v>331.25596000000002</v>
          </cell>
          <cell r="M42">
            <v>348.38893999999999</v>
          </cell>
          <cell r="N42">
            <v>341.52497999999997</v>
          </cell>
          <cell r="O42">
            <v>361.33089999999999</v>
          </cell>
          <cell r="P42">
            <v>364.34997999999996</v>
          </cell>
          <cell r="Q42">
            <v>325.95895999999999</v>
          </cell>
          <cell r="R42">
            <v>471.41998000000001</v>
          </cell>
          <cell r="S42">
            <v>350.35695999999996</v>
          </cell>
          <cell r="T42">
            <v>347.99597999999997</v>
          </cell>
          <cell r="U42">
            <v>20.621940000000002</v>
          </cell>
          <cell r="V42">
            <v>20.9739</v>
          </cell>
          <cell r="W42">
            <v>341.41190000000006</v>
          </cell>
          <cell r="X42">
            <v>374.08992000000001</v>
          </cell>
          <cell r="Y42">
            <v>109.07817551305399</v>
          </cell>
          <cell r="Z42">
            <v>134.14127093880001</v>
          </cell>
          <cell r="AA42">
            <v>28.723560193876001</v>
          </cell>
          <cell r="AB42">
            <v>25.526902026064</v>
          </cell>
          <cell r="AC42">
            <v>29.785141444678001</v>
          </cell>
          <cell r="AD42">
            <v>25.411922030384002</v>
          </cell>
          <cell r="AE42">
            <v>5860.1345228090804</v>
          </cell>
          <cell r="AF42">
            <v>26.4337785092</v>
          </cell>
          <cell r="AG42">
            <v>29.5604184492</v>
          </cell>
          <cell r="AH42">
            <v>99.158504967399992</v>
          </cell>
          <cell r="AI42">
            <v>101.09776918</v>
          </cell>
          <cell r="AJ42">
            <v>21.663891679999999</v>
          </cell>
          <cell r="AK42">
            <v>75.777061759999995</v>
          </cell>
          <cell r="AL42">
            <v>25.008670609999999</v>
          </cell>
          <cell r="AM42">
            <v>24.054019739999998</v>
          </cell>
          <cell r="AN42">
            <v>99.092925969999996</v>
          </cell>
          <cell r="AO42">
            <v>34.523868440000001</v>
          </cell>
          <cell r="AP42">
            <v>25.58300603</v>
          </cell>
          <cell r="AQ42">
            <v>24.616315749999998</v>
          </cell>
          <cell r="AR42">
            <v>19.377745990000001</v>
          </cell>
          <cell r="AS42">
            <v>23.477087489999999</v>
          </cell>
          <cell r="AT42">
            <v>25.25977481</v>
          </cell>
          <cell r="AU42">
            <v>37.13293942</v>
          </cell>
        </row>
        <row r="43">
          <cell r="A43" t="str">
            <v>Depósitos de los bancos M/N</v>
          </cell>
          <cell r="C43">
            <v>49966.51</v>
          </cell>
          <cell r="D43">
            <v>64632.557000000001</v>
          </cell>
          <cell r="E43">
            <v>64632.557000000001</v>
          </cell>
          <cell r="F43">
            <v>49363.409</v>
          </cell>
          <cell r="G43">
            <v>49363.409</v>
          </cell>
          <cell r="H43">
            <v>44326.845000000001</v>
          </cell>
          <cell r="I43">
            <v>44326.845000000001</v>
          </cell>
          <cell r="J43">
            <v>45976.341999999997</v>
          </cell>
          <cell r="K43">
            <v>43482.101999999999</v>
          </cell>
          <cell r="L43">
            <v>53508.445</v>
          </cell>
          <cell r="M43">
            <v>48418.48</v>
          </cell>
          <cell r="N43">
            <v>40274.635999999999</v>
          </cell>
          <cell r="O43">
            <v>58227.385999999999</v>
          </cell>
          <cell r="P43">
            <v>49596.436000000002</v>
          </cell>
          <cell r="Q43">
            <v>71948.070000000007</v>
          </cell>
          <cell r="R43">
            <v>52314.449000000001</v>
          </cell>
          <cell r="S43">
            <v>43906.603999999999</v>
          </cell>
          <cell r="T43">
            <v>55496.593999999997</v>
          </cell>
          <cell r="U43">
            <v>49219.383000000002</v>
          </cell>
          <cell r="V43">
            <v>49219.383000000002</v>
          </cell>
          <cell r="W43">
            <v>56187.514999999999</v>
          </cell>
          <cell r="X43">
            <v>62576.163999999997</v>
          </cell>
          <cell r="Y43">
            <v>40319.337697039999</v>
          </cell>
          <cell r="Z43">
            <v>68647.985951790004</v>
          </cell>
          <cell r="AA43">
            <v>76376.584560339994</v>
          </cell>
          <cell r="AB43">
            <v>77666.350220199995</v>
          </cell>
          <cell r="AC43">
            <v>66526.409400279997</v>
          </cell>
          <cell r="AD43">
            <v>70711.487982830004</v>
          </cell>
          <cell r="AE43">
            <v>83070.513301190003</v>
          </cell>
          <cell r="AF43">
            <v>81721.278380749995</v>
          </cell>
          <cell r="AG43">
            <v>85465.880223959903</v>
          </cell>
          <cell r="AH43">
            <v>77558.053398909993</v>
          </cell>
          <cell r="AI43">
            <v>77558.053398909993</v>
          </cell>
          <cell r="AJ43">
            <v>90097.503365490003</v>
          </cell>
          <cell r="AK43">
            <v>85787.025936410006</v>
          </cell>
          <cell r="AL43">
            <v>80766.643528410001</v>
          </cell>
          <cell r="AM43">
            <v>100937.34730931</v>
          </cell>
          <cell r="AN43">
            <v>92856.766543909995</v>
          </cell>
          <cell r="AO43">
            <v>91528.256683109998</v>
          </cell>
          <cell r="AP43">
            <v>93337.038017379993</v>
          </cell>
          <cell r="AQ43">
            <v>95989.347983450003</v>
          </cell>
          <cell r="AR43">
            <v>97404.206751370002</v>
          </cell>
          <cell r="AS43">
            <v>103045.96892111</v>
          </cell>
          <cell r="AT43">
            <v>90171.200429350007</v>
          </cell>
          <cell r="AU43">
            <v>44067.105451219897</v>
          </cell>
        </row>
        <row r="44">
          <cell r="A44" t="str">
            <v>Obligaciones con Sector finan no bancario</v>
          </cell>
          <cell r="C44">
            <v>542.78093000000001</v>
          </cell>
          <cell r="D44">
            <v>693.59199999999998</v>
          </cell>
          <cell r="E44">
            <v>693.59199999999998</v>
          </cell>
          <cell r="F44">
            <v>619.52199999999993</v>
          </cell>
          <cell r="G44">
            <v>619.52199999999993</v>
          </cell>
          <cell r="H44">
            <v>727.92600000000004</v>
          </cell>
          <cell r="I44">
            <v>727.92600000000004</v>
          </cell>
          <cell r="J44">
            <v>677.67499999999995</v>
          </cell>
          <cell r="K44">
            <v>703.15199999999993</v>
          </cell>
          <cell r="L44">
            <v>865.37499999999989</v>
          </cell>
          <cell r="M44">
            <v>903.84599999999989</v>
          </cell>
          <cell r="N44">
            <v>927.58100000000002</v>
          </cell>
          <cell r="O44">
            <v>1058.0600000000002</v>
          </cell>
          <cell r="P44">
            <v>1188.626</v>
          </cell>
          <cell r="Q44">
            <v>1258.548</v>
          </cell>
          <cell r="R44">
            <v>1229.797</v>
          </cell>
          <cell r="S44">
            <v>1417.681</v>
          </cell>
          <cell r="T44">
            <v>1310.2260000000001</v>
          </cell>
          <cell r="U44">
            <v>4972.3890000000001</v>
          </cell>
          <cell r="V44">
            <v>4972.3890000000001</v>
          </cell>
          <cell r="W44">
            <v>5173.3279999999995</v>
          </cell>
          <cell r="X44">
            <v>6371.4389999999994</v>
          </cell>
          <cell r="Y44">
            <v>14838.030408352401</v>
          </cell>
          <cell r="Z44">
            <v>10011.490718399999</v>
          </cell>
          <cell r="AA44">
            <v>11317.50057905</v>
          </cell>
          <cell r="AB44">
            <v>10604.9640655614</v>
          </cell>
          <cell r="AC44">
            <v>12174.5070372766</v>
          </cell>
          <cell r="AD44">
            <v>12583.7987327786</v>
          </cell>
          <cell r="AE44">
            <v>13493.8511469886</v>
          </cell>
          <cell r="AF44">
            <v>14379.782258828598</v>
          </cell>
          <cell r="AG44">
            <v>14623.7052244512</v>
          </cell>
          <cell r="AH44">
            <v>15495.706150362001</v>
          </cell>
          <cell r="AI44">
            <v>15567.89795706</v>
          </cell>
          <cell r="AJ44">
            <v>17032.86060177</v>
          </cell>
          <cell r="AK44">
            <v>17053.514900679998</v>
          </cell>
          <cell r="AL44">
            <v>16796.449925300003</v>
          </cell>
          <cell r="AM44">
            <v>17311.655586289999</v>
          </cell>
          <cell r="AN44">
            <v>20029.41721698</v>
          </cell>
          <cell r="AO44">
            <v>19331.171400589999</v>
          </cell>
          <cell r="AP44">
            <v>20035.081058750002</v>
          </cell>
          <cell r="AQ44">
            <v>21408.895056880003</v>
          </cell>
          <cell r="AR44">
            <v>19344.419573409999</v>
          </cell>
          <cell r="AS44">
            <v>17519.842622870005</v>
          </cell>
          <cell r="AT44">
            <v>19984.472506800001</v>
          </cell>
          <cell r="AU44">
            <v>17430.634437980003</v>
          </cell>
        </row>
        <row r="45">
          <cell r="A45" t="str">
            <v>Depósitos por donaciones AID</v>
          </cell>
          <cell r="C45">
            <v>18527.411399999997</v>
          </cell>
          <cell r="D45">
            <v>17233.071</v>
          </cell>
          <cell r="E45">
            <v>17233.071</v>
          </cell>
          <cell r="F45">
            <v>17233.071</v>
          </cell>
          <cell r="G45">
            <v>17233.071</v>
          </cell>
          <cell r="H45">
            <v>14005.330999999987</v>
          </cell>
          <cell r="I45">
            <v>14005.330999999987</v>
          </cell>
          <cell r="J45">
            <v>13996.002999999999</v>
          </cell>
          <cell r="K45">
            <v>13983.594999999999</v>
          </cell>
          <cell r="L45">
            <v>13975.565999999999</v>
          </cell>
          <cell r="M45">
            <v>13967.535999999998</v>
          </cell>
          <cell r="N45">
            <v>13951.471</v>
          </cell>
          <cell r="O45">
            <v>13943.924999999999</v>
          </cell>
          <cell r="P45">
            <v>13907.558999999999</v>
          </cell>
          <cell r="Q45">
            <v>13900.217999999999</v>
          </cell>
          <cell r="R45">
            <v>13900.217999999999</v>
          </cell>
          <cell r="S45">
            <v>13879.300999999998</v>
          </cell>
          <cell r="T45">
            <v>13879.300999999998</v>
          </cell>
          <cell r="U45">
            <v>13866.455999999998</v>
          </cell>
          <cell r="V45">
            <v>13866.455999999998</v>
          </cell>
          <cell r="W45">
            <v>13866.455999999998</v>
          </cell>
          <cell r="X45">
            <v>13859.725999999999</v>
          </cell>
          <cell r="Y45">
            <v>13820.577388439999</v>
          </cell>
          <cell r="Z45">
            <v>13820.577388439999</v>
          </cell>
          <cell r="AA45">
            <v>13820.577388439999</v>
          </cell>
          <cell r="AB45">
            <v>13809.62659514</v>
          </cell>
          <cell r="AC45">
            <v>13804.151198489999</v>
          </cell>
          <cell r="AD45">
            <v>13793.200405189998</v>
          </cell>
          <cell r="AE45">
            <v>13793.200405189998</v>
          </cell>
          <cell r="AF45">
            <v>13787.72030854</v>
          </cell>
          <cell r="AG45">
            <v>13787.72030854</v>
          </cell>
          <cell r="AH45">
            <v>13771.29411859</v>
          </cell>
          <cell r="AI45">
            <v>13771.29411859</v>
          </cell>
          <cell r="AJ45">
            <v>13771.29411859</v>
          </cell>
          <cell r="AK45">
            <v>13766.00927749</v>
          </cell>
          <cell r="AL45">
            <v>13760.724436389999</v>
          </cell>
          <cell r="AM45">
            <v>13782.03599919</v>
          </cell>
          <cell r="AN45">
            <v>13782.03599919</v>
          </cell>
          <cell r="AO45">
            <v>13767.340820039999</v>
          </cell>
          <cell r="AP45">
            <v>13767.340820039999</v>
          </cell>
          <cell r="AQ45">
            <v>13767.340820039999</v>
          </cell>
          <cell r="AR45">
            <v>13767.340820039999</v>
          </cell>
          <cell r="AS45">
            <v>13767.340820039999</v>
          </cell>
          <cell r="AT45">
            <v>13767.340820039999</v>
          </cell>
          <cell r="AU45">
            <v>13768.712475599999</v>
          </cell>
        </row>
        <row r="46">
          <cell r="A46" t="str">
            <v>Depósito especial del Gob</v>
          </cell>
          <cell r="C46">
            <v>19.899999999999999</v>
          </cell>
          <cell r="D46">
            <v>19.899999999999999</v>
          </cell>
          <cell r="E46">
            <v>19.899999999999999</v>
          </cell>
          <cell r="F46">
            <v>19.899999999999999</v>
          </cell>
          <cell r="G46">
            <v>19.899999999999999</v>
          </cell>
          <cell r="H46">
            <v>19.899999999999999</v>
          </cell>
          <cell r="I46">
            <v>19.899999999999999</v>
          </cell>
          <cell r="J46">
            <v>19.899999999999999</v>
          </cell>
          <cell r="K46">
            <v>19.899999999999999</v>
          </cell>
          <cell r="L46">
            <v>19.899999999999999</v>
          </cell>
          <cell r="M46">
            <v>19.899999999999999</v>
          </cell>
          <cell r="N46">
            <v>19.899999999999999</v>
          </cell>
          <cell r="O46">
            <v>19.899999999999999</v>
          </cell>
          <cell r="P46">
            <v>19.899999999999999</v>
          </cell>
          <cell r="Q46">
            <v>19.899999999999999</v>
          </cell>
          <cell r="R46">
            <v>19.899999999999999</v>
          </cell>
          <cell r="S46">
            <v>19.899999999999999</v>
          </cell>
          <cell r="T46">
            <v>19.899999999999999</v>
          </cell>
          <cell r="U46">
            <v>19.899999999999999</v>
          </cell>
          <cell r="V46">
            <v>19.899999999999999</v>
          </cell>
          <cell r="W46">
            <v>19.899999999999999</v>
          </cell>
          <cell r="X46">
            <v>19.899999999999999</v>
          </cell>
          <cell r="Y46">
            <v>19.899999999999999</v>
          </cell>
          <cell r="Z46">
            <v>19.899999999999999</v>
          </cell>
          <cell r="AA46">
            <v>19.899999999999999</v>
          </cell>
          <cell r="AB46">
            <v>19.899999999999999</v>
          </cell>
          <cell r="AC46">
            <v>19.899999999999999</v>
          </cell>
          <cell r="AD46">
            <v>19.899999999999999</v>
          </cell>
          <cell r="AE46">
            <v>19.899999999999999</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Pasivos no clasificados</v>
          </cell>
          <cell r="C47">
            <v>110012.98225000003</v>
          </cell>
          <cell r="D47">
            <v>108602.65742000003</v>
          </cell>
          <cell r="E47">
            <v>113737.09319000001</v>
          </cell>
          <cell r="F47">
            <v>109085.24347</v>
          </cell>
          <cell r="G47">
            <v>114723.29659</v>
          </cell>
          <cell r="H47">
            <v>228502.35562000002</v>
          </cell>
          <cell r="I47">
            <v>233294.57206000001</v>
          </cell>
          <cell r="J47">
            <v>229796.4186</v>
          </cell>
          <cell r="K47">
            <v>230974.25344</v>
          </cell>
          <cell r="L47">
            <v>232075.19353999998</v>
          </cell>
          <cell r="M47">
            <v>230118.18459999998</v>
          </cell>
          <cell r="N47">
            <v>225798.53938</v>
          </cell>
          <cell r="O47">
            <v>224924.21405000001</v>
          </cell>
          <cell r="P47">
            <v>224750.46038</v>
          </cell>
          <cell r="Q47">
            <v>224568.40551000001</v>
          </cell>
          <cell r="R47">
            <v>238469.85249000002</v>
          </cell>
          <cell r="S47">
            <v>235586.57861999996</v>
          </cell>
          <cell r="T47">
            <v>236333.50552000004</v>
          </cell>
          <cell r="U47">
            <v>241399.22159999999</v>
          </cell>
          <cell r="V47">
            <v>245770.84133999998</v>
          </cell>
          <cell r="W47">
            <v>245971.65435999999</v>
          </cell>
          <cell r="X47">
            <v>246552.66249999995</v>
          </cell>
          <cell r="Y47">
            <v>243600.19502428325</v>
          </cell>
          <cell r="Z47">
            <v>243649.51555855246</v>
          </cell>
          <cell r="AA47">
            <v>243344.65455317011</v>
          </cell>
          <cell r="AB47">
            <v>243556.06375666725</v>
          </cell>
          <cell r="AC47">
            <v>240401.6486943833</v>
          </cell>
          <cell r="AD47">
            <v>241465.72991650808</v>
          </cell>
          <cell r="AE47">
            <v>241019.4256631615</v>
          </cell>
          <cell r="AF47">
            <v>247163.23795083552</v>
          </cell>
          <cell r="AG47">
            <v>246565.16928976317</v>
          </cell>
          <cell r="AH47">
            <v>258550.86795652533</v>
          </cell>
          <cell r="AI47">
            <v>263807.91150597471</v>
          </cell>
          <cell r="AJ47">
            <v>275664.99676019611</v>
          </cell>
          <cell r="AK47">
            <v>291778.40943961148</v>
          </cell>
          <cell r="AL47">
            <v>300360.90243684297</v>
          </cell>
          <cell r="AM47">
            <v>305721.35388210585</v>
          </cell>
          <cell r="AN47">
            <v>310047.21624585678</v>
          </cell>
          <cell r="AO47">
            <v>312843.31894730136</v>
          </cell>
          <cell r="AP47">
            <v>314329.56084365433</v>
          </cell>
          <cell r="AQ47">
            <v>314476.36508307012</v>
          </cell>
          <cell r="AR47">
            <v>317661.81333884684</v>
          </cell>
          <cell r="AS47">
            <v>321175.24925332074</v>
          </cell>
          <cell r="AT47">
            <v>316595.6695578004</v>
          </cell>
          <cell r="AU47">
            <v>316385.42448100442</v>
          </cell>
        </row>
        <row r="48">
          <cell r="A48" t="str">
            <v>Cambio en depósitos de Bcos en M/E</v>
          </cell>
          <cell r="C48">
            <v>93947.674499999994</v>
          </cell>
          <cell r="D48">
            <v>106292.12087999999</v>
          </cell>
          <cell r="E48">
            <v>121658.4336</v>
          </cell>
          <cell r="F48">
            <v>142229.17180000001</v>
          </cell>
          <cell r="G48">
            <v>164315.03652000002</v>
          </cell>
          <cell r="H48">
            <v>192090.93948</v>
          </cell>
          <cell r="I48">
            <v>214544.08799999999</v>
          </cell>
          <cell r="J48">
            <v>224854.864</v>
          </cell>
          <cell r="K48">
            <v>221969.712</v>
          </cell>
          <cell r="L48">
            <v>226268.44</v>
          </cell>
          <cell r="M48">
            <v>224904.74400000001</v>
          </cell>
          <cell r="N48">
            <v>233473.432</v>
          </cell>
          <cell r="O48">
            <v>243653.128</v>
          </cell>
          <cell r="P48">
            <v>236153.26400000002</v>
          </cell>
          <cell r="Q48">
            <v>241423.60800000004</v>
          </cell>
          <cell r="R48">
            <v>246741.28</v>
          </cell>
          <cell r="S48">
            <v>240254.09599999999</v>
          </cell>
          <cell r="T48">
            <v>228978.43199999997</v>
          </cell>
          <cell r="U48">
            <v>233061.864</v>
          </cell>
          <cell r="V48">
            <v>258316.92977999998</v>
          </cell>
          <cell r="W48">
            <v>263969.38125999999</v>
          </cell>
          <cell r="X48">
            <v>253422.01274000001</v>
          </cell>
          <cell r="Y48">
            <v>272443.9651351964</v>
          </cell>
          <cell r="Z48">
            <v>277979.30452159914</v>
          </cell>
          <cell r="AA48">
            <v>274989.55858536734</v>
          </cell>
          <cell r="AB48">
            <v>285253.50249113637</v>
          </cell>
          <cell r="AC48">
            <v>295430.40199721878</v>
          </cell>
          <cell r="AD48">
            <v>300670.10696762777</v>
          </cell>
          <cell r="AE48">
            <v>296735.22319761576</v>
          </cell>
          <cell r="AF48">
            <v>288201.16167043243</v>
          </cell>
          <cell r="AG48">
            <v>251923.38129535978</v>
          </cell>
          <cell r="AH48">
            <v>226286.14945494218</v>
          </cell>
          <cell r="AI48">
            <v>248163.23460485999</v>
          </cell>
          <cell r="AJ48">
            <v>242690.87157192003</v>
          </cell>
          <cell r="AK48">
            <v>242317.71583895999</v>
          </cell>
          <cell r="AL48">
            <v>233588.98979046001</v>
          </cell>
          <cell r="AM48">
            <v>240388.60721592</v>
          </cell>
          <cell r="AN48">
            <v>239888.7467172</v>
          </cell>
          <cell r="AO48">
            <v>245832.57471006</v>
          </cell>
          <cell r="AP48">
            <v>253956.47676912</v>
          </cell>
          <cell r="AQ48">
            <v>236298.48475158002</v>
          </cell>
          <cell r="AR48">
            <v>212852.70821448002</v>
          </cell>
          <cell r="AS48">
            <v>208294.29523884002</v>
          </cell>
          <cell r="AT48">
            <v>201375.48668664001</v>
          </cell>
          <cell r="AU48">
            <v>204137.44290863999</v>
          </cell>
        </row>
        <row r="49">
          <cell r="A49" t="str">
            <v>Emisión</v>
          </cell>
          <cell r="C49">
            <v>63996.555899999992</v>
          </cell>
          <cell r="D49">
            <v>86012.928899999999</v>
          </cell>
          <cell r="E49">
            <v>86012.928899999999</v>
          </cell>
          <cell r="F49">
            <v>98930.90800000001</v>
          </cell>
          <cell r="G49">
            <v>98930.90800000001</v>
          </cell>
          <cell r="H49">
            <v>115765.6459</v>
          </cell>
          <cell r="I49">
            <v>115765.6459</v>
          </cell>
          <cell r="J49">
            <v>98622.474000000002</v>
          </cell>
          <cell r="K49">
            <v>97738.967000000004</v>
          </cell>
          <cell r="L49">
            <v>99384.570999999996</v>
          </cell>
          <cell r="M49">
            <v>97520.047999999981</v>
          </cell>
          <cell r="N49">
            <v>96311.207999999999</v>
          </cell>
          <cell r="O49">
            <v>96227.221999999994</v>
          </cell>
          <cell r="P49">
            <v>98406.516000000003</v>
          </cell>
          <cell r="Q49">
            <v>99123.035999999993</v>
          </cell>
          <cell r="R49">
            <v>100953.19500000001</v>
          </cell>
          <cell r="S49">
            <v>105712.45699999999</v>
          </cell>
          <cell r="T49">
            <v>125928.87</v>
          </cell>
          <cell r="U49">
            <v>146843.71900000001</v>
          </cell>
          <cell r="V49">
            <v>146843.71900000001</v>
          </cell>
          <cell r="W49">
            <v>125409.383</v>
          </cell>
          <cell r="X49">
            <v>121529.6839</v>
          </cell>
          <cell r="Y49">
            <v>120642.83656185</v>
          </cell>
          <cell r="Z49">
            <v>121915.70975285</v>
          </cell>
          <cell r="AA49">
            <v>119968.99234714999</v>
          </cell>
          <cell r="AB49">
            <v>118005.13466814999</v>
          </cell>
          <cell r="AC49">
            <v>118427.83018814999</v>
          </cell>
          <cell r="AD49">
            <v>117369.96538764999</v>
          </cell>
          <cell r="AE49">
            <v>117919.80712615</v>
          </cell>
          <cell r="AF49">
            <v>120875.3278649</v>
          </cell>
          <cell r="AG49">
            <v>142234.28913590001</v>
          </cell>
          <cell r="AH49">
            <v>165349.17987990001</v>
          </cell>
          <cell r="AI49">
            <v>165349.17987990001</v>
          </cell>
          <cell r="AJ49">
            <v>138982.86367689999</v>
          </cell>
          <cell r="AK49">
            <v>136793.1048224</v>
          </cell>
          <cell r="AL49">
            <v>141392.56491439999</v>
          </cell>
          <cell r="AM49">
            <v>134807.38343089999</v>
          </cell>
          <cell r="AN49">
            <v>133678.47977490001</v>
          </cell>
          <cell r="AO49">
            <v>132740.25695440001</v>
          </cell>
          <cell r="AP49">
            <v>135376.00839800001</v>
          </cell>
          <cell r="AQ49">
            <v>133731.74582400001</v>
          </cell>
          <cell r="AR49">
            <v>136169.180073</v>
          </cell>
          <cell r="AS49">
            <v>139411.97977949999</v>
          </cell>
          <cell r="AT49">
            <v>165569.703438</v>
          </cell>
          <cell r="AU49">
            <v>229813.11888324999</v>
          </cell>
        </row>
        <row r="111">
          <cell r="A111" t="str">
            <v>Activos no clasificados</v>
          </cell>
        </row>
        <row r="112">
          <cell r="A112" t="str">
            <v>Déficit</v>
          </cell>
        </row>
        <row r="113">
          <cell r="A113" t="str">
            <v>Cuentas de fluctuación</v>
          </cell>
        </row>
        <row r="116">
          <cell r="A116" t="str">
            <v>PASIVOS</v>
          </cell>
        </row>
        <row r="118">
          <cell r="A118" t="str">
            <v>Operaciones de mercado abierto</v>
          </cell>
        </row>
        <row r="119">
          <cell r="A119" t="str">
            <v xml:space="preserve">     Bonos de estabilización monetaria</v>
          </cell>
        </row>
        <row r="120">
          <cell r="A120" t="str">
            <v xml:space="preserve">             Entidades</v>
          </cell>
        </row>
        <row r="121">
          <cell r="A121" t="str">
            <v xml:space="preserve">            Sector financiero no bancario</v>
          </cell>
        </row>
        <row r="122">
          <cell r="A122" t="str">
            <v xml:space="preserve">            Bancos comerciales</v>
          </cell>
        </row>
        <row r="123">
          <cell r="A123" t="str">
            <v xml:space="preserve">            Sector privado</v>
          </cell>
        </row>
        <row r="124">
          <cell r="A124" t="str">
            <v xml:space="preserve">     Inversiones de corto plazo</v>
          </cell>
        </row>
        <row r="125">
          <cell r="A125" t="str">
            <v xml:space="preserve">             Entidades</v>
          </cell>
        </row>
        <row r="126">
          <cell r="A126" t="str">
            <v xml:space="preserve">            Sector financiero no bancario</v>
          </cell>
        </row>
        <row r="127">
          <cell r="A127" t="str">
            <v xml:space="preserve">            Bancos comerciales</v>
          </cell>
        </row>
        <row r="128">
          <cell r="A128" t="str">
            <v xml:space="preserve">            Sector privado</v>
          </cell>
        </row>
        <row r="129">
          <cell r="A129" t="str">
            <v>BEM  conversión, canje y fundaciones</v>
          </cell>
        </row>
        <row r="130">
          <cell r="A130" t="str">
            <v>Endeudamiento externo neto</v>
          </cell>
        </row>
        <row r="131">
          <cell r="A131" t="str">
            <v>Obligaciones con Gobierno M/N</v>
          </cell>
        </row>
        <row r="132">
          <cell r="A132" t="str">
            <v>Obligaciones con Gobierno M/E</v>
          </cell>
        </row>
        <row r="133">
          <cell r="A133" t="str">
            <v>Obligaciones con Entidades</v>
          </cell>
        </row>
        <row r="134">
          <cell r="A134" t="str">
            <v>Depósitos de los bancos M/N</v>
          </cell>
        </row>
        <row r="135">
          <cell r="A135" t="str">
            <v>Obligaciones con Sector finan no bancario</v>
          </cell>
        </row>
        <row r="136">
          <cell r="A136" t="str">
            <v>Depósitos por donaciones AID</v>
          </cell>
        </row>
        <row r="137">
          <cell r="A137" t="str">
            <v>Depósito especial del Gob</v>
          </cell>
        </row>
        <row r="138">
          <cell r="A138" t="str">
            <v>Pasivos no clasificados</v>
          </cell>
        </row>
        <row r="139">
          <cell r="A139" t="str">
            <v>Cambio en depósitos de Bcos en M/E</v>
          </cell>
        </row>
        <row r="140">
          <cell r="A140" t="str">
            <v>Emisión</v>
          </cell>
        </row>
        <row r="142">
          <cell r="A142" t="str">
            <v>CIERRE</v>
          </cell>
        </row>
        <row r="177">
          <cell r="A177" t="str">
            <v>BANCOS COMERCIALES</v>
          </cell>
        </row>
        <row r="178">
          <cell r="A178" t="str">
            <v>CUENTAS MONETARIAS</v>
          </cell>
        </row>
        <row r="179">
          <cell r="A179" t="str">
            <v>SALDOS EN MILLONES</v>
          </cell>
        </row>
        <row r="182">
          <cell r="A182" t="str">
            <v>ACTIVOS</v>
          </cell>
          <cell r="C182">
            <v>611713.80505299987</v>
          </cell>
          <cell r="D182">
            <v>717008.60765499994</v>
          </cell>
          <cell r="E182">
            <v>767599.14778300002</v>
          </cell>
          <cell r="F182">
            <v>762322.51144100004</v>
          </cell>
          <cell r="G182">
            <v>831617.54752899997</v>
          </cell>
          <cell r="H182">
            <v>955570.58101399988</v>
          </cell>
          <cell r="I182">
            <v>1026690.920878</v>
          </cell>
          <cell r="J182">
            <v>1054828.7116719999</v>
          </cell>
          <cell r="K182">
            <v>1060381.4635730002</v>
          </cell>
          <cell r="L182">
            <v>1066248.3157490001</v>
          </cell>
          <cell r="M182">
            <v>1094181.793852</v>
          </cell>
          <cell r="N182">
            <v>1094034.018038</v>
          </cell>
          <cell r="O182">
            <v>1038690.05672</v>
          </cell>
          <cell r="P182">
            <v>1049311.6158380001</v>
          </cell>
          <cell r="Q182">
            <v>1067215.410444</v>
          </cell>
          <cell r="R182">
            <v>1103813.1401889999</v>
          </cell>
          <cell r="S182">
            <v>1115885.7784239999</v>
          </cell>
          <cell r="T182">
            <v>1155446.9720799997</v>
          </cell>
          <cell r="U182">
            <v>1098881.5834840001</v>
          </cell>
          <cell r="V182">
            <v>1180547.5888299998</v>
          </cell>
          <cell r="W182">
            <v>1208115.1705299998</v>
          </cell>
          <cell r="X182">
            <v>1216339.6403599998</v>
          </cell>
          <cell r="Y182">
            <v>1245757.872133692</v>
          </cell>
          <cell r="Z182">
            <v>1259153.3475982887</v>
          </cell>
          <cell r="AA182">
            <v>1296929.4422497777</v>
          </cell>
          <cell r="AB182">
            <v>1269959.3279037145</v>
          </cell>
          <cell r="AC182">
            <v>1284073.2445294247</v>
          </cell>
          <cell r="AD182">
            <v>1308745.9897950855</v>
          </cell>
          <cell r="AE182">
            <v>1383007.9219308386</v>
          </cell>
          <cell r="AF182">
            <v>1404977.5832042294</v>
          </cell>
          <cell r="AG182">
            <v>1468518.529976761</v>
          </cell>
          <cell r="AH182">
            <v>1358558.6453735093</v>
          </cell>
          <cell r="AI182">
            <v>1455610.1320333423</v>
          </cell>
          <cell r="AJ182">
            <v>1509512.1185467672</v>
          </cell>
          <cell r="AK182">
            <v>1557840.1677525267</v>
          </cell>
          <cell r="AL182">
            <v>1595355.2037665423</v>
          </cell>
          <cell r="AM182">
            <v>1698261.4333803174</v>
          </cell>
          <cell r="AN182">
            <v>1707500.167633709</v>
          </cell>
          <cell r="AO182">
            <v>1558004.0659322815</v>
          </cell>
          <cell r="AP182">
            <v>1576652.385445599</v>
          </cell>
          <cell r="AQ182">
            <v>1628545.5508721985</v>
          </cell>
          <cell r="AR182">
            <v>1672758.7655909455</v>
          </cell>
          <cell r="AS182">
            <v>1700068.8882454881</v>
          </cell>
          <cell r="AT182">
            <v>1772645.3730767393</v>
          </cell>
          <cell r="AU182">
            <v>1590752.1204428002</v>
          </cell>
        </row>
        <row r="184">
          <cell r="A184" t="str">
            <v>Reservas internacionales netas</v>
          </cell>
          <cell r="C184">
            <v>15037.173196999996</v>
          </cell>
          <cell r="D184">
            <v>24406.019354999997</v>
          </cell>
          <cell r="E184">
            <v>28017.486188999999</v>
          </cell>
          <cell r="F184">
            <v>23626.061442000009</v>
          </cell>
          <cell r="G184">
            <v>27355.883074000005</v>
          </cell>
          <cell r="H184">
            <v>30464.903856000001</v>
          </cell>
          <cell r="I184">
            <v>34129.583804000009</v>
          </cell>
          <cell r="J184">
            <v>29267.764501999998</v>
          </cell>
          <cell r="K184">
            <v>26109.190485000003</v>
          </cell>
          <cell r="L184">
            <v>32168.599580000002</v>
          </cell>
          <cell r="M184">
            <v>27090.625042000003</v>
          </cell>
          <cell r="N184">
            <v>26745.564981</v>
          </cell>
          <cell r="O184">
            <v>19049.164295000006</v>
          </cell>
          <cell r="P184">
            <v>22156.240802999997</v>
          </cell>
          <cell r="Q184">
            <v>17193.516076999997</v>
          </cell>
          <cell r="R184">
            <v>12429.883688999997</v>
          </cell>
          <cell r="S184">
            <v>17492.795232000004</v>
          </cell>
          <cell r="T184">
            <v>16050.495095999991</v>
          </cell>
          <cell r="U184">
            <v>9268.740736000007</v>
          </cell>
          <cell r="V184">
            <v>10342.15337200001</v>
          </cell>
          <cell r="W184">
            <v>20618.421084000001</v>
          </cell>
          <cell r="X184">
            <v>32512.680149999993</v>
          </cell>
          <cell r="Y184">
            <v>18706.549327782606</v>
          </cell>
          <cell r="Z184">
            <v>24765.664768611223</v>
          </cell>
          <cell r="AA184">
            <v>26867.959976702979</v>
          </cell>
          <cell r="AB184">
            <v>14868.199745487136</v>
          </cell>
          <cell r="AC184">
            <v>19501.424597598208</v>
          </cell>
          <cell r="AD184">
            <v>11469.270605911035</v>
          </cell>
          <cell r="AE184">
            <v>-6850.7729069128354</v>
          </cell>
          <cell r="AF184">
            <v>2947.7496699438839</v>
          </cell>
          <cell r="AG184">
            <v>9248.0888078355965</v>
          </cell>
          <cell r="AH184">
            <v>10542.905309323114</v>
          </cell>
          <cell r="AI184">
            <v>11853.322040248662</v>
          </cell>
          <cell r="AJ184">
            <v>20029.77300451283</v>
          </cell>
          <cell r="AK184">
            <v>8461.4334814484318</v>
          </cell>
          <cell r="AL184">
            <v>6895.5244585199798</v>
          </cell>
          <cell r="AM184">
            <v>18136.212599760569</v>
          </cell>
          <cell r="AN184">
            <v>1619.2952286347663</v>
          </cell>
          <cell r="AO184">
            <v>453.86139907244529</v>
          </cell>
          <cell r="AP184">
            <v>4285.2206789716856</v>
          </cell>
          <cell r="AQ184">
            <v>2570.6768099724445</v>
          </cell>
          <cell r="AR184">
            <v>12800.699335466172</v>
          </cell>
          <cell r="AS184">
            <v>19535.227272654851</v>
          </cell>
          <cell r="AT184">
            <v>4244.2194913215189</v>
          </cell>
          <cell r="AU184">
            <v>-2437.9182346610633</v>
          </cell>
        </row>
        <row r="185">
          <cell r="A185" t="str">
            <v>Crédito bruto a Gobierno</v>
          </cell>
          <cell r="C185">
            <v>19304.631500000003</v>
          </cell>
          <cell r="D185">
            <v>64074.540399999998</v>
          </cell>
          <cell r="E185">
            <v>64074.540399999998</v>
          </cell>
          <cell r="F185">
            <v>39432.308199999999</v>
          </cell>
          <cell r="G185">
            <v>39432.308199999999</v>
          </cell>
          <cell r="H185">
            <v>99896.751100000009</v>
          </cell>
          <cell r="I185">
            <v>101086.47110000001</v>
          </cell>
          <cell r="J185">
            <v>94741.858200000002</v>
          </cell>
          <cell r="K185">
            <v>100579.73330000001</v>
          </cell>
          <cell r="L185">
            <v>100692.72350000001</v>
          </cell>
          <cell r="M185">
            <v>104553.6352</v>
          </cell>
          <cell r="N185">
            <v>104443.88010000001</v>
          </cell>
          <cell r="O185">
            <v>97997.915599999993</v>
          </cell>
          <cell r="P185">
            <v>99604.988544000007</v>
          </cell>
          <cell r="Q185">
            <v>93560.637018999987</v>
          </cell>
          <cell r="R185">
            <v>94148.167263999989</v>
          </cell>
          <cell r="S185">
            <v>81819.497399999993</v>
          </cell>
          <cell r="T185">
            <v>83368.980899999995</v>
          </cell>
          <cell r="U185">
            <v>91293.755151999998</v>
          </cell>
          <cell r="V185">
            <v>93545.135169999994</v>
          </cell>
          <cell r="W185">
            <v>96535.908379999993</v>
          </cell>
          <cell r="X185">
            <v>89769.043571999995</v>
          </cell>
          <cell r="Y185">
            <v>86576.404465660002</v>
          </cell>
          <cell r="Z185">
            <v>65738.169744790008</v>
          </cell>
          <cell r="AA185">
            <v>67789.308972819999</v>
          </cell>
          <cell r="AB185">
            <v>64691.708122353004</v>
          </cell>
          <cell r="AC185">
            <v>63037.929922522999</v>
          </cell>
          <cell r="AD185">
            <v>60743.23122845</v>
          </cell>
          <cell r="AE185">
            <v>61477.915290799996</v>
          </cell>
          <cell r="AF185">
            <v>77940.092188779992</v>
          </cell>
          <cell r="AG185">
            <v>93958.946882930002</v>
          </cell>
          <cell r="AH185">
            <v>110918.44181174299</v>
          </cell>
          <cell r="AI185">
            <v>114938.73603889</v>
          </cell>
          <cell r="AJ185">
            <v>110564.27694253001</v>
          </cell>
          <cell r="AK185">
            <v>104293.83930505</v>
          </cell>
          <cell r="AL185">
            <v>93558.715076019987</v>
          </cell>
          <cell r="AM185">
            <v>98021.963376500004</v>
          </cell>
          <cell r="AN185">
            <v>100875.59948626001</v>
          </cell>
          <cell r="AO185">
            <v>88945.011727280013</v>
          </cell>
          <cell r="AP185">
            <v>77336.934263999996</v>
          </cell>
          <cell r="AQ185">
            <v>88448.338667500007</v>
          </cell>
          <cell r="AR185">
            <v>98728.897570000001</v>
          </cell>
          <cell r="AS185">
            <v>94872.35707564</v>
          </cell>
          <cell r="AT185">
            <v>120377.34683144001</v>
          </cell>
          <cell r="AU185">
            <v>124480.81298298</v>
          </cell>
        </row>
        <row r="186">
          <cell r="A186" t="str">
            <v>Crédito bruto a Entidades</v>
          </cell>
          <cell r="C186">
            <v>2593.5679439999999</v>
          </cell>
          <cell r="D186">
            <v>2792.220632</v>
          </cell>
          <cell r="E186">
            <v>2919.9734660000004</v>
          </cell>
          <cell r="F186">
            <v>2041.6456430000001</v>
          </cell>
          <cell r="G186">
            <v>2160.4145309999999</v>
          </cell>
          <cell r="H186">
            <v>2226.0991239999998</v>
          </cell>
          <cell r="I186">
            <v>2237.5204360000002</v>
          </cell>
          <cell r="J186">
            <v>1094.1412519999999</v>
          </cell>
          <cell r="K186">
            <v>1147.997858</v>
          </cell>
          <cell r="L186">
            <v>1239.511289</v>
          </cell>
          <cell r="M186">
            <v>1023.997338</v>
          </cell>
          <cell r="N186">
            <v>1090.2717309999998</v>
          </cell>
          <cell r="O186">
            <v>996.92131500000005</v>
          </cell>
          <cell r="P186">
            <v>1002.492264</v>
          </cell>
          <cell r="Q186">
            <v>996.36063899999999</v>
          </cell>
          <cell r="R186">
            <v>1033.861635</v>
          </cell>
          <cell r="S186">
            <v>1338.6357520000001</v>
          </cell>
          <cell r="T186">
            <v>1272.3901559999999</v>
          </cell>
          <cell r="U186">
            <v>999.76951200000008</v>
          </cell>
          <cell r="V186">
            <v>1030.8727199999998</v>
          </cell>
          <cell r="W186">
            <v>1131.0247399999998</v>
          </cell>
          <cell r="X186">
            <v>1102.83104</v>
          </cell>
          <cell r="Y186">
            <v>1549.76461746</v>
          </cell>
          <cell r="Z186">
            <v>1652.033752948</v>
          </cell>
          <cell r="AA186">
            <v>1395.6117194999999</v>
          </cell>
          <cell r="AB186">
            <v>1461.2990254586</v>
          </cell>
          <cell r="AC186">
            <v>1539.77491046</v>
          </cell>
          <cell r="AD186">
            <v>1202.9441294799999</v>
          </cell>
          <cell r="AE186">
            <v>1542.7822445928</v>
          </cell>
          <cell r="AF186">
            <v>1893.1509826413999</v>
          </cell>
          <cell r="AG186">
            <v>2134.54908252</v>
          </cell>
          <cell r="AH186">
            <v>2693.2071070062002</v>
          </cell>
          <cell r="AI186">
            <v>2739.1272020599999</v>
          </cell>
          <cell r="AJ186">
            <v>3352.1102086399997</v>
          </cell>
          <cell r="AK186">
            <v>2021.9095646000001</v>
          </cell>
          <cell r="AL186">
            <v>2097.4428241000001</v>
          </cell>
          <cell r="AM186">
            <v>2009.8593054600001</v>
          </cell>
          <cell r="AN186">
            <v>2227.7507484799999</v>
          </cell>
          <cell r="AO186">
            <v>2319.75050556</v>
          </cell>
          <cell r="AP186">
            <v>2290.0785639999999</v>
          </cell>
          <cell r="AQ186">
            <v>5081.5751750600002</v>
          </cell>
          <cell r="AR186">
            <v>5577.9251050000003</v>
          </cell>
          <cell r="AS186">
            <v>4208.7466047199996</v>
          </cell>
          <cell r="AT186">
            <v>4134.3394894200001</v>
          </cell>
          <cell r="AU186">
            <v>4165.0175231000003</v>
          </cell>
        </row>
        <row r="187">
          <cell r="A187" t="str">
            <v>Reservas en el BCCR</v>
          </cell>
          <cell r="C187">
            <v>161970.15304299997</v>
          </cell>
          <cell r="D187">
            <v>200781.30050200003</v>
          </cell>
          <cell r="E187">
            <v>216095.67318099999</v>
          </cell>
          <cell r="F187">
            <v>260964.90456299999</v>
          </cell>
          <cell r="G187">
            <v>282931.47270699998</v>
          </cell>
          <cell r="H187">
            <v>310350.09728199994</v>
          </cell>
          <cell r="I187">
            <v>332256.50147799996</v>
          </cell>
          <cell r="J187">
            <v>350405.52243399993</v>
          </cell>
          <cell r="K187">
            <v>347402.733664</v>
          </cell>
          <cell r="L187">
            <v>352885.05325</v>
          </cell>
          <cell r="M187">
            <v>342791.315068</v>
          </cell>
          <cell r="N187">
            <v>345745.06367300003</v>
          </cell>
          <cell r="O187">
            <v>364667.66902999999</v>
          </cell>
          <cell r="P187">
            <v>357494.06574699999</v>
          </cell>
          <cell r="Q187">
            <v>359523.04523599998</v>
          </cell>
          <cell r="R187">
            <v>380708.15634499997</v>
          </cell>
          <cell r="S187">
            <v>376040.22589600005</v>
          </cell>
          <cell r="T187">
            <v>381768.73354400002</v>
          </cell>
          <cell r="U187">
            <v>362434.19218799996</v>
          </cell>
          <cell r="V187">
            <v>385269.51034199994</v>
          </cell>
          <cell r="W187">
            <v>379631.93523</v>
          </cell>
          <cell r="X187">
            <v>355031.84460399998</v>
          </cell>
          <cell r="Y187">
            <v>315635.26058898057</v>
          </cell>
          <cell r="Z187">
            <v>324994.40774656151</v>
          </cell>
          <cell r="AA187">
            <v>339530.40872557095</v>
          </cell>
          <cell r="AB187">
            <v>367717.02309315529</v>
          </cell>
          <cell r="AC187">
            <v>390409.32253943646</v>
          </cell>
          <cell r="AD187">
            <v>395885.40530831408</v>
          </cell>
          <cell r="AE187">
            <v>403723.10422245786</v>
          </cell>
          <cell r="AF187">
            <v>367022.64152247808</v>
          </cell>
          <cell r="AG187">
            <v>343084.77997922094</v>
          </cell>
          <cell r="AH187">
            <v>309401.58637552417</v>
          </cell>
          <cell r="AI187">
            <v>325534.01385310118</v>
          </cell>
          <cell r="AJ187">
            <v>327063.47047336341</v>
          </cell>
          <cell r="AK187">
            <v>343209.84250924143</v>
          </cell>
          <cell r="AL187">
            <v>352744.05983489158</v>
          </cell>
          <cell r="AM187">
            <v>379826.94975202624</v>
          </cell>
          <cell r="AN187">
            <v>396468.37354724947</v>
          </cell>
          <cell r="AO187">
            <v>420329.50577053381</v>
          </cell>
          <cell r="AP187">
            <v>433575.19807722996</v>
          </cell>
          <cell r="AQ187">
            <v>438156.68150185148</v>
          </cell>
          <cell r="AR187">
            <v>433401.64377795509</v>
          </cell>
          <cell r="AS187">
            <v>445251.54250847257</v>
          </cell>
          <cell r="AT187">
            <v>453109.15552555624</v>
          </cell>
          <cell r="AU187">
            <v>429364.92867411644</v>
          </cell>
        </row>
        <row r="188">
          <cell r="A188" t="str">
            <v xml:space="preserve">         Caja de bancos</v>
          </cell>
          <cell r="C188">
            <v>10300.283299999999</v>
          </cell>
          <cell r="D188">
            <v>12944.7</v>
          </cell>
          <cell r="E188">
            <v>12944.7</v>
          </cell>
          <cell r="F188">
            <v>18263.0353</v>
          </cell>
          <cell r="G188">
            <v>18263.0353</v>
          </cell>
          <cell r="H188">
            <v>24022.4493</v>
          </cell>
          <cell r="I188">
            <v>24022.4493</v>
          </cell>
          <cell r="J188">
            <v>17972.088599999999</v>
          </cell>
          <cell r="K188">
            <v>17145.286100000001</v>
          </cell>
          <cell r="L188">
            <v>20715.0661</v>
          </cell>
          <cell r="M188">
            <v>18400.676899999999</v>
          </cell>
          <cell r="N188">
            <v>16485.511900000001</v>
          </cell>
          <cell r="O188">
            <v>19640.108499999998</v>
          </cell>
          <cell r="P188">
            <v>20931.3377</v>
          </cell>
          <cell r="Q188">
            <v>18096.471600000001</v>
          </cell>
          <cell r="R188">
            <v>23364.5419</v>
          </cell>
          <cell r="S188">
            <v>22011.507799999999</v>
          </cell>
          <cell r="T188">
            <v>33297.3289</v>
          </cell>
          <cell r="U188">
            <v>40028.831599999998</v>
          </cell>
          <cell r="V188">
            <v>40028.831599999998</v>
          </cell>
          <cell r="W188">
            <v>24535.862099999998</v>
          </cell>
          <cell r="X188">
            <v>23400.4584</v>
          </cell>
          <cell r="Y188">
            <v>28059.492128000002</v>
          </cell>
          <cell r="Z188">
            <v>25921.339177999998</v>
          </cell>
          <cell r="AA188">
            <v>24601.592627000002</v>
          </cell>
          <cell r="AB188">
            <v>28741.336185</v>
          </cell>
          <cell r="AC188">
            <v>26383.878399000001</v>
          </cell>
          <cell r="AD188">
            <v>27525.014303</v>
          </cell>
          <cell r="AE188">
            <v>29205.266819</v>
          </cell>
          <cell r="AF188">
            <v>25421.5062</v>
          </cell>
          <cell r="AG188">
            <v>44669.592427000003</v>
          </cell>
          <cell r="AH188">
            <v>41182.576803999997</v>
          </cell>
          <cell r="AI188">
            <v>41182.576803999997</v>
          </cell>
          <cell r="AJ188">
            <v>29892.414694999999</v>
          </cell>
          <cell r="AK188">
            <v>29765.803993000001</v>
          </cell>
          <cell r="AL188">
            <v>33390.430661999999</v>
          </cell>
          <cell r="AM188">
            <v>28795.919876</v>
          </cell>
          <cell r="AN188">
            <v>32692.125674999999</v>
          </cell>
          <cell r="AO188">
            <v>35483.438915999999</v>
          </cell>
          <cell r="AP188">
            <v>31817.579242</v>
          </cell>
          <cell r="AQ188">
            <v>35471.316809999997</v>
          </cell>
          <cell r="AR188">
            <v>35081.279453000003</v>
          </cell>
          <cell r="AS188">
            <v>31908.024700000002</v>
          </cell>
          <cell r="AT188">
            <v>51569.066106999999</v>
          </cell>
          <cell r="AU188">
            <v>85548.791079999995</v>
          </cell>
        </row>
        <row r="189">
          <cell r="A189" t="str">
            <v xml:space="preserve">        Depósitos en moneda nacional</v>
          </cell>
          <cell r="C189">
            <v>53215.718652999989</v>
          </cell>
          <cell r="D189">
            <v>65777.036061000006</v>
          </cell>
          <cell r="E189">
            <v>65777.036061000006</v>
          </cell>
          <cell r="F189">
            <v>52915.034602999986</v>
          </cell>
          <cell r="G189">
            <v>52915.034602999986</v>
          </cell>
          <cell r="H189">
            <v>44576.836477999997</v>
          </cell>
          <cell r="I189">
            <v>44576.836477999997</v>
          </cell>
          <cell r="J189">
            <v>45185.1754</v>
          </cell>
          <cell r="K189">
            <v>43654.814272000003</v>
          </cell>
          <cell r="L189">
            <v>53465.097890000005</v>
          </cell>
          <cell r="M189">
            <v>49964.950947999998</v>
          </cell>
          <cell r="N189">
            <v>40928.275047000003</v>
          </cell>
          <cell r="O189">
            <v>57171.168619999997</v>
          </cell>
          <cell r="P189">
            <v>47910.478612999999</v>
          </cell>
          <cell r="Q189">
            <v>69777.335017000005</v>
          </cell>
          <cell r="R189">
            <v>50891.080768</v>
          </cell>
          <cell r="S189">
            <v>44963.290875999999</v>
          </cell>
          <cell r="T189">
            <v>55262.996140000003</v>
          </cell>
          <cell r="U189">
            <v>45700.584579999995</v>
          </cell>
          <cell r="V189">
            <v>45700.584579999995</v>
          </cell>
          <cell r="W189">
            <v>55471.031945999996</v>
          </cell>
          <cell r="X189">
            <v>62736.725786000003</v>
          </cell>
          <cell r="Y189">
            <v>41143.265834999998</v>
          </cell>
          <cell r="Z189">
            <v>68879.319287999999</v>
          </cell>
          <cell r="AA189">
            <v>76890.155494000006</v>
          </cell>
          <cell r="AB189">
            <v>78349.711353999999</v>
          </cell>
          <cell r="AC189">
            <v>67875.616143000007</v>
          </cell>
          <cell r="AD189">
            <v>71308.008746000007</v>
          </cell>
          <cell r="AE189">
            <v>83796.332498000003</v>
          </cell>
          <cell r="AF189">
            <v>81975.832257000002</v>
          </cell>
          <cell r="AG189">
            <v>86010.864296</v>
          </cell>
          <cell r="AH189">
            <v>84277.328676999998</v>
          </cell>
          <cell r="AI189">
            <v>84277.328676999998</v>
          </cell>
          <cell r="AJ189">
            <v>90360.685261999999</v>
          </cell>
          <cell r="AK189">
            <v>86855.164074999993</v>
          </cell>
          <cell r="AL189">
            <v>82382.702715000007</v>
          </cell>
          <cell r="AM189">
            <v>102394.558133</v>
          </cell>
          <cell r="AN189">
            <v>94776.568400000004</v>
          </cell>
          <cell r="AO189">
            <v>93171.438855</v>
          </cell>
          <cell r="AP189">
            <v>95273.783402999994</v>
          </cell>
          <cell r="AQ189">
            <v>98363.136440999995</v>
          </cell>
          <cell r="AR189">
            <v>99432.234863000005</v>
          </cell>
          <cell r="AS189">
            <v>105567.643518</v>
          </cell>
          <cell r="AT189">
            <v>90416.836878999995</v>
          </cell>
          <cell r="AU189">
            <v>46947.577380000002</v>
          </cell>
        </row>
        <row r="190">
          <cell r="A190" t="str">
            <v xml:space="preserve">       Depósitos en moneda extranjera</v>
          </cell>
          <cell r="C190">
            <v>92524.596189999997</v>
          </cell>
          <cell r="D190">
            <v>105932.84034100002</v>
          </cell>
          <cell r="E190">
            <v>121247.21302000001</v>
          </cell>
          <cell r="F190">
            <v>141460.92236</v>
          </cell>
          <cell r="G190">
            <v>163427.49050399999</v>
          </cell>
          <cell r="H190">
            <v>187413.43820399998</v>
          </cell>
          <cell r="I190">
            <v>209319.84239999999</v>
          </cell>
          <cell r="J190">
            <v>225244.83279999997</v>
          </cell>
          <cell r="K190">
            <v>223109.6672</v>
          </cell>
          <cell r="L190">
            <v>227508.2016</v>
          </cell>
          <cell r="M190">
            <v>224801.62</v>
          </cell>
          <cell r="N190">
            <v>233469.62719999999</v>
          </cell>
          <cell r="O190">
            <v>243416.51120000001</v>
          </cell>
          <cell r="P190">
            <v>234668.44079999998</v>
          </cell>
          <cell r="Q190">
            <v>241168.2224</v>
          </cell>
          <cell r="R190">
            <v>246056.48559999999</v>
          </cell>
          <cell r="S190">
            <v>241345.70240000001</v>
          </cell>
          <cell r="T190">
            <v>228546.796</v>
          </cell>
          <cell r="U190">
            <v>210731.65520000001</v>
          </cell>
          <cell r="V190">
            <v>233566.97335399999</v>
          </cell>
          <cell r="W190">
            <v>239958.059484</v>
          </cell>
          <cell r="X190">
            <v>228338.700018</v>
          </cell>
          <cell r="Y190">
            <v>200766.77316298053</v>
          </cell>
          <cell r="Z190">
            <v>209207.55522956149</v>
          </cell>
          <cell r="AA190">
            <v>211588.38022157096</v>
          </cell>
          <cell r="AB190">
            <v>235466.95842317533</v>
          </cell>
          <cell r="AC190">
            <v>258234.13258363647</v>
          </cell>
          <cell r="AD190">
            <v>266249.47760251409</v>
          </cell>
          <cell r="AE190">
            <v>269120.18833765783</v>
          </cell>
          <cell r="AF190">
            <v>241855.83188167802</v>
          </cell>
          <cell r="AG190">
            <v>204449.97464499096</v>
          </cell>
          <cell r="AH190">
            <v>166866.14648367418</v>
          </cell>
          <cell r="AI190">
            <v>182998.57396125115</v>
          </cell>
          <cell r="AJ190">
            <v>191701.34456786336</v>
          </cell>
          <cell r="AK190">
            <v>209552.29204466142</v>
          </cell>
          <cell r="AL190">
            <v>218934.24320121156</v>
          </cell>
          <cell r="AM190">
            <v>225480.47048802624</v>
          </cell>
          <cell r="AN190">
            <v>235081.8802772495</v>
          </cell>
          <cell r="AO190">
            <v>246070.13068953381</v>
          </cell>
          <cell r="AP190">
            <v>257720.66352022998</v>
          </cell>
          <cell r="AQ190">
            <v>244235.43807385149</v>
          </cell>
          <cell r="AR190">
            <v>231252.50269995508</v>
          </cell>
          <cell r="AS190">
            <v>225987.38997947262</v>
          </cell>
          <cell r="AT190">
            <v>220993.73569255625</v>
          </cell>
          <cell r="AU190">
            <v>212580.52264411649</v>
          </cell>
        </row>
        <row r="191">
          <cell r="A191" t="str">
            <v xml:space="preserve">       Bonos de estabilización monetaria</v>
          </cell>
          <cell r="C191">
            <v>1505.2548999999999</v>
          </cell>
          <cell r="D191">
            <v>7780.7241000000004</v>
          </cell>
          <cell r="E191">
            <v>7780.7241000000004</v>
          </cell>
          <cell r="F191">
            <v>36072.412300000004</v>
          </cell>
          <cell r="G191">
            <v>36072.412300000004</v>
          </cell>
          <cell r="H191">
            <v>30307.623299999999</v>
          </cell>
          <cell r="I191">
            <v>30307.623299999999</v>
          </cell>
          <cell r="J191">
            <v>36420.933133999999</v>
          </cell>
          <cell r="K191">
            <v>30586.966091999999</v>
          </cell>
          <cell r="L191">
            <v>28914.68766</v>
          </cell>
          <cell r="M191">
            <v>23754.110219999999</v>
          </cell>
          <cell r="N191">
            <v>23396.649526000001</v>
          </cell>
          <cell r="O191">
            <v>24508.880709999998</v>
          </cell>
          <cell r="P191">
            <v>26875.808634000001</v>
          </cell>
          <cell r="Q191">
            <v>25568.016219000001</v>
          </cell>
          <cell r="R191">
            <v>25669.048077000003</v>
          </cell>
          <cell r="S191">
            <v>38101.224820000003</v>
          </cell>
          <cell r="T191">
            <v>42395.612503999997</v>
          </cell>
          <cell r="U191">
            <v>40091.120808</v>
          </cell>
          <cell r="V191">
            <v>40091.120808</v>
          </cell>
          <cell r="W191">
            <v>45787.981699999997</v>
          </cell>
          <cell r="X191">
            <v>31926.9604</v>
          </cell>
          <cell r="Y191">
            <v>23033.729463</v>
          </cell>
          <cell r="Z191">
            <v>18852.194050999999</v>
          </cell>
          <cell r="AA191">
            <v>23423.280383000001</v>
          </cell>
          <cell r="AB191">
            <v>25132.017130979999</v>
          </cell>
          <cell r="AC191">
            <v>19891.6954138</v>
          </cell>
          <cell r="AD191">
            <v>18783.904656800001</v>
          </cell>
          <cell r="AE191">
            <v>19101.3165678</v>
          </cell>
          <cell r="AF191">
            <v>16769.4711838</v>
          </cell>
          <cell r="AG191">
            <v>7954.3486112299997</v>
          </cell>
          <cell r="AH191">
            <v>17075.534410849999</v>
          </cell>
          <cell r="AI191">
            <v>17075.534410849999</v>
          </cell>
          <cell r="AJ191">
            <v>14709.025948500001</v>
          </cell>
          <cell r="AK191">
            <v>16836.571979910001</v>
          </cell>
          <cell r="AL191">
            <v>18036.68325668</v>
          </cell>
          <cell r="AM191">
            <v>22156.001254999999</v>
          </cell>
          <cell r="AN191">
            <v>31917.695027999998</v>
          </cell>
          <cell r="AO191">
            <v>40604.445226999997</v>
          </cell>
          <cell r="AP191">
            <v>48363.161495</v>
          </cell>
          <cell r="AQ191">
            <v>57586.790177000003</v>
          </cell>
          <cell r="AR191">
            <v>65135.626762</v>
          </cell>
          <cell r="AS191">
            <v>65369.484311</v>
          </cell>
          <cell r="AT191">
            <v>53935.516846999999</v>
          </cell>
          <cell r="AU191">
            <v>56518.03757</v>
          </cell>
        </row>
        <row r="192">
          <cell r="A192" t="str">
            <v xml:space="preserve">      Inversiones de corto plazo</v>
          </cell>
          <cell r="C192">
            <v>4424.3</v>
          </cell>
          <cell r="D192">
            <v>8346</v>
          </cell>
          <cell r="E192">
            <v>8346</v>
          </cell>
          <cell r="F192">
            <v>12253.5</v>
          </cell>
          <cell r="G192">
            <v>12253.5</v>
          </cell>
          <cell r="H192">
            <v>24029.75</v>
          </cell>
          <cell r="I192">
            <v>24029.75</v>
          </cell>
          <cell r="J192">
            <v>25582.4925</v>
          </cell>
          <cell r="K192">
            <v>32906</v>
          </cell>
          <cell r="L192">
            <v>22282</v>
          </cell>
          <cell r="M192">
            <v>25869.956999999999</v>
          </cell>
          <cell r="N192">
            <v>31465</v>
          </cell>
          <cell r="O192">
            <v>19931</v>
          </cell>
          <cell r="P192">
            <v>27108</v>
          </cell>
          <cell r="Q192">
            <v>4913</v>
          </cell>
          <cell r="R192">
            <v>34727</v>
          </cell>
          <cell r="S192">
            <v>29618.5</v>
          </cell>
          <cell r="T192">
            <v>22266</v>
          </cell>
          <cell r="U192">
            <v>25882</v>
          </cell>
          <cell r="V192">
            <v>25882</v>
          </cell>
          <cell r="W192">
            <v>13879</v>
          </cell>
          <cell r="X192">
            <v>8629</v>
          </cell>
          <cell r="Y192">
            <v>22632</v>
          </cell>
          <cell r="Z192">
            <v>2134</v>
          </cell>
          <cell r="AA192">
            <v>3027</v>
          </cell>
          <cell r="AB192">
            <v>27</v>
          </cell>
          <cell r="AC192">
            <v>18024</v>
          </cell>
          <cell r="AD192">
            <v>12019</v>
          </cell>
          <cell r="AE192">
            <v>2500</v>
          </cell>
          <cell r="AF192">
            <v>1000</v>
          </cell>
          <cell r="AG192">
            <v>0</v>
          </cell>
          <cell r="AH192">
            <v>0</v>
          </cell>
          <cell r="AI192">
            <v>0</v>
          </cell>
          <cell r="AJ192">
            <v>400</v>
          </cell>
          <cell r="AK192">
            <v>200.01041667000001</v>
          </cell>
          <cell r="AL192">
            <v>0</v>
          </cell>
          <cell r="AM192">
            <v>1000</v>
          </cell>
          <cell r="AN192">
            <v>2000.104167</v>
          </cell>
          <cell r="AO192">
            <v>5000.0520829999996</v>
          </cell>
          <cell r="AP192">
            <v>400.01041700000002</v>
          </cell>
          <cell r="AQ192">
            <v>2500</v>
          </cell>
          <cell r="AR192">
            <v>2500</v>
          </cell>
          <cell r="AS192">
            <v>16419</v>
          </cell>
          <cell r="AT192">
            <v>36194</v>
          </cell>
          <cell r="AU192">
            <v>27770</v>
          </cell>
        </row>
        <row r="193">
          <cell r="A193" t="str">
            <v>Crédito bruto a Sector financiero no bancario</v>
          </cell>
          <cell r="C193">
            <v>150.25</v>
          </cell>
          <cell r="D193">
            <v>109.71</v>
          </cell>
          <cell r="E193">
            <v>109.71</v>
          </cell>
          <cell r="F193">
            <v>561.88</v>
          </cell>
          <cell r="G193">
            <v>561.88</v>
          </cell>
          <cell r="H193">
            <v>250</v>
          </cell>
          <cell r="I193">
            <v>250</v>
          </cell>
          <cell r="J193">
            <v>200</v>
          </cell>
          <cell r="K193">
            <v>567.89499999999998</v>
          </cell>
          <cell r="L193">
            <v>500</v>
          </cell>
          <cell r="M193">
            <v>500</v>
          </cell>
          <cell r="N193">
            <v>500</v>
          </cell>
          <cell r="O193">
            <v>580.99900000000002</v>
          </cell>
          <cell r="P193">
            <v>585.65700000000004</v>
          </cell>
          <cell r="Q193">
            <v>516.35699999999997</v>
          </cell>
          <cell r="R193">
            <v>516.35699999999997</v>
          </cell>
          <cell r="S193">
            <v>517.45699999999999</v>
          </cell>
          <cell r="T193">
            <v>516.31700000000001</v>
          </cell>
          <cell r="U193">
            <v>516.31700000000001</v>
          </cell>
          <cell r="V193">
            <v>516.31700000000001</v>
          </cell>
          <cell r="W193">
            <v>514.71699999999998</v>
          </cell>
          <cell r="X193">
            <v>1054.2170000000001</v>
          </cell>
          <cell r="Y193">
            <v>514.71699999999998</v>
          </cell>
          <cell r="Z193">
            <v>514.71699999999998</v>
          </cell>
          <cell r="AA193">
            <v>514.71699999999998</v>
          </cell>
          <cell r="AB193">
            <v>414.71699999999998</v>
          </cell>
          <cell r="AC193">
            <v>414.71699999999998</v>
          </cell>
          <cell r="AD193">
            <v>414.71699999999998</v>
          </cell>
          <cell r="AE193">
            <v>400</v>
          </cell>
          <cell r="AF193">
            <v>500</v>
          </cell>
          <cell r="AG193">
            <v>200</v>
          </cell>
          <cell r="AH193">
            <v>100</v>
          </cell>
          <cell r="AI193">
            <v>100</v>
          </cell>
          <cell r="AJ193">
            <v>200</v>
          </cell>
          <cell r="AK193">
            <v>200</v>
          </cell>
          <cell r="AL193">
            <v>200</v>
          </cell>
          <cell r="AM193">
            <v>200</v>
          </cell>
          <cell r="AN193">
            <v>300.86165026000003</v>
          </cell>
          <cell r="AO193">
            <v>387.39130399999999</v>
          </cell>
          <cell r="AP193">
            <v>3132.467545</v>
          </cell>
          <cell r="AQ193">
            <v>3230.4521249999998</v>
          </cell>
          <cell r="AR193">
            <v>3423.8082899999999</v>
          </cell>
          <cell r="AS193">
            <v>3470.6136459999998</v>
          </cell>
          <cell r="AT193">
            <v>1290.4817579999999</v>
          </cell>
          <cell r="AU193">
            <v>1249.569047</v>
          </cell>
        </row>
        <row r="194">
          <cell r="A194" t="str">
            <v>Credito Sector Privado</v>
          </cell>
          <cell r="C194">
            <v>229028.024179</v>
          </cell>
          <cell r="D194">
            <v>264796.157252</v>
          </cell>
          <cell r="E194">
            <v>270634.05343999999</v>
          </cell>
          <cell r="F194">
            <v>266978.17004</v>
          </cell>
          <cell r="G194">
            <v>275586.89161600004</v>
          </cell>
          <cell r="H194">
            <v>334292.61511199997</v>
          </cell>
          <cell r="I194">
            <v>342520.2476</v>
          </cell>
          <cell r="J194">
            <v>343658.8982</v>
          </cell>
          <cell r="K194">
            <v>346542.35230000003</v>
          </cell>
          <cell r="L194">
            <v>352015.78700000001</v>
          </cell>
          <cell r="M194">
            <v>354740.14910000004</v>
          </cell>
          <cell r="N194">
            <v>358223.00080000004</v>
          </cell>
          <cell r="O194">
            <v>366261.16009999998</v>
          </cell>
          <cell r="P194">
            <v>371858.65750000003</v>
          </cell>
          <cell r="Q194">
            <v>378544.98529999994</v>
          </cell>
          <cell r="R194">
            <v>390745.91130000004</v>
          </cell>
          <cell r="S194">
            <v>399418.18829999998</v>
          </cell>
          <cell r="T194">
            <v>409407.61309999996</v>
          </cell>
          <cell r="U194">
            <v>426064.64610000001</v>
          </cell>
          <cell r="V194">
            <v>437361.91851599998</v>
          </cell>
          <cell r="W194">
            <v>440520.27835599997</v>
          </cell>
          <cell r="X194">
            <v>458518.38068200002</v>
          </cell>
          <cell r="Y194">
            <v>461888.61621742998</v>
          </cell>
          <cell r="Z194">
            <v>466377.4990085141</v>
          </cell>
          <cell r="AA194">
            <v>479915.10144917684</v>
          </cell>
          <cell r="AB194">
            <v>510885.64142081013</v>
          </cell>
          <cell r="AC194">
            <v>522490.32791791169</v>
          </cell>
          <cell r="AD194">
            <v>540266.41510781914</v>
          </cell>
          <cell r="AE194">
            <v>598664.67892324436</v>
          </cell>
          <cell r="AF194">
            <v>604348.18235688668</v>
          </cell>
          <cell r="AG194">
            <v>627409.38328779861</v>
          </cell>
          <cell r="AH194">
            <v>647202.23718941142</v>
          </cell>
          <cell r="AI194">
            <v>665659.16150439112</v>
          </cell>
          <cell r="AJ194">
            <v>678716.20574190235</v>
          </cell>
          <cell r="AK194">
            <v>692563.98803951987</v>
          </cell>
          <cell r="AL194">
            <v>714401.36011287104</v>
          </cell>
          <cell r="AM194">
            <v>712890.11058784812</v>
          </cell>
          <cell r="AN194">
            <v>708969.38565077819</v>
          </cell>
          <cell r="AO194">
            <v>714494.38518410176</v>
          </cell>
          <cell r="AP194">
            <v>713415.48097890755</v>
          </cell>
          <cell r="AQ194">
            <v>727823.37069778051</v>
          </cell>
          <cell r="AR194">
            <v>731691.14977638342</v>
          </cell>
          <cell r="AS194">
            <v>730921.32635335508</v>
          </cell>
          <cell r="AT194">
            <v>752024.68896268378</v>
          </cell>
          <cell r="AU194">
            <v>764756.58812623459</v>
          </cell>
        </row>
        <row r="195">
          <cell r="A195" t="str">
            <v>Activos no clasificados</v>
          </cell>
          <cell r="C195">
            <v>183630.00518999997</v>
          </cell>
          <cell r="D195">
            <v>160048.659514</v>
          </cell>
          <cell r="E195">
            <v>185747.71110700001</v>
          </cell>
          <cell r="F195">
            <v>168717.54155300002</v>
          </cell>
          <cell r="G195">
            <v>203588.69740099995</v>
          </cell>
          <cell r="H195">
            <v>178090.11453999998</v>
          </cell>
          <cell r="I195">
            <v>214210.59646</v>
          </cell>
          <cell r="J195">
            <v>235460.52708399997</v>
          </cell>
          <cell r="K195">
            <v>238031.56096599999</v>
          </cell>
          <cell r="L195">
            <v>226746.64113000006</v>
          </cell>
          <cell r="M195">
            <v>263482.07210400002</v>
          </cell>
          <cell r="N195">
            <v>257286.236753</v>
          </cell>
          <cell r="O195">
            <v>189136.22738</v>
          </cell>
          <cell r="P195">
            <v>196609.51397999999</v>
          </cell>
          <cell r="Q195">
            <v>216880.50917300003</v>
          </cell>
          <cell r="R195">
            <v>224230.802956</v>
          </cell>
          <cell r="S195">
            <v>239258.978844</v>
          </cell>
          <cell r="T195">
            <v>263062.44228399999</v>
          </cell>
          <cell r="U195">
            <v>208304.16279599999</v>
          </cell>
          <cell r="V195">
            <v>252481.68170999998</v>
          </cell>
          <cell r="W195">
            <v>269162.88573999994</v>
          </cell>
          <cell r="X195">
            <v>278350.64331199991</v>
          </cell>
          <cell r="Y195">
            <v>360886.55991637899</v>
          </cell>
          <cell r="Z195">
            <v>375110.85557686375</v>
          </cell>
          <cell r="AA195">
            <v>380916.33440600685</v>
          </cell>
          <cell r="AB195">
            <v>309920.73949645029</v>
          </cell>
          <cell r="AC195">
            <v>286679.74764149549</v>
          </cell>
          <cell r="AD195">
            <v>298764.00641511119</v>
          </cell>
          <cell r="AE195">
            <v>324050.21415665623</v>
          </cell>
          <cell r="AF195">
            <v>350325.76648349914</v>
          </cell>
          <cell r="AG195">
            <v>392482.78193645569</v>
          </cell>
          <cell r="AH195">
            <v>277700.26758050115</v>
          </cell>
          <cell r="AI195">
            <v>334785.77139465132</v>
          </cell>
          <cell r="AJ195">
            <v>369586.2821758184</v>
          </cell>
          <cell r="AK195">
            <v>407089.15485266689</v>
          </cell>
          <cell r="AL195">
            <v>425458.10146013967</v>
          </cell>
          <cell r="AM195">
            <v>487176.33775872242</v>
          </cell>
          <cell r="AN195">
            <v>497038.90132204659</v>
          </cell>
          <cell r="AO195">
            <v>331074.16004173341</v>
          </cell>
          <cell r="AP195">
            <v>342617.00533748971</v>
          </cell>
          <cell r="AQ195">
            <v>363234.45589503413</v>
          </cell>
          <cell r="AR195">
            <v>387134.64173614077</v>
          </cell>
          <cell r="AS195">
            <v>401809.07478464523</v>
          </cell>
          <cell r="AT195">
            <v>437465.14101831749</v>
          </cell>
          <cell r="AU195">
            <v>269173.12232403044</v>
          </cell>
        </row>
        <row r="197">
          <cell r="A197" t="str">
            <v>PASIVOS</v>
          </cell>
          <cell r="C197">
            <v>611609.531097</v>
          </cell>
          <cell r="D197">
            <v>716832.13769900007</v>
          </cell>
          <cell r="E197">
            <v>767422.67782700004</v>
          </cell>
          <cell r="F197">
            <v>762322.51260000002</v>
          </cell>
          <cell r="G197">
            <v>831617.52488799999</v>
          </cell>
          <cell r="H197">
            <v>955570.38795899996</v>
          </cell>
          <cell r="I197">
            <v>1026690.7278229999</v>
          </cell>
          <cell r="J197">
            <v>1054830.2819960001</v>
          </cell>
          <cell r="K197">
            <v>1060381.6765040001</v>
          </cell>
          <cell r="L197">
            <v>1066248.6211489998</v>
          </cell>
          <cell r="M197">
            <v>1094182.17</v>
          </cell>
          <cell r="N197">
            <v>1094034.0387280001</v>
          </cell>
          <cell r="O197">
            <v>1038690.0984949999</v>
          </cell>
          <cell r="P197">
            <v>1049311.6402770001</v>
          </cell>
          <cell r="Q197">
            <v>1067215.4463500001</v>
          </cell>
          <cell r="R197">
            <v>1103813.1848569999</v>
          </cell>
          <cell r="S197">
            <v>1115885.8211119999</v>
          </cell>
          <cell r="T197">
            <v>1155446.995052</v>
          </cell>
          <cell r="U197">
            <v>1098881.6084680001</v>
          </cell>
          <cell r="V197">
            <v>1180547.6138139998</v>
          </cell>
          <cell r="W197">
            <v>1208115.2197819999</v>
          </cell>
          <cell r="X197">
            <v>1216339.7402199998</v>
          </cell>
          <cell r="Y197">
            <v>1245757.8721334087</v>
          </cell>
          <cell r="Z197">
            <v>1259153.3476653653</v>
          </cell>
          <cell r="AA197">
            <v>1296929.4426061506</v>
          </cell>
          <cell r="AB197">
            <v>1269959.3281987528</v>
          </cell>
          <cell r="AC197">
            <v>1284073.2437886996</v>
          </cell>
          <cell r="AD197">
            <v>1308745.9891650539</v>
          </cell>
          <cell r="AE197">
            <v>1383007.9221585717</v>
          </cell>
          <cell r="AF197">
            <v>1404977.5838556949</v>
          </cell>
          <cell r="AG197">
            <v>1468518.5297362304</v>
          </cell>
          <cell r="AH197">
            <v>1358558.6453571541</v>
          </cell>
          <cell r="AI197">
            <v>1455610.1320169871</v>
          </cell>
          <cell r="AJ197">
            <v>1509512.1185463909</v>
          </cell>
          <cell r="AK197">
            <v>1557840.1677519977</v>
          </cell>
          <cell r="AL197">
            <v>1595355.2037670482</v>
          </cell>
          <cell r="AM197">
            <v>1698261.4333784161</v>
          </cell>
          <cell r="AN197">
            <v>1707500.1676307153</v>
          </cell>
          <cell r="AO197">
            <v>1558004.065931492</v>
          </cell>
          <cell r="AP197">
            <v>1576652.3854448334</v>
          </cell>
          <cell r="AQ197">
            <v>1628545.5508729583</v>
          </cell>
          <cell r="AR197">
            <v>1672758.7655918405</v>
          </cell>
          <cell r="AS197">
            <v>1700068.8882450596</v>
          </cell>
          <cell r="AT197">
            <v>1772645.3730767865</v>
          </cell>
          <cell r="AU197">
            <v>1590752.1204419113</v>
          </cell>
        </row>
        <row r="199">
          <cell r="A199" t="str">
            <v>Endeudamiento externo neto</v>
          </cell>
          <cell r="C199">
            <v>5207.4791930000001</v>
          </cell>
          <cell r="D199">
            <v>9982.5845350000018</v>
          </cell>
          <cell r="E199">
            <v>11132.616664000001</v>
          </cell>
          <cell r="F199">
            <v>18093.932002999998</v>
          </cell>
          <cell r="G199">
            <v>19934.021938999998</v>
          </cell>
          <cell r="H199">
            <v>20197.944819</v>
          </cell>
          <cell r="I199">
            <v>22294.821463</v>
          </cell>
          <cell r="J199">
            <v>21889.290084</v>
          </cell>
          <cell r="K199">
            <v>21758.222822000003</v>
          </cell>
          <cell r="L199">
            <v>21007.413438</v>
          </cell>
          <cell r="M199">
            <v>20178.299736000004</v>
          </cell>
          <cell r="N199">
            <v>19836.937133999996</v>
          </cell>
          <cell r="O199">
            <v>20304.240669999996</v>
          </cell>
          <cell r="P199">
            <v>22078.523819999999</v>
          </cell>
          <cell r="Q199">
            <v>20621.630498999999</v>
          </cell>
          <cell r="R199">
            <v>20692.980566999999</v>
          </cell>
          <cell r="S199">
            <v>22203.235779999999</v>
          </cell>
          <cell r="T199">
            <v>23803.972232</v>
          </cell>
          <cell r="U199">
            <v>27232.742336000003</v>
          </cell>
          <cell r="V199">
            <v>29931.068816000003</v>
          </cell>
          <cell r="W199">
            <v>27456.489153999999</v>
          </cell>
          <cell r="X199">
            <v>25191.905898000001</v>
          </cell>
          <cell r="Y199">
            <v>24918.77608752513</v>
          </cell>
          <cell r="Z199">
            <v>26697.750617634636</v>
          </cell>
          <cell r="AA199">
            <v>25877.027386766487</v>
          </cell>
          <cell r="AB199">
            <v>26670.384721865514</v>
          </cell>
          <cell r="AC199">
            <v>26063.653661448916</v>
          </cell>
          <cell r="AD199">
            <v>26160.696888435214</v>
          </cell>
          <cell r="AE199">
            <v>26877.707276554243</v>
          </cell>
          <cell r="AF199">
            <v>29099.640424974423</v>
          </cell>
          <cell r="AG199">
            <v>31014.779617249464</v>
          </cell>
          <cell r="AH199">
            <v>32260.445146342394</v>
          </cell>
          <cell r="AI199">
            <v>34786.616291599268</v>
          </cell>
          <cell r="AJ199">
            <v>37800.687638794596</v>
          </cell>
          <cell r="AK199">
            <v>37937.344567327331</v>
          </cell>
          <cell r="AL199">
            <v>40385.404766170897</v>
          </cell>
          <cell r="AM199">
            <v>40411.929197397745</v>
          </cell>
          <cell r="AN199">
            <v>39448.406443338557</v>
          </cell>
          <cell r="AO199">
            <v>40585.951285251467</v>
          </cell>
          <cell r="AP199">
            <v>39847.959485138701</v>
          </cell>
          <cell r="AQ199">
            <v>49385.121510883298</v>
          </cell>
          <cell r="AR199">
            <v>47638.616001586815</v>
          </cell>
          <cell r="AS199">
            <v>47961.587685122213</v>
          </cell>
          <cell r="AT199">
            <v>47036.59229992122</v>
          </cell>
          <cell r="AU199">
            <v>49324.998496796739</v>
          </cell>
        </row>
        <row r="200">
          <cell r="A200" t="str">
            <v>Obligaciones con Gobierno</v>
          </cell>
          <cell r="C200">
            <v>1367.361202</v>
          </cell>
          <cell r="D200">
            <v>37188.116247999998</v>
          </cell>
          <cell r="E200">
            <v>37199.030673999994</v>
          </cell>
          <cell r="F200">
            <v>4631.6742529999992</v>
          </cell>
          <cell r="G200">
            <v>4669.0005009999995</v>
          </cell>
          <cell r="H200">
            <v>1950.8269290000001</v>
          </cell>
          <cell r="I200">
            <v>1956.1903810000001</v>
          </cell>
          <cell r="J200">
            <v>2266.1306860000004</v>
          </cell>
          <cell r="K200">
            <v>3565.5976139999998</v>
          </cell>
          <cell r="L200">
            <v>2853.4457240000002</v>
          </cell>
          <cell r="M200">
            <v>2509.9057919999996</v>
          </cell>
          <cell r="N200">
            <v>2495.1030489999998</v>
          </cell>
          <cell r="O200">
            <v>3382.1594649999997</v>
          </cell>
          <cell r="P200">
            <v>2327.7480430000001</v>
          </cell>
          <cell r="Q200">
            <v>2495.7314280000001</v>
          </cell>
          <cell r="R200">
            <v>2967.8193589999996</v>
          </cell>
          <cell r="S200">
            <v>2540.3129519999998</v>
          </cell>
          <cell r="T200">
            <v>2831.9358920000004</v>
          </cell>
          <cell r="U200">
            <v>2928.137068</v>
          </cell>
          <cell r="V200">
            <v>3019.9181799999997</v>
          </cell>
          <cell r="W200">
            <v>3201.9987999999994</v>
          </cell>
          <cell r="X200">
            <v>2942.118892</v>
          </cell>
          <cell r="Y200">
            <v>3734.1252817800005</v>
          </cell>
          <cell r="Z200">
            <v>3933.6896916000005</v>
          </cell>
          <cell r="AA200">
            <v>4555.4613802000003</v>
          </cell>
          <cell r="AB200">
            <v>4137.3108958599996</v>
          </cell>
          <cell r="AC200">
            <v>4415.4463716200007</v>
          </cell>
          <cell r="AD200">
            <v>2633.4439709400003</v>
          </cell>
          <cell r="AE200">
            <v>2724.9897754399999</v>
          </cell>
          <cell r="AF200">
            <v>4317.9649001199996</v>
          </cell>
          <cell r="AG200">
            <v>4348.3284412000003</v>
          </cell>
          <cell r="AH200">
            <v>3940.4357961799997</v>
          </cell>
          <cell r="AI200">
            <v>3985.9839649999999</v>
          </cell>
          <cell r="AJ200">
            <v>3694.7468740199997</v>
          </cell>
          <cell r="AK200">
            <v>3877.8619140000001</v>
          </cell>
          <cell r="AL200">
            <v>4750.7022849999994</v>
          </cell>
          <cell r="AM200">
            <v>3832.6831520000001</v>
          </cell>
          <cell r="AN200">
            <v>4269.4149259999995</v>
          </cell>
          <cell r="AO200">
            <v>4864.0161859999998</v>
          </cell>
          <cell r="AP200">
            <v>3570.6045300000001</v>
          </cell>
          <cell r="AQ200">
            <v>4067.9945600000001</v>
          </cell>
          <cell r="AR200">
            <v>5646.9759190000004</v>
          </cell>
          <cell r="AS200">
            <v>3976.2527469999995</v>
          </cell>
          <cell r="AT200">
            <v>3911.3645890000003</v>
          </cell>
          <cell r="AU200">
            <v>3794.3870569999999</v>
          </cell>
        </row>
        <row r="201">
          <cell r="A201" t="str">
            <v>Obligaciones con Entidades</v>
          </cell>
          <cell r="C201">
            <v>30867.782449999999</v>
          </cell>
          <cell r="D201">
            <v>34188.091679999998</v>
          </cell>
          <cell r="E201">
            <v>34413.170489999997</v>
          </cell>
          <cell r="F201">
            <v>34788.387905000003</v>
          </cell>
          <cell r="G201">
            <v>35051.275585000003</v>
          </cell>
          <cell r="H201">
            <v>69955.272152999998</v>
          </cell>
          <cell r="I201">
            <v>70286.725716999994</v>
          </cell>
          <cell r="J201">
            <v>64540.296071999997</v>
          </cell>
          <cell r="K201">
            <v>73740.751699999993</v>
          </cell>
          <cell r="L201">
            <v>71993.576545999997</v>
          </cell>
          <cell r="M201">
            <v>79881.613224000001</v>
          </cell>
          <cell r="N201">
            <v>80013.269141000012</v>
          </cell>
          <cell r="O201">
            <v>75027.068025</v>
          </cell>
          <cell r="P201">
            <v>78035.15711</v>
          </cell>
          <cell r="Q201">
            <v>86051.521995999996</v>
          </cell>
          <cell r="R201">
            <v>87920.50482300001</v>
          </cell>
          <cell r="S201">
            <v>88304.063619999986</v>
          </cell>
          <cell r="T201">
            <v>85137.552643999996</v>
          </cell>
          <cell r="U201">
            <v>82985.339043999993</v>
          </cell>
          <cell r="V201">
            <v>83567.113839999991</v>
          </cell>
          <cell r="W201">
            <v>74060.297720000002</v>
          </cell>
          <cell r="X201">
            <v>69774.126155999998</v>
          </cell>
          <cell r="Y201">
            <v>76013.539644660006</v>
          </cell>
          <cell r="Z201">
            <v>71292.818373200003</v>
          </cell>
          <cell r="AA201">
            <v>77091.226575020002</v>
          </cell>
          <cell r="AB201">
            <v>87832.45376756</v>
          </cell>
          <cell r="AC201">
            <v>92400.399689340004</v>
          </cell>
          <cell r="AD201">
            <v>95731.983762239994</v>
          </cell>
          <cell r="AE201">
            <v>105115.73476136001</v>
          </cell>
          <cell r="AF201">
            <v>115702.64105390001</v>
          </cell>
          <cell r="AG201">
            <v>90362.367167219985</v>
          </cell>
          <cell r="AH201">
            <v>87335.600431940009</v>
          </cell>
          <cell r="AI201">
            <v>88211.214902000007</v>
          </cell>
          <cell r="AJ201">
            <v>81621.143246999985</v>
          </cell>
          <cell r="AK201">
            <v>85129.087416000009</v>
          </cell>
          <cell r="AL201">
            <v>87195.932637999998</v>
          </cell>
          <cell r="AM201">
            <v>92673.290290999998</v>
          </cell>
          <cell r="AN201">
            <v>96329.886291999996</v>
          </cell>
          <cell r="AO201">
            <v>96974.060244999986</v>
          </cell>
          <cell r="AP201">
            <v>90942.054828239998</v>
          </cell>
          <cell r="AQ201">
            <v>93650.194257259995</v>
          </cell>
          <cell r="AR201">
            <v>96890.167493439993</v>
          </cell>
          <cell r="AS201">
            <v>98798.528332160015</v>
          </cell>
          <cell r="AT201">
            <v>92875.630724219998</v>
          </cell>
          <cell r="AU201">
            <v>89753.916733369988</v>
          </cell>
        </row>
        <row r="202">
          <cell r="A202" t="str">
            <v>Obligaciones con el BCCR</v>
          </cell>
          <cell r="C202">
            <v>18867.810847000001</v>
          </cell>
          <cell r="D202">
            <v>47891.672307000001</v>
          </cell>
          <cell r="E202">
            <v>48562.298606999997</v>
          </cell>
          <cell r="F202">
            <v>14148.815273</v>
          </cell>
          <cell r="G202">
            <v>14858.792953</v>
          </cell>
          <cell r="H202">
            <v>11575.390493999999</v>
          </cell>
          <cell r="I202">
            <v>12004.539494000001</v>
          </cell>
          <cell r="J202">
            <v>11777.197698</v>
          </cell>
          <cell r="K202">
            <v>11657.839780999999</v>
          </cell>
          <cell r="L202">
            <v>11532.462128000001</v>
          </cell>
          <cell r="M202">
            <v>11444.740088000002</v>
          </cell>
          <cell r="N202">
            <v>11183.855749</v>
          </cell>
          <cell r="O202">
            <v>10634.304479999999</v>
          </cell>
          <cell r="P202">
            <v>10533.905347000002</v>
          </cell>
          <cell r="Q202">
            <v>10651.142110000001</v>
          </cell>
          <cell r="R202">
            <v>10449.170597</v>
          </cell>
          <cell r="S202">
            <v>10397.121616</v>
          </cell>
          <cell r="T202">
            <v>10169.630311999999</v>
          </cell>
          <cell r="U202">
            <v>9893.1624640000009</v>
          </cell>
          <cell r="V202">
            <v>10259.276284</v>
          </cell>
          <cell r="W202">
            <v>10202.991946000002</v>
          </cell>
          <cell r="X202">
            <v>10114.085282</v>
          </cell>
          <cell r="Y202">
            <v>10102.9472907704</v>
          </cell>
          <cell r="Z202">
            <v>10020.3302400434</v>
          </cell>
          <cell r="AA202">
            <v>9820.8949477409988</v>
          </cell>
          <cell r="AB202">
            <v>9387.0981651658003</v>
          </cell>
          <cell r="AC202">
            <v>9336.8808653317992</v>
          </cell>
          <cell r="AD202">
            <v>9296.8550347349992</v>
          </cell>
          <cell r="AE202">
            <v>9208.2388302260006</v>
          </cell>
          <cell r="AF202">
            <v>9183.2086425895995</v>
          </cell>
          <cell r="AG202">
            <v>9026.5119743176001</v>
          </cell>
          <cell r="AH202">
            <v>8725.8686467568004</v>
          </cell>
          <cell r="AI202">
            <v>9083.77893984</v>
          </cell>
          <cell r="AJ202">
            <v>9034.9235647200003</v>
          </cell>
          <cell r="AK202">
            <v>8770.1487099000005</v>
          </cell>
          <cell r="AL202">
            <v>8657.7190928999989</v>
          </cell>
          <cell r="AM202">
            <v>8693.3478883799999</v>
          </cell>
          <cell r="AN202">
            <v>9192.8878320599997</v>
          </cell>
          <cell r="AO202">
            <v>8673.1926340800001</v>
          </cell>
          <cell r="AP202">
            <v>8635.8162190999992</v>
          </cell>
          <cell r="AQ202">
            <v>8633.0061306999996</v>
          </cell>
          <cell r="AR202">
            <v>8574.0881713199997</v>
          </cell>
          <cell r="AS202">
            <v>8508.1950889199998</v>
          </cell>
          <cell r="AT202">
            <v>8260.3742864199994</v>
          </cell>
          <cell r="AU202">
            <v>7940.3886357400006</v>
          </cell>
        </row>
        <row r="203">
          <cell r="A203" t="str">
            <v>Obligaciones con Sector finan no bancario</v>
          </cell>
          <cell r="C203">
            <v>2820.6150920000005</v>
          </cell>
          <cell r="D203">
            <v>5710.7570679999999</v>
          </cell>
          <cell r="E203">
            <v>5977.5904840000003</v>
          </cell>
          <cell r="F203">
            <v>6482.7151219999996</v>
          </cell>
          <cell r="G203">
            <v>6612.2806739999996</v>
          </cell>
          <cell r="H203">
            <v>5045.1407730000001</v>
          </cell>
          <cell r="I203">
            <v>5080.4268970000003</v>
          </cell>
          <cell r="J203">
            <v>4307.9685760000002</v>
          </cell>
          <cell r="K203">
            <v>4213.5006000000003</v>
          </cell>
          <cell r="L203">
            <v>4360.4182130000008</v>
          </cell>
          <cell r="M203">
            <v>3836.3694720000003</v>
          </cell>
          <cell r="N203">
            <v>2837.494948</v>
          </cell>
          <cell r="O203">
            <v>2682.5384299999996</v>
          </cell>
          <cell r="P203">
            <v>2678.8261809999999</v>
          </cell>
          <cell r="Q203">
            <v>1723.174123</v>
          </cell>
          <cell r="R203">
            <v>2689.9742430000001</v>
          </cell>
          <cell r="S203">
            <v>1535.3048079999999</v>
          </cell>
          <cell r="T203">
            <v>2092.2718759999998</v>
          </cell>
          <cell r="U203">
            <v>2765.8489399999999</v>
          </cell>
          <cell r="V203">
            <v>2824.5885499999999</v>
          </cell>
          <cell r="W203">
            <v>2588.9522599999996</v>
          </cell>
          <cell r="X203">
            <v>2288.3272440000001</v>
          </cell>
          <cell r="Y203">
            <v>2147.9227823800002</v>
          </cell>
          <cell r="Z203">
            <v>1337.4143959999999</v>
          </cell>
          <cell r="AA203">
            <v>1860.523639</v>
          </cell>
          <cell r="AB203">
            <v>2443.3334089999998</v>
          </cell>
          <cell r="AC203">
            <v>2601.9445799999999</v>
          </cell>
          <cell r="AD203">
            <v>2099.1188444199997</v>
          </cell>
          <cell r="AE203">
            <v>4774.3294055400002</v>
          </cell>
          <cell r="AF203">
            <v>4846.1707748199997</v>
          </cell>
          <cell r="AG203">
            <v>5263.9308623799998</v>
          </cell>
          <cell r="AH203">
            <v>9492.9894109599991</v>
          </cell>
          <cell r="AI203">
            <v>9788.6758420000006</v>
          </cell>
          <cell r="AJ203">
            <v>5477.8138870000002</v>
          </cell>
          <cell r="AK203">
            <v>5052.2385119999999</v>
          </cell>
          <cell r="AL203">
            <v>5999.9657109999998</v>
          </cell>
          <cell r="AM203">
            <v>5383.2622769999998</v>
          </cell>
          <cell r="AN203">
            <v>4553.3570840000002</v>
          </cell>
          <cell r="AO203">
            <v>5214.5222690000001</v>
          </cell>
          <cell r="AP203">
            <v>3338.3872139999999</v>
          </cell>
          <cell r="AQ203">
            <v>3324.0856880000001</v>
          </cell>
          <cell r="AR203">
            <v>3616.5718790000001</v>
          </cell>
          <cell r="AS203">
            <v>4083.674062</v>
          </cell>
          <cell r="AT203">
            <v>5767.890907</v>
          </cell>
          <cell r="AU203">
            <v>7234.6956229999996</v>
          </cell>
        </row>
        <row r="204">
          <cell r="A204" t="str">
            <v>Obligaciones con sector privado</v>
          </cell>
          <cell r="C204">
            <v>383148.26861700002</v>
          </cell>
          <cell r="D204">
            <v>452698.18251900002</v>
          </cell>
          <cell r="E204">
            <v>472920.65629499999</v>
          </cell>
          <cell r="F204">
            <v>482132.37253599998</v>
          </cell>
          <cell r="G204">
            <v>510711.46879999997</v>
          </cell>
          <cell r="H204">
            <v>621258.26246799994</v>
          </cell>
          <cell r="I204">
            <v>650668.69202399999</v>
          </cell>
          <cell r="J204">
            <v>638292.96242200001</v>
          </cell>
          <cell r="K204">
            <v>629783.66203300003</v>
          </cell>
          <cell r="L204">
            <v>641623.25478399987</v>
          </cell>
          <cell r="M204">
            <v>651482.44237399986</v>
          </cell>
          <cell r="N204">
            <v>650939.96462800005</v>
          </cell>
          <cell r="O204">
            <v>674913.73520500003</v>
          </cell>
          <cell r="P204">
            <v>680631.97685700003</v>
          </cell>
          <cell r="Q204">
            <v>679599.9768660001</v>
          </cell>
          <cell r="R204">
            <v>684359.46801700001</v>
          </cell>
          <cell r="S204">
            <v>694003.48345199996</v>
          </cell>
          <cell r="T204">
            <v>717516.87925200001</v>
          </cell>
          <cell r="U204">
            <v>735136.48948400002</v>
          </cell>
          <cell r="V204">
            <v>768631.66792399995</v>
          </cell>
          <cell r="W204">
            <v>795781.64298200002</v>
          </cell>
          <cell r="X204">
            <v>792137.45300799992</v>
          </cell>
          <cell r="Y204">
            <v>805874.18895015633</v>
          </cell>
          <cell r="Z204">
            <v>807441.63187446282</v>
          </cell>
          <cell r="AA204">
            <v>815572.03405990731</v>
          </cell>
          <cell r="AB204">
            <v>836563.9454392487</v>
          </cell>
          <cell r="AC204">
            <v>854118.01315588946</v>
          </cell>
          <cell r="AD204">
            <v>858044.17266141647</v>
          </cell>
          <cell r="AE204">
            <v>890702.22600735677</v>
          </cell>
          <cell r="AF204">
            <v>878085.21717683552</v>
          </cell>
          <cell r="AG204">
            <v>927834.12287510978</v>
          </cell>
          <cell r="AH204">
            <v>924864.80345307104</v>
          </cell>
          <cell r="AI204">
            <v>965716.73795387056</v>
          </cell>
          <cell r="AJ204">
            <v>1002702.5646111094</v>
          </cell>
          <cell r="AK204">
            <v>1012382.2213516033</v>
          </cell>
          <cell r="AL204">
            <v>1019759.0555858824</v>
          </cell>
          <cell r="AM204">
            <v>1086669.5118526337</v>
          </cell>
          <cell r="AN204">
            <v>1085118.4041418592</v>
          </cell>
          <cell r="AO204">
            <v>1047042.1624049924</v>
          </cell>
          <cell r="AP204">
            <v>1062540.1256777225</v>
          </cell>
          <cell r="AQ204">
            <v>1078133.9792582723</v>
          </cell>
          <cell r="AR204">
            <v>1102524.892753531</v>
          </cell>
          <cell r="AS204">
            <v>1106931.5288239634</v>
          </cell>
          <cell r="AT204">
            <v>1146530.7083866601</v>
          </cell>
          <cell r="AU204">
            <v>1117143.005923504</v>
          </cell>
        </row>
        <row r="205">
          <cell r="A205" t="str">
            <v>Pasivos no clasificados</v>
          </cell>
          <cell r="C205">
            <v>169330.21369600002</v>
          </cell>
          <cell r="D205">
            <v>129172.73334200002</v>
          </cell>
          <cell r="E205">
            <v>157217.314613</v>
          </cell>
          <cell r="F205">
            <v>202044.61550800002</v>
          </cell>
          <cell r="G205">
            <v>239780.68443600001</v>
          </cell>
          <cell r="H205">
            <v>225587.550323</v>
          </cell>
          <cell r="I205">
            <v>264399.33184699999</v>
          </cell>
          <cell r="J205">
            <v>311756.43645799998</v>
          </cell>
          <cell r="K205">
            <v>315662.10195400001</v>
          </cell>
          <cell r="L205">
            <v>312878.05031600001</v>
          </cell>
          <cell r="M205">
            <v>324848.79931400006</v>
          </cell>
          <cell r="N205">
            <v>326727.41407900001</v>
          </cell>
          <cell r="O205">
            <v>251746.05221999998</v>
          </cell>
          <cell r="P205">
            <v>253025.50291899999</v>
          </cell>
          <cell r="Q205">
            <v>266072.26932800002</v>
          </cell>
          <cell r="R205">
            <v>294733.26725099992</v>
          </cell>
          <cell r="S205">
            <v>296902.29888399999</v>
          </cell>
          <cell r="T205">
            <v>313894.752844</v>
          </cell>
          <cell r="U205">
            <v>237939.88913200001</v>
          </cell>
          <cell r="V205">
            <v>282313.98021999997</v>
          </cell>
          <cell r="W205">
            <v>294822.84691999998</v>
          </cell>
          <cell r="X205">
            <v>313891.72373999999</v>
          </cell>
          <cell r="Y205">
            <v>322966.37209613685</v>
          </cell>
          <cell r="Z205">
            <v>338429.71247242438</v>
          </cell>
          <cell r="AA205">
            <v>362152.27461751591</v>
          </cell>
          <cell r="AB205">
            <v>302924.80180005275</v>
          </cell>
          <cell r="AC205">
            <v>295136.90546506958</v>
          </cell>
          <cell r="AD205">
            <v>314779.71800286719</v>
          </cell>
          <cell r="AE205">
            <v>343604.69610209455</v>
          </cell>
          <cell r="AF205">
            <v>363742.74088245531</v>
          </cell>
          <cell r="AG205">
            <v>400668.48879875359</v>
          </cell>
          <cell r="AH205">
            <v>291938.5024719038</v>
          </cell>
          <cell r="AI205">
            <v>344037.12412267743</v>
          </cell>
          <cell r="AJ205">
            <v>369180.23872374685</v>
          </cell>
          <cell r="AK205">
            <v>404691.265281167</v>
          </cell>
          <cell r="AL205">
            <v>428606.42368809495</v>
          </cell>
          <cell r="AM205">
            <v>460597.40872000466</v>
          </cell>
          <cell r="AN205">
            <v>468587.81091145764</v>
          </cell>
          <cell r="AO205">
            <v>354650.16090716817</v>
          </cell>
          <cell r="AP205">
            <v>367777.43749063241</v>
          </cell>
          <cell r="AQ205">
            <v>391351.16946784261</v>
          </cell>
          <cell r="AR205">
            <v>407867.45337396278</v>
          </cell>
          <cell r="AS205">
            <v>429809.121505894</v>
          </cell>
          <cell r="AT205">
            <v>468262.81188356521</v>
          </cell>
          <cell r="AU205">
            <v>315560.72797250061</v>
          </cell>
        </row>
        <row r="208">
          <cell r="A208" t="str">
            <v>CIERRE</v>
          </cell>
          <cell r="C208">
            <v>104.27395599987358</v>
          </cell>
          <cell r="D208">
            <v>176.46995599986985</v>
          </cell>
          <cell r="E208">
            <v>176.46995599998627</v>
          </cell>
          <cell r="F208">
            <v>-1.158999977633357E-3</v>
          </cell>
          <cell r="G208">
            <v>2.2640999988652766E-2</v>
          </cell>
          <cell r="H208">
            <v>0.19305499992333353</v>
          </cell>
          <cell r="I208">
            <v>0.19305500003974885</v>
          </cell>
          <cell r="J208">
            <v>-1.570324000203982</v>
          </cell>
          <cell r="K208">
            <v>-0.21293099992908537</v>
          </cell>
          <cell r="L208">
            <v>-0.30539999972097576</v>
          </cell>
          <cell r="M208">
            <v>-0.37614799989387393</v>
          </cell>
          <cell r="N208">
            <v>-2.0690000150352716E-2</v>
          </cell>
          <cell r="O208">
            <v>-4.1774999932385981E-2</v>
          </cell>
          <cell r="P208">
            <v>-2.4439000058919191E-2</v>
          </cell>
          <cell r="Q208">
            <v>-3.5906000062823296E-2</v>
          </cell>
          <cell r="R208">
            <v>-4.4667999958619475E-2</v>
          </cell>
          <cell r="S208">
            <v>-4.268800001591444E-2</v>
          </cell>
          <cell r="T208">
            <v>-2.2972000297158957E-2</v>
          </cell>
          <cell r="U208">
            <v>-2.4984000017866492E-2</v>
          </cell>
          <cell r="V208">
            <v>-2.4984000017866492E-2</v>
          </cell>
          <cell r="W208">
            <v>-4.9252000171691179E-2</v>
          </cell>
          <cell r="X208">
            <v>-9.985999995842576E-2</v>
          </cell>
          <cell r="Y208">
            <v>2.8335489332675934E-7</v>
          </cell>
          <cell r="Z208">
            <v>-6.7076645791530609E-5</v>
          </cell>
          <cell r="AA208">
            <v>-3.5637291148304939E-4</v>
          </cell>
          <cell r="AB208">
            <v>-2.9503833502531052E-4</v>
          </cell>
          <cell r="AC208">
            <v>7.407250814139843E-4</v>
          </cell>
          <cell r="AD208">
            <v>6.3003157265484333E-4</v>
          </cell>
          <cell r="AE208">
            <v>-2.2773304954171181E-4</v>
          </cell>
          <cell r="AF208">
            <v>-6.5146549604833126E-4</v>
          </cell>
          <cell r="AG208">
            <v>2.4053058587014675E-4</v>
          </cell>
          <cell r="AH208">
            <v>1.6355188563466072E-5</v>
          </cell>
          <cell r="AI208">
            <v>1.6355188563466072E-5</v>
          </cell>
          <cell r="AJ208">
            <v>3.7625432014465332E-7</v>
          </cell>
          <cell r="AK208">
            <v>5.289912223815918E-7</v>
          </cell>
          <cell r="AL208">
            <v>-5.059409886598587E-7</v>
          </cell>
          <cell r="AM208">
            <v>1.9012950360774994E-6</v>
          </cell>
          <cell r="AN208">
            <v>2.9937364161014557E-6</v>
          </cell>
          <cell r="AO208">
            <v>7.8952871263027191E-7</v>
          </cell>
          <cell r="AP208">
            <v>7.6554715633392334E-7</v>
          </cell>
          <cell r="AQ208">
            <v>-7.597263902425766E-7</v>
          </cell>
          <cell r="AR208">
            <v>-8.9500099420547485E-7</v>
          </cell>
          <cell r="AS208">
            <v>4.2840838432312012E-7</v>
          </cell>
          <cell r="AT208">
            <v>-4.7264620661735535E-8</v>
          </cell>
          <cell r="AU208">
            <v>8.8894739747047424E-7</v>
          </cell>
        </row>
        <row r="210">
          <cell r="A210" t="str">
            <v>VARIACIONES ACUMULADAS. BANCOS</v>
          </cell>
        </row>
        <row r="212">
          <cell r="A212" t="str">
            <v>ACTIVOS</v>
          </cell>
          <cell r="D212">
            <v>105294.80260200007</v>
          </cell>
          <cell r="F212">
            <v>-5276.6363419999834</v>
          </cell>
          <cell r="H212">
            <v>123953.03348499991</v>
          </cell>
          <cell r="J212">
            <v>28137.790793999913</v>
          </cell>
          <cell r="K212">
            <v>33690.542695000186</v>
          </cell>
          <cell r="L212">
            <v>39557.394871000084</v>
          </cell>
          <cell r="M212">
            <v>67490.872974000056</v>
          </cell>
          <cell r="N212">
            <v>67343.097160000005</v>
          </cell>
          <cell r="O212">
            <v>11999.135842000018</v>
          </cell>
          <cell r="P212">
            <v>22620.69496000011</v>
          </cell>
          <cell r="Q212">
            <v>40524.489566000062</v>
          </cell>
          <cell r="R212">
            <v>77122.219310999964</v>
          </cell>
          <cell r="S212">
            <v>89194.857545999927</v>
          </cell>
          <cell r="T212">
            <v>128756.05120199977</v>
          </cell>
          <cell r="U212">
            <v>72190.662606000085</v>
          </cell>
          <cell r="V212">
            <v>153856.66795199981</v>
          </cell>
          <cell r="W212">
            <v>27567.581699999981</v>
          </cell>
          <cell r="X212">
            <v>35792.051530000055</v>
          </cell>
          <cell r="Y212">
            <v>65210.283303692238</v>
          </cell>
          <cell r="Z212">
            <v>78605.758768288884</v>
          </cell>
          <cell r="AA212">
            <v>116381.85341977794</v>
          </cell>
          <cell r="AB212">
            <v>89411.739073714707</v>
          </cell>
          <cell r="AC212">
            <v>103525.65569942491</v>
          </cell>
          <cell r="AD212">
            <v>128198.40096508572</v>
          </cell>
          <cell r="AE212">
            <v>202460.33310083882</v>
          </cell>
          <cell r="AF212">
            <v>224429.99437422957</v>
          </cell>
          <cell r="AG212">
            <v>287970.94114676118</v>
          </cell>
          <cell r="AH212">
            <v>178011.05654350948</v>
          </cell>
          <cell r="AJ212">
            <v>53901.986513424898</v>
          </cell>
          <cell r="AK212">
            <v>102230.03571918444</v>
          </cell>
          <cell r="AL212">
            <v>139745.07173319999</v>
          </cell>
          <cell r="AM212">
            <v>242651.30134697515</v>
          </cell>
          <cell r="AN212">
            <v>251890.03560036677</v>
          </cell>
          <cell r="AO212">
            <v>102393.93389893929</v>
          </cell>
          <cell r="AP212">
            <v>121042.25341225672</v>
          </cell>
          <cell r="AQ212">
            <v>172935.41883885628</v>
          </cell>
          <cell r="AR212">
            <v>217148.63355760323</v>
          </cell>
          <cell r="AS212">
            <v>244458.75621214579</v>
          </cell>
          <cell r="AT212">
            <v>317035.24104339699</v>
          </cell>
          <cell r="AU212">
            <v>135141.98840945796</v>
          </cell>
        </row>
        <row r="214">
          <cell r="A214" t="str">
            <v>Reservas internacionales netas</v>
          </cell>
          <cell r="D214">
            <v>9368.8461580000003</v>
          </cell>
          <cell r="F214">
            <v>-4391.42474699999</v>
          </cell>
          <cell r="H214">
            <v>3109.020781999996</v>
          </cell>
          <cell r="J214">
            <v>-4861.8193020000108</v>
          </cell>
          <cell r="K214">
            <v>-8020.3933190000062</v>
          </cell>
          <cell r="L214">
            <v>-1960.9842240000071</v>
          </cell>
          <cell r="M214">
            <v>-7038.9587620000057</v>
          </cell>
          <cell r="N214">
            <v>-7384.0188230000094</v>
          </cell>
          <cell r="O214">
            <v>-15080.419509000003</v>
          </cell>
          <cell r="P214">
            <v>-11973.343001000012</v>
          </cell>
          <cell r="Q214">
            <v>-16936.067727000012</v>
          </cell>
          <cell r="R214">
            <v>-21699.700115000014</v>
          </cell>
          <cell r="S214">
            <v>-16636.788572000005</v>
          </cell>
          <cell r="T214">
            <v>-18079.088708000018</v>
          </cell>
          <cell r="U214">
            <v>-24860.843068000002</v>
          </cell>
          <cell r="V214">
            <v>-23787.430432000001</v>
          </cell>
          <cell r="W214">
            <v>10276.267711999992</v>
          </cell>
          <cell r="X214">
            <v>22170.526777999985</v>
          </cell>
          <cell r="Y214">
            <v>8364.3959557825965</v>
          </cell>
          <cell r="Z214">
            <v>14423.511396611213</v>
          </cell>
          <cell r="AA214">
            <v>16525.806604702972</v>
          </cell>
          <cell r="AB214">
            <v>4526.0463734871264</v>
          </cell>
          <cell r="AC214">
            <v>9159.2712255981987</v>
          </cell>
          <cell r="AD214">
            <v>1127.1172339110253</v>
          </cell>
          <cell r="AE214">
            <v>-17192.926278912844</v>
          </cell>
          <cell r="AF214">
            <v>-7394.4037020561263</v>
          </cell>
          <cell r="AG214">
            <v>-1094.0645641644132</v>
          </cell>
          <cell r="AH214">
            <v>200.75193732310436</v>
          </cell>
          <cell r="AJ214">
            <v>8176.4509642641679</v>
          </cell>
          <cell r="AK214">
            <v>-3391.8885588002304</v>
          </cell>
          <cell r="AL214">
            <v>-4957.7975817286824</v>
          </cell>
          <cell r="AM214">
            <v>6282.8905595119068</v>
          </cell>
          <cell r="AN214">
            <v>-10234.026811613896</v>
          </cell>
          <cell r="AO214">
            <v>-11399.460641176216</v>
          </cell>
          <cell r="AP214">
            <v>-7568.1013612769766</v>
          </cell>
          <cell r="AQ214">
            <v>-9282.6452302762173</v>
          </cell>
          <cell r="AR214">
            <v>947.37729521750953</v>
          </cell>
          <cell r="AS214">
            <v>7681.9052324061886</v>
          </cell>
          <cell r="AT214">
            <v>-7609.1025489271433</v>
          </cell>
          <cell r="AU214">
            <v>-14291.240274909725</v>
          </cell>
        </row>
        <row r="215">
          <cell r="A215" t="str">
            <v>Crédito bruto a Gobierno</v>
          </cell>
          <cell r="D215">
            <v>44769.908899999995</v>
          </cell>
          <cell r="F215">
            <v>-24642.232199999999</v>
          </cell>
          <cell r="H215">
            <v>60464.442900000009</v>
          </cell>
          <cell r="J215">
            <v>-6344.6129000000074</v>
          </cell>
          <cell r="K215">
            <v>-506.73780000000261</v>
          </cell>
          <cell r="L215">
            <v>-393.74760000000242</v>
          </cell>
          <cell r="M215">
            <v>3467.1640999999945</v>
          </cell>
          <cell r="N215">
            <v>3357.4089999999997</v>
          </cell>
          <cell r="O215">
            <v>-3088.5555000000168</v>
          </cell>
          <cell r="P215">
            <v>-1481.4825560000027</v>
          </cell>
          <cell r="Q215">
            <v>-7525.8340810000227</v>
          </cell>
          <cell r="R215">
            <v>-6938.303836000021</v>
          </cell>
          <cell r="S215">
            <v>-19266.973700000017</v>
          </cell>
          <cell r="T215">
            <v>-17717.490200000015</v>
          </cell>
          <cell r="U215">
            <v>-9792.7159480000118</v>
          </cell>
          <cell r="V215">
            <v>-7541.3359300000157</v>
          </cell>
          <cell r="W215">
            <v>2990.7732099999994</v>
          </cell>
          <cell r="X215">
            <v>-3776.0915979999991</v>
          </cell>
          <cell r="Y215">
            <v>-6968.7307043399924</v>
          </cell>
          <cell r="Z215">
            <v>-27806.965425209986</v>
          </cell>
          <cell r="AA215">
            <v>-25755.826197179995</v>
          </cell>
          <cell r="AB215">
            <v>-28853.42704764699</v>
          </cell>
          <cell r="AC215">
            <v>-30507.205247476995</v>
          </cell>
          <cell r="AD215">
            <v>-32801.903941549994</v>
          </cell>
          <cell r="AE215">
            <v>-32067.219879199998</v>
          </cell>
          <cell r="AF215">
            <v>-15605.042981220002</v>
          </cell>
          <cell r="AG215">
            <v>413.81171293000807</v>
          </cell>
          <cell r="AH215">
            <v>17373.306641742995</v>
          </cell>
          <cell r="AJ215">
            <v>-4374.4590963599912</v>
          </cell>
          <cell r="AK215">
            <v>-10644.896733839996</v>
          </cell>
          <cell r="AL215">
            <v>-21380.02096287001</v>
          </cell>
          <cell r="AM215">
            <v>-16916.772662389994</v>
          </cell>
          <cell r="AN215">
            <v>-14063.136552629992</v>
          </cell>
          <cell r="AO215">
            <v>-25993.724311609985</v>
          </cell>
          <cell r="AP215">
            <v>-37601.801774890002</v>
          </cell>
          <cell r="AQ215">
            <v>-26490.39737138999</v>
          </cell>
          <cell r="AR215">
            <v>-16209.838468889997</v>
          </cell>
          <cell r="AS215">
            <v>-20066.378963249997</v>
          </cell>
          <cell r="AT215">
            <v>5438.610792550011</v>
          </cell>
          <cell r="AU215">
            <v>9542.076944090004</v>
          </cell>
        </row>
        <row r="216">
          <cell r="A216" t="str">
            <v>Crédito bruto a Entidades</v>
          </cell>
          <cell r="D216">
            <v>198.65268800000013</v>
          </cell>
          <cell r="F216">
            <v>-878.32782300000031</v>
          </cell>
          <cell r="H216">
            <v>65.68459299999995</v>
          </cell>
          <cell r="J216">
            <v>-1143.3791840000004</v>
          </cell>
          <cell r="K216">
            <v>-1089.5225780000003</v>
          </cell>
          <cell r="L216">
            <v>-998.00914700000021</v>
          </cell>
          <cell r="M216">
            <v>-1213.5230980000001</v>
          </cell>
          <cell r="N216">
            <v>-1147.2487050000004</v>
          </cell>
          <cell r="O216">
            <v>-1240.5991210000002</v>
          </cell>
          <cell r="P216">
            <v>-1235.0281720000003</v>
          </cell>
          <cell r="Q216">
            <v>-1241.1597970000003</v>
          </cell>
          <cell r="R216">
            <v>-1203.6588010000003</v>
          </cell>
          <cell r="S216">
            <v>-898.88468400000011</v>
          </cell>
          <cell r="T216">
            <v>-965.13028000000031</v>
          </cell>
          <cell r="U216">
            <v>-1237.7509240000002</v>
          </cell>
          <cell r="V216">
            <v>-1206.6477160000004</v>
          </cell>
          <cell r="W216">
            <v>100.15201999999999</v>
          </cell>
          <cell r="X216">
            <v>71.958320000000185</v>
          </cell>
          <cell r="Y216">
            <v>518.89189746000011</v>
          </cell>
          <cell r="Z216">
            <v>621.16103294800018</v>
          </cell>
          <cell r="AA216">
            <v>364.73899950000009</v>
          </cell>
          <cell r="AB216">
            <v>430.42630545860015</v>
          </cell>
          <cell r="AC216">
            <v>508.90219046000016</v>
          </cell>
          <cell r="AD216">
            <v>172.07140948000006</v>
          </cell>
          <cell r="AE216">
            <v>511.90952459280015</v>
          </cell>
          <cell r="AF216">
            <v>862.27826264140003</v>
          </cell>
          <cell r="AG216">
            <v>1103.6763625200001</v>
          </cell>
          <cell r="AH216">
            <v>1662.3343870062004</v>
          </cell>
          <cell r="AJ216">
            <v>612.98300657999971</v>
          </cell>
          <cell r="AK216">
            <v>-717.21763745999988</v>
          </cell>
          <cell r="AL216">
            <v>-641.68437795999989</v>
          </cell>
          <cell r="AM216">
            <v>-729.26789659999986</v>
          </cell>
          <cell r="AN216">
            <v>-511.37645358000009</v>
          </cell>
          <cell r="AO216">
            <v>-419.37669649999998</v>
          </cell>
          <cell r="AP216">
            <v>-449.04863806000003</v>
          </cell>
          <cell r="AQ216">
            <v>2342.4479730000003</v>
          </cell>
          <cell r="AR216">
            <v>2838.7979029400003</v>
          </cell>
          <cell r="AS216">
            <v>1469.6194026599997</v>
          </cell>
          <cell r="AT216">
            <v>1395.2122873600001</v>
          </cell>
          <cell r="AU216">
            <v>1425.8903210400003</v>
          </cell>
        </row>
        <row r="217">
          <cell r="A217" t="str">
            <v>Reservas en el BCCR</v>
          </cell>
          <cell r="D217">
            <v>38811.147459000058</v>
          </cell>
          <cell r="F217">
            <v>44869.231381999998</v>
          </cell>
          <cell r="H217">
            <v>27418.624574999965</v>
          </cell>
          <cell r="J217">
            <v>18149.020955999964</v>
          </cell>
          <cell r="K217">
            <v>15146.232186000037</v>
          </cell>
          <cell r="L217">
            <v>20628.551772000035</v>
          </cell>
          <cell r="M217">
            <v>10534.813590000034</v>
          </cell>
          <cell r="N217">
            <v>13488.562195000064</v>
          </cell>
          <cell r="O217">
            <v>32411.167552000028</v>
          </cell>
          <cell r="P217">
            <v>25237.564269000024</v>
          </cell>
          <cell r="Q217">
            <v>27266.543758000014</v>
          </cell>
          <cell r="R217">
            <v>48451.654867000005</v>
          </cell>
          <cell r="S217">
            <v>43783.724418000085</v>
          </cell>
          <cell r="T217">
            <v>49512.232066000055</v>
          </cell>
          <cell r="U217">
            <v>30177.690709999995</v>
          </cell>
          <cell r="V217">
            <v>53013.008863999974</v>
          </cell>
          <cell r="W217">
            <v>-5637.5751119999331</v>
          </cell>
          <cell r="X217">
            <v>-30237.665737999952</v>
          </cell>
          <cell r="Y217">
            <v>-69634.249753019365</v>
          </cell>
          <cell r="Z217">
            <v>-60275.102595438424</v>
          </cell>
          <cell r="AA217">
            <v>-45739.10161642899</v>
          </cell>
          <cell r="AB217">
            <v>-17552.487248844642</v>
          </cell>
          <cell r="AC217">
            <v>5139.8121974365204</v>
          </cell>
          <cell r="AD217">
            <v>10615.894966314139</v>
          </cell>
          <cell r="AE217">
            <v>18453.59388045792</v>
          </cell>
          <cell r="AF217">
            <v>-18246.868819521856</v>
          </cell>
          <cell r="AG217">
            <v>-42184.730362778995</v>
          </cell>
          <cell r="AH217">
            <v>-75867.923966475762</v>
          </cell>
          <cell r="AJ217">
            <v>1529.4566202622373</v>
          </cell>
          <cell r="AK217">
            <v>17675.828656140249</v>
          </cell>
          <cell r="AL217">
            <v>27210.045981790405</v>
          </cell>
          <cell r="AM217">
            <v>54292.935898925061</v>
          </cell>
          <cell r="AN217">
            <v>70934.359694148297</v>
          </cell>
          <cell r="AO217">
            <v>94795.491917432635</v>
          </cell>
          <cell r="AP217">
            <v>108041.18422412878</v>
          </cell>
          <cell r="AQ217">
            <v>112622.6676487503</v>
          </cell>
          <cell r="AR217">
            <v>107867.62992485391</v>
          </cell>
          <cell r="AS217">
            <v>119717.5286553714</v>
          </cell>
          <cell r="AT217">
            <v>127575.14167245507</v>
          </cell>
          <cell r="AU217">
            <v>103830.91482101526</v>
          </cell>
        </row>
        <row r="218">
          <cell r="A218" t="str">
            <v xml:space="preserve">         Caja de bancos</v>
          </cell>
          <cell r="D218">
            <v>2644.4167000000016</v>
          </cell>
          <cell r="F218">
            <v>5318.3352999999988</v>
          </cell>
          <cell r="H218">
            <v>5759.4140000000007</v>
          </cell>
          <cell r="J218">
            <v>-6050.3607000000011</v>
          </cell>
          <cell r="K218">
            <v>-6877.1631999999991</v>
          </cell>
          <cell r="L218">
            <v>-3307.3832000000002</v>
          </cell>
          <cell r="M218">
            <v>-5621.7724000000017</v>
          </cell>
          <cell r="N218">
            <v>-7536.9373999999989</v>
          </cell>
          <cell r="O218">
            <v>-4382.3408000000018</v>
          </cell>
          <cell r="P218">
            <v>-3091.1116000000002</v>
          </cell>
          <cell r="Q218">
            <v>-5925.9776999999995</v>
          </cell>
          <cell r="R218">
            <v>-657.90740000000005</v>
          </cell>
          <cell r="S218">
            <v>-2010.9415000000008</v>
          </cell>
          <cell r="T218">
            <v>9274.8796000000002</v>
          </cell>
          <cell r="U218">
            <v>16006.382299999997</v>
          </cell>
          <cell r="V218">
            <v>16006.382299999997</v>
          </cell>
          <cell r="W218">
            <v>-15492.969499999999</v>
          </cell>
          <cell r="X218">
            <v>-16628.373199999998</v>
          </cell>
          <cell r="Y218">
            <v>-11969.339471999996</v>
          </cell>
          <cell r="Z218">
            <v>-14107.492421999999</v>
          </cell>
          <cell r="AA218">
            <v>-15427.238972999996</v>
          </cell>
          <cell r="AB218">
            <v>-11287.495414999998</v>
          </cell>
          <cell r="AC218">
            <v>-13644.953200999997</v>
          </cell>
          <cell r="AD218">
            <v>-12503.817296999998</v>
          </cell>
          <cell r="AE218">
            <v>-10823.564780999997</v>
          </cell>
          <cell r="AF218">
            <v>-14607.325399999998</v>
          </cell>
          <cell r="AG218">
            <v>4640.7608270000055</v>
          </cell>
          <cell r="AH218">
            <v>1153.7452039999989</v>
          </cell>
          <cell r="AJ218">
            <v>-11290.162108999997</v>
          </cell>
          <cell r="AK218">
            <v>-11416.772810999995</v>
          </cell>
          <cell r="AL218">
            <v>-7792.1461419999978</v>
          </cell>
          <cell r="AM218">
            <v>-12386.656927999997</v>
          </cell>
          <cell r="AN218">
            <v>-8490.4511289999973</v>
          </cell>
          <cell r="AO218">
            <v>-5699.1378879999975</v>
          </cell>
          <cell r="AP218">
            <v>-9364.9975619999968</v>
          </cell>
          <cell r="AQ218">
            <v>-5711.259994</v>
          </cell>
          <cell r="AR218">
            <v>-6101.2973509999938</v>
          </cell>
          <cell r="AS218">
            <v>-9274.5521039999949</v>
          </cell>
          <cell r="AT218">
            <v>10386.489303000002</v>
          </cell>
          <cell r="AU218">
            <v>44366.214275999999</v>
          </cell>
        </row>
        <row r="219">
          <cell r="A219" t="str">
            <v xml:space="preserve">        Depósitos en moneda nacional</v>
          </cell>
          <cell r="D219">
            <v>12561.317408000017</v>
          </cell>
          <cell r="F219">
            <v>-12862.001458000021</v>
          </cell>
          <cell r="H219">
            <v>-8338.1981249999881</v>
          </cell>
          <cell r="J219">
            <v>608.33892200000264</v>
          </cell>
          <cell r="K219">
            <v>-922.02220599999418</v>
          </cell>
          <cell r="L219">
            <v>8888.2614120000071</v>
          </cell>
          <cell r="M219">
            <v>5388.1144700000004</v>
          </cell>
          <cell r="N219">
            <v>-3648.5614309999946</v>
          </cell>
          <cell r="O219">
            <v>12594.332141999999</v>
          </cell>
          <cell r="P219">
            <v>3333.6421350000019</v>
          </cell>
          <cell r="Q219">
            <v>25200.498539000007</v>
          </cell>
          <cell r="R219">
            <v>6314.2442900000024</v>
          </cell>
          <cell r="S219">
            <v>386.45439800000167</v>
          </cell>
          <cell r="T219">
            <v>10686.159662000005</v>
          </cell>
          <cell r="U219">
            <v>1123.7481019999977</v>
          </cell>
          <cell r="V219">
            <v>1123.7481019999977</v>
          </cell>
          <cell r="W219">
            <v>9770.4473660000003</v>
          </cell>
          <cell r="X219">
            <v>17036.141206000008</v>
          </cell>
          <cell r="Y219">
            <v>-4557.3187449999969</v>
          </cell>
          <cell r="Z219">
            <v>23178.734708000004</v>
          </cell>
          <cell r="AA219">
            <v>31189.570914000011</v>
          </cell>
          <cell r="AB219">
            <v>32649.126774000004</v>
          </cell>
          <cell r="AC219">
            <v>22175.031563000011</v>
          </cell>
          <cell r="AD219">
            <v>25607.424166000012</v>
          </cell>
          <cell r="AE219">
            <v>38095.747918000008</v>
          </cell>
          <cell r="AF219">
            <v>36275.247677000007</v>
          </cell>
          <cell r="AG219">
            <v>40310.279716000005</v>
          </cell>
          <cell r="AH219">
            <v>38576.744097000003</v>
          </cell>
          <cell r="AJ219">
            <v>6083.3565850000014</v>
          </cell>
          <cell r="AK219">
            <v>2577.8353979999956</v>
          </cell>
          <cell r="AL219">
            <v>-1894.625961999991</v>
          </cell>
          <cell r="AM219">
            <v>18117.229456000001</v>
          </cell>
          <cell r="AN219">
            <v>10499.239723000006</v>
          </cell>
          <cell r="AO219">
            <v>8894.1101780000026</v>
          </cell>
          <cell r="AP219">
            <v>10996.454725999996</v>
          </cell>
          <cell r="AQ219">
            <v>14085.807763999997</v>
          </cell>
          <cell r="AR219">
            <v>15154.906186000007</v>
          </cell>
          <cell r="AS219">
            <v>21290.314840999999</v>
          </cell>
          <cell r="AT219">
            <v>6139.5082019999973</v>
          </cell>
          <cell r="AU219">
            <v>-37329.751296999995</v>
          </cell>
        </row>
        <row r="220">
          <cell r="A220" t="str">
            <v xml:space="preserve">       Depósitos en moneda extranjera</v>
          </cell>
          <cell r="D220">
            <v>13408.244151000021</v>
          </cell>
          <cell r="F220">
            <v>20213.709339999987</v>
          </cell>
          <cell r="H220">
            <v>23985.94769999999</v>
          </cell>
          <cell r="J220">
            <v>15924.990399999981</v>
          </cell>
          <cell r="K220">
            <v>13789.824800000002</v>
          </cell>
          <cell r="L220">
            <v>18188.359200000006</v>
          </cell>
          <cell r="M220">
            <v>15481.777600000001</v>
          </cell>
          <cell r="N220">
            <v>24149.784799999994</v>
          </cell>
          <cell r="O220">
            <v>34096.668800000014</v>
          </cell>
          <cell r="P220">
            <v>25348.598399999988</v>
          </cell>
          <cell r="Q220">
            <v>31848.380000000005</v>
          </cell>
          <cell r="R220">
            <v>36736.643199999991</v>
          </cell>
          <cell r="S220">
            <v>32025.860000000015</v>
          </cell>
          <cell r="T220">
            <v>19226.953600000008</v>
          </cell>
          <cell r="U220">
            <v>1411.8128000000142</v>
          </cell>
          <cell r="V220">
            <v>24247.130953999993</v>
          </cell>
          <cell r="W220">
            <v>6391.0861300000106</v>
          </cell>
          <cell r="X220">
            <v>-5228.2733359999838</v>
          </cell>
          <cell r="Y220">
            <v>-32800.200191019452</v>
          </cell>
          <cell r="Z220">
            <v>-24359.418124438496</v>
          </cell>
          <cell r="AA220">
            <v>-21978.593132429029</v>
          </cell>
          <cell r="AB220">
            <v>1899.9850691753381</v>
          </cell>
          <cell r="AC220">
            <v>24667.159229636483</v>
          </cell>
          <cell r="AD220">
            <v>32682.504248514102</v>
          </cell>
          <cell r="AE220">
            <v>35553.214983657846</v>
          </cell>
          <cell r="AF220">
            <v>8288.8585276780359</v>
          </cell>
          <cell r="AG220">
            <v>-29116.998709009029</v>
          </cell>
          <cell r="AH220">
            <v>-66700.826870325807</v>
          </cell>
          <cell r="AJ220">
            <v>8702.7706066122046</v>
          </cell>
          <cell r="AK220">
            <v>26553.718083410262</v>
          </cell>
          <cell r="AL220">
            <v>35935.669239960407</v>
          </cell>
          <cell r="AM220">
            <v>42481.89652677509</v>
          </cell>
          <cell r="AN220">
            <v>52083.306315998343</v>
          </cell>
          <cell r="AO220">
            <v>63071.556728282652</v>
          </cell>
          <cell r="AP220">
            <v>74722.089558978827</v>
          </cell>
          <cell r="AQ220">
            <v>61236.864112600335</v>
          </cell>
          <cell r="AR220">
            <v>48253.928738703922</v>
          </cell>
          <cell r="AS220">
            <v>42988.816018221463</v>
          </cell>
          <cell r="AT220">
            <v>37995.161731305096</v>
          </cell>
          <cell r="AU220">
            <v>29581.948682865332</v>
          </cell>
        </row>
        <row r="221">
          <cell r="A221" t="str">
            <v xml:space="preserve">       Bonos de estabilización monetaria</v>
          </cell>
          <cell r="D221">
            <v>6275.4692000000005</v>
          </cell>
          <cell r="F221">
            <v>28291.688200000004</v>
          </cell>
          <cell r="H221">
            <v>-5764.7890000000043</v>
          </cell>
          <cell r="J221">
            <v>6113.3098339999997</v>
          </cell>
          <cell r="K221">
            <v>279.34279199999946</v>
          </cell>
          <cell r="L221">
            <v>-1392.9356399999997</v>
          </cell>
          <cell r="M221">
            <v>-6553.5130800000006</v>
          </cell>
          <cell r="N221">
            <v>-6910.9737739999982</v>
          </cell>
          <cell r="O221">
            <v>-5798.7425900000017</v>
          </cell>
          <cell r="P221">
            <v>-3431.8146659999984</v>
          </cell>
          <cell r="Q221">
            <v>-4739.6070809999983</v>
          </cell>
          <cell r="R221">
            <v>-4638.5752229999962</v>
          </cell>
          <cell r="S221">
            <v>7793.6015200000038</v>
          </cell>
          <cell r="T221">
            <v>12087.989203999998</v>
          </cell>
          <cell r="U221">
            <v>9783.4975080000004</v>
          </cell>
          <cell r="V221">
            <v>9783.4975080000004</v>
          </cell>
          <cell r="W221">
            <v>5696.860891999997</v>
          </cell>
          <cell r="X221">
            <v>-8164.1604079999997</v>
          </cell>
          <cell r="Y221">
            <v>-17057.391345</v>
          </cell>
          <cell r="Z221">
            <v>-21238.926757000001</v>
          </cell>
          <cell r="AA221">
            <v>-16667.840424999999</v>
          </cell>
          <cell r="AB221">
            <v>-14959.103677020001</v>
          </cell>
          <cell r="AC221">
            <v>-20199.4253942</v>
          </cell>
          <cell r="AD221">
            <v>-21307.216151199998</v>
          </cell>
          <cell r="AE221">
            <v>-20989.804240199999</v>
          </cell>
          <cell r="AF221">
            <v>-23321.649624199999</v>
          </cell>
          <cell r="AG221">
            <v>-32136.772196769998</v>
          </cell>
          <cell r="AH221">
            <v>-23015.58639715</v>
          </cell>
          <cell r="AJ221">
            <v>-2366.5084623499988</v>
          </cell>
          <cell r="AK221">
            <v>-238.96243093999874</v>
          </cell>
          <cell r="AL221">
            <v>961.14884583000094</v>
          </cell>
          <cell r="AM221">
            <v>5080.4668441499998</v>
          </cell>
          <cell r="AN221">
            <v>14842.160617149999</v>
          </cell>
          <cell r="AO221">
            <v>23528.910816149997</v>
          </cell>
          <cell r="AP221">
            <v>31287.627084150001</v>
          </cell>
          <cell r="AQ221">
            <v>40511.255766150003</v>
          </cell>
          <cell r="AR221">
            <v>48060.09235115</v>
          </cell>
          <cell r="AS221">
            <v>48293.949900150001</v>
          </cell>
          <cell r="AT221">
            <v>36859.98243615</v>
          </cell>
          <cell r="AU221">
            <v>39442.503159150001</v>
          </cell>
        </row>
        <row r="222">
          <cell r="A222" t="str">
            <v xml:space="preserve">      Inversiones de corto plazo</v>
          </cell>
          <cell r="D222">
            <v>3921.7</v>
          </cell>
          <cell r="F222">
            <v>3907.5</v>
          </cell>
          <cell r="H222">
            <v>11776.25</v>
          </cell>
          <cell r="J222">
            <v>1552.7425000000003</v>
          </cell>
          <cell r="K222">
            <v>8876.25</v>
          </cell>
          <cell r="L222">
            <v>-1747.75</v>
          </cell>
          <cell r="M222">
            <v>1840.2069999999985</v>
          </cell>
          <cell r="N222">
            <v>7435.25</v>
          </cell>
          <cell r="O222">
            <v>-4098.75</v>
          </cell>
          <cell r="P222">
            <v>3078.25</v>
          </cell>
          <cell r="Q222">
            <v>-19116.75</v>
          </cell>
          <cell r="R222">
            <v>10697.25</v>
          </cell>
          <cell r="S222">
            <v>5588.75</v>
          </cell>
          <cell r="T222">
            <v>-1763.75</v>
          </cell>
          <cell r="U222">
            <v>1852.25</v>
          </cell>
          <cell r="V222">
            <v>1852.25</v>
          </cell>
          <cell r="W222">
            <v>-12003</v>
          </cell>
          <cell r="X222">
            <v>-17253</v>
          </cell>
          <cell r="Y222">
            <v>-3250</v>
          </cell>
          <cell r="Z222">
            <v>-23748</v>
          </cell>
          <cell r="AA222">
            <v>-22855</v>
          </cell>
          <cell r="AB222">
            <v>-25855</v>
          </cell>
          <cell r="AC222">
            <v>-7858</v>
          </cell>
          <cell r="AD222">
            <v>-13863</v>
          </cell>
          <cell r="AE222">
            <v>-23382</v>
          </cell>
          <cell r="AF222">
            <v>-24882</v>
          </cell>
          <cell r="AG222">
            <v>-25882</v>
          </cell>
          <cell r="AH222">
            <v>-25882</v>
          </cell>
          <cell r="AJ222">
            <v>400</v>
          </cell>
          <cell r="AK222">
            <v>200.01041667000001</v>
          </cell>
          <cell r="AL222">
            <v>0</v>
          </cell>
          <cell r="AM222">
            <v>1000</v>
          </cell>
          <cell r="AN222">
            <v>2000.104167</v>
          </cell>
          <cell r="AO222">
            <v>5000.0520829999996</v>
          </cell>
          <cell r="AP222">
            <v>400.01041700000002</v>
          </cell>
          <cell r="AQ222">
            <v>2500</v>
          </cell>
          <cell r="AR222">
            <v>2500</v>
          </cell>
          <cell r="AS222">
            <v>16419</v>
          </cell>
          <cell r="AT222">
            <v>36194</v>
          </cell>
          <cell r="AU222">
            <v>27770</v>
          </cell>
        </row>
        <row r="223">
          <cell r="A223" t="str">
            <v>Crédito bruto a Sector financiero no bancario</v>
          </cell>
          <cell r="D223">
            <v>-40.540000000000006</v>
          </cell>
          <cell r="F223">
            <v>452.17</v>
          </cell>
          <cell r="H223">
            <v>-311.88</v>
          </cell>
          <cell r="J223">
            <v>-50</v>
          </cell>
          <cell r="K223">
            <v>317.89499999999998</v>
          </cell>
          <cell r="L223">
            <v>250</v>
          </cell>
          <cell r="M223">
            <v>250</v>
          </cell>
          <cell r="N223">
            <v>250</v>
          </cell>
          <cell r="O223">
            <v>330.99900000000002</v>
          </cell>
          <cell r="P223">
            <v>335.65700000000004</v>
          </cell>
          <cell r="Q223">
            <v>266.35699999999997</v>
          </cell>
          <cell r="R223">
            <v>266.35699999999997</v>
          </cell>
          <cell r="S223">
            <v>267.45699999999999</v>
          </cell>
          <cell r="T223">
            <v>266.31700000000001</v>
          </cell>
          <cell r="U223">
            <v>266.31700000000001</v>
          </cell>
          <cell r="V223">
            <v>266.31700000000001</v>
          </cell>
          <cell r="W223">
            <v>-1.6000000000000227</v>
          </cell>
          <cell r="X223">
            <v>537.90000000000009</v>
          </cell>
          <cell r="Y223">
            <v>-1.6000000000000227</v>
          </cell>
          <cell r="Z223">
            <v>-1.6000000000000227</v>
          </cell>
          <cell r="AA223">
            <v>-1.6000000000000227</v>
          </cell>
          <cell r="AB223">
            <v>-101.60000000000002</v>
          </cell>
          <cell r="AC223">
            <v>-101.60000000000002</v>
          </cell>
          <cell r="AD223">
            <v>-101.60000000000002</v>
          </cell>
          <cell r="AE223">
            <v>-116.31700000000001</v>
          </cell>
          <cell r="AF223">
            <v>-16.317000000000007</v>
          </cell>
          <cell r="AG223">
            <v>-316.31700000000001</v>
          </cell>
          <cell r="AH223">
            <v>-416.31700000000001</v>
          </cell>
          <cell r="AJ223">
            <v>100</v>
          </cell>
          <cell r="AK223">
            <v>100</v>
          </cell>
          <cell r="AL223">
            <v>100</v>
          </cell>
          <cell r="AM223">
            <v>100</v>
          </cell>
          <cell r="AN223">
            <v>200.86165026000003</v>
          </cell>
          <cell r="AO223">
            <v>287.39130399999999</v>
          </cell>
          <cell r="AP223">
            <v>3032.467545</v>
          </cell>
          <cell r="AQ223">
            <v>3130.4521249999998</v>
          </cell>
          <cell r="AR223">
            <v>3323.8082899999999</v>
          </cell>
          <cell r="AS223">
            <v>3370.6136459999998</v>
          </cell>
          <cell r="AT223">
            <v>1190.4817579999999</v>
          </cell>
          <cell r="AU223">
            <v>1149.569047</v>
          </cell>
        </row>
        <row r="224">
          <cell r="A224" t="str">
            <v>Credito Sector Privado</v>
          </cell>
          <cell r="D224">
            <v>35768.133073000005</v>
          </cell>
          <cell r="F224">
            <v>-3655.8833999999915</v>
          </cell>
          <cell r="H224">
            <v>58705.723495999933</v>
          </cell>
          <cell r="J224">
            <v>1138.6505999999936</v>
          </cell>
          <cell r="K224">
            <v>4022.1047000000253</v>
          </cell>
          <cell r="L224">
            <v>9495.5394000000088</v>
          </cell>
          <cell r="M224">
            <v>12219.901500000036</v>
          </cell>
          <cell r="N224">
            <v>15702.753200000036</v>
          </cell>
          <cell r="O224">
            <v>23740.912499999977</v>
          </cell>
          <cell r="P224">
            <v>29338.409900000028</v>
          </cell>
          <cell r="Q224">
            <v>36024.73769999994</v>
          </cell>
          <cell r="R224">
            <v>48225.663700000034</v>
          </cell>
          <cell r="S224">
            <v>56897.940699999977</v>
          </cell>
          <cell r="T224">
            <v>66887.365499999956</v>
          </cell>
          <cell r="U224">
            <v>83544.39850000001</v>
          </cell>
          <cell r="V224">
            <v>94841.670915999974</v>
          </cell>
          <cell r="W224">
            <v>3158.3598399999901</v>
          </cell>
          <cell r="X224">
            <v>21156.462166000041</v>
          </cell>
          <cell r="Y224">
            <v>24526.697701430006</v>
          </cell>
          <cell r="Z224">
            <v>29015.580492514127</v>
          </cell>
          <cell r="AA224">
            <v>42553.182933176868</v>
          </cell>
          <cell r="AB224">
            <v>73523.722904810158</v>
          </cell>
          <cell r="AC224">
            <v>85128.409401911718</v>
          </cell>
          <cell r="AD224">
            <v>102904.49659181916</v>
          </cell>
          <cell r="AE224">
            <v>161302.76040724438</v>
          </cell>
          <cell r="AF224">
            <v>166986.26384088671</v>
          </cell>
          <cell r="AG224">
            <v>190047.46477179864</v>
          </cell>
          <cell r="AH224">
            <v>209840.31867341144</v>
          </cell>
          <cell r="AJ224">
            <v>13057.044237511232</v>
          </cell>
          <cell r="AK224">
            <v>26904.826535128755</v>
          </cell>
          <cell r="AL224">
            <v>48742.198608479928</v>
          </cell>
          <cell r="AM224">
            <v>47230.949083457002</v>
          </cell>
          <cell r="AN224">
            <v>43310.224146387074</v>
          </cell>
          <cell r="AO224">
            <v>48835.223679710645</v>
          </cell>
          <cell r="AP224">
            <v>47756.319474516436</v>
          </cell>
          <cell r="AQ224">
            <v>62164.209193389397</v>
          </cell>
          <cell r="AR224">
            <v>66031.988271992304</v>
          </cell>
          <cell r="AS224">
            <v>65262.164848963963</v>
          </cell>
          <cell r="AT224">
            <v>86365.527458292665</v>
          </cell>
          <cell r="AU224">
            <v>99097.426621843479</v>
          </cell>
        </row>
        <row r="225">
          <cell r="A225" t="str">
            <v>Activos no clasificados</v>
          </cell>
          <cell r="D225">
            <v>-23581.345675999968</v>
          </cell>
          <cell r="F225">
            <v>-17030.169553999993</v>
          </cell>
          <cell r="H225">
            <v>-25498.582860999973</v>
          </cell>
          <cell r="J225">
            <v>21249.930623999971</v>
          </cell>
          <cell r="K225">
            <v>23820.964505999989</v>
          </cell>
          <cell r="L225">
            <v>12536.044670000061</v>
          </cell>
          <cell r="M225">
            <v>49271.47564400002</v>
          </cell>
          <cell r="N225">
            <v>43075.640293000004</v>
          </cell>
          <cell r="O225">
            <v>-25074.369080000004</v>
          </cell>
          <cell r="P225">
            <v>-17601.082480000012</v>
          </cell>
          <cell r="Q225">
            <v>2669.912713000027</v>
          </cell>
          <cell r="R225">
            <v>10020.206495999999</v>
          </cell>
          <cell r="S225">
            <v>25048.382383999997</v>
          </cell>
          <cell r="T225">
            <v>48851.845823999989</v>
          </cell>
          <cell r="U225">
            <v>-5906.433664000011</v>
          </cell>
          <cell r="V225">
            <v>38271.085249999975</v>
          </cell>
          <cell r="W225">
            <v>16681.204029999964</v>
          </cell>
          <cell r="X225">
            <v>25868.961601999938</v>
          </cell>
          <cell r="Y225">
            <v>108404.87820637901</v>
          </cell>
          <cell r="Z225">
            <v>122629.17386686377</v>
          </cell>
          <cell r="AA225">
            <v>128434.65269600687</v>
          </cell>
          <cell r="AB225">
            <v>57439.057786450314</v>
          </cell>
          <cell r="AC225">
            <v>34198.065931495512</v>
          </cell>
          <cell r="AD225">
            <v>46282.324705111212</v>
          </cell>
          <cell r="AE225">
            <v>71568.53244665626</v>
          </cell>
          <cell r="AF225">
            <v>97844.084773499169</v>
          </cell>
          <cell r="AG225">
            <v>140001.10022645572</v>
          </cell>
          <cell r="AH225">
            <v>25218.585870501178</v>
          </cell>
          <cell r="AJ225">
            <v>34800.510781167075</v>
          </cell>
          <cell r="AK225">
            <v>72303.383458015567</v>
          </cell>
          <cell r="AL225">
            <v>90672.33006548835</v>
          </cell>
          <cell r="AM225">
            <v>152390.5663640711</v>
          </cell>
          <cell r="AN225">
            <v>162253.12992739526</v>
          </cell>
          <cell r="AO225">
            <v>-3711.6113529179129</v>
          </cell>
          <cell r="AP225">
            <v>7831.2339428383857</v>
          </cell>
          <cell r="AQ225">
            <v>28448.684500382806</v>
          </cell>
          <cell r="AR225">
            <v>52348.870341489441</v>
          </cell>
          <cell r="AS225">
            <v>67023.303389993904</v>
          </cell>
          <cell r="AT225">
            <v>102679.36962366616</v>
          </cell>
          <cell r="AU225">
            <v>-65612.649070620886</v>
          </cell>
        </row>
        <row r="226">
          <cell r="AJ226">
            <v>0</v>
          </cell>
          <cell r="AK226">
            <v>0</v>
          </cell>
          <cell r="AL226">
            <v>0</v>
          </cell>
          <cell r="AM226">
            <v>0</v>
          </cell>
          <cell r="AN226">
            <v>0</v>
          </cell>
          <cell r="AO226">
            <v>0</v>
          </cell>
          <cell r="AP226">
            <v>0</v>
          </cell>
          <cell r="AQ226">
            <v>0</v>
          </cell>
          <cell r="AR226">
            <v>0</v>
          </cell>
          <cell r="AS226">
            <v>0</v>
          </cell>
          <cell r="AT226">
            <v>0</v>
          </cell>
          <cell r="AU226">
            <v>0</v>
          </cell>
        </row>
        <row r="227">
          <cell r="A227" t="str">
            <v>PASIVOS</v>
          </cell>
          <cell r="D227">
            <v>105222.60660200007</v>
          </cell>
          <cell r="F227">
            <v>-5100.1652270000195</v>
          </cell>
          <cell r="H227">
            <v>123952.86307099997</v>
          </cell>
          <cell r="J227">
            <v>28139.554173000157</v>
          </cell>
          <cell r="K227">
            <v>33690.948681000154</v>
          </cell>
          <cell r="L227">
            <v>39557.893325999845</v>
          </cell>
          <cell r="M227">
            <v>67491.44217699999</v>
          </cell>
          <cell r="N227">
            <v>67343.310905000195</v>
          </cell>
          <cell r="O227">
            <v>11999.37067199999</v>
          </cell>
          <cell r="P227">
            <v>22620.912454000209</v>
          </cell>
          <cell r="Q227">
            <v>40524.718527000165</v>
          </cell>
          <cell r="R227">
            <v>77122.457033999963</v>
          </cell>
          <cell r="S227">
            <v>89195.093288999982</v>
          </cell>
          <cell r="T227">
            <v>128756.26722900011</v>
          </cell>
          <cell r="U227">
            <v>72190.880645000143</v>
          </cell>
          <cell r="V227">
            <v>153856.88599099987</v>
          </cell>
          <cell r="W227">
            <v>27567.605968000134</v>
          </cell>
          <cell r="X227">
            <v>35792.126405999996</v>
          </cell>
          <cell r="Y227">
            <v>65210.258319408866</v>
          </cell>
          <cell r="Z227">
            <v>78605.733851365512</v>
          </cell>
          <cell r="AA227">
            <v>116381.82879215083</v>
          </cell>
          <cell r="AB227">
            <v>89411.714384753024</v>
          </cell>
          <cell r="AC227">
            <v>103525.62997469981</v>
          </cell>
          <cell r="AD227">
            <v>128198.37535105413</v>
          </cell>
          <cell r="AE227">
            <v>202460.30834457185</v>
          </cell>
          <cell r="AF227">
            <v>224429.97004169505</v>
          </cell>
          <cell r="AG227">
            <v>287970.91592223058</v>
          </cell>
          <cell r="AH227">
            <v>178011.03154315427</v>
          </cell>
          <cell r="AJ227">
            <v>53901.986529403832</v>
          </cell>
          <cell r="AK227">
            <v>102230.03573501064</v>
          </cell>
          <cell r="AL227">
            <v>139745.07175006112</v>
          </cell>
          <cell r="AM227">
            <v>242651.30136142904</v>
          </cell>
          <cell r="AN227">
            <v>251890.03561372822</v>
          </cell>
          <cell r="AO227">
            <v>102393.93391450495</v>
          </cell>
          <cell r="AP227">
            <v>121042.25342784636</v>
          </cell>
          <cell r="AQ227">
            <v>172935.41885597119</v>
          </cell>
          <cell r="AR227">
            <v>217148.63357485342</v>
          </cell>
          <cell r="AS227">
            <v>244458.75622807257</v>
          </cell>
          <cell r="AT227">
            <v>317035.24105979945</v>
          </cell>
          <cell r="AU227">
            <v>135141.9884249242</v>
          </cell>
        </row>
        <row r="228">
          <cell r="AJ228">
            <v>0</v>
          </cell>
          <cell r="AK228">
            <v>0</v>
          </cell>
          <cell r="AL228">
            <v>0</v>
          </cell>
          <cell r="AM228">
            <v>0</v>
          </cell>
          <cell r="AN228">
            <v>0</v>
          </cell>
          <cell r="AO228">
            <v>0</v>
          </cell>
          <cell r="AP228">
            <v>0</v>
          </cell>
          <cell r="AQ228">
            <v>0</v>
          </cell>
          <cell r="AR228">
            <v>0</v>
          </cell>
          <cell r="AS228">
            <v>0</v>
          </cell>
          <cell r="AT228">
            <v>0</v>
          </cell>
          <cell r="AU228">
            <v>0</v>
          </cell>
        </row>
        <row r="229">
          <cell r="A229" t="str">
            <v>Endeudamiento externo neto</v>
          </cell>
          <cell r="D229">
            <v>4775.1053420000017</v>
          </cell>
          <cell r="F229">
            <v>6961.315338999997</v>
          </cell>
          <cell r="H229">
            <v>263.9228800000019</v>
          </cell>
          <cell r="J229">
            <v>-405.53137900000002</v>
          </cell>
          <cell r="K229">
            <v>-536.59864099999686</v>
          </cell>
          <cell r="L229">
            <v>-1287.4080250000006</v>
          </cell>
          <cell r="M229">
            <v>-2116.5217269999957</v>
          </cell>
          <cell r="N229">
            <v>-2457.8843290000041</v>
          </cell>
          <cell r="O229">
            <v>-1990.5807930000046</v>
          </cell>
          <cell r="P229">
            <v>-216.2976430000017</v>
          </cell>
          <cell r="Q229">
            <v>-1673.1909640000013</v>
          </cell>
          <cell r="R229">
            <v>-1601.8408960000015</v>
          </cell>
          <cell r="S229">
            <v>-91.585683000001154</v>
          </cell>
          <cell r="T229">
            <v>1509.1507689999999</v>
          </cell>
          <cell r="U229">
            <v>4937.9208730000028</v>
          </cell>
          <cell r="V229">
            <v>7636.2473530000025</v>
          </cell>
          <cell r="W229">
            <v>-2474.5796620000037</v>
          </cell>
          <cell r="X229">
            <v>-4739.1629180000018</v>
          </cell>
          <cell r="Y229">
            <v>-5012.292728474873</v>
          </cell>
          <cell r="Z229">
            <v>-3233.3181983653667</v>
          </cell>
          <cell r="AA229">
            <v>-4054.0414292335154</v>
          </cell>
          <cell r="AB229">
            <v>-3260.684094134489</v>
          </cell>
          <cell r="AC229">
            <v>-3867.4151545510867</v>
          </cell>
          <cell r="AD229">
            <v>-3770.3719275647891</v>
          </cell>
          <cell r="AE229">
            <v>-3053.3615394457593</v>
          </cell>
          <cell r="AF229">
            <v>-831.42839102557991</v>
          </cell>
          <cell r="AG229">
            <v>1083.7108012494609</v>
          </cell>
          <cell r="AH229">
            <v>2329.3763303423912</v>
          </cell>
          <cell r="AJ229">
            <v>3014.0713471953277</v>
          </cell>
          <cell r="AK229">
            <v>3150.7282757280627</v>
          </cell>
          <cell r="AL229">
            <v>5598.7884745716292</v>
          </cell>
          <cell r="AM229">
            <v>5625.312905798477</v>
          </cell>
          <cell r="AN229">
            <v>4661.7901517392893</v>
          </cell>
          <cell r="AO229">
            <v>5799.334993652199</v>
          </cell>
          <cell r="AP229">
            <v>5061.3431935394328</v>
          </cell>
          <cell r="AQ229">
            <v>14598.50521928403</v>
          </cell>
          <cell r="AR229">
            <v>12851.999709987547</v>
          </cell>
          <cell r="AS229">
            <v>13174.971393522945</v>
          </cell>
          <cell r="AT229">
            <v>12249.976008321952</v>
          </cell>
          <cell r="AU229">
            <v>14538.382205197471</v>
          </cell>
        </row>
        <row r="230">
          <cell r="A230" t="str">
            <v>Obligaciones con Gobierno</v>
          </cell>
          <cell r="D230">
            <v>35820.755045999998</v>
          </cell>
          <cell r="F230">
            <v>-32567.356420999997</v>
          </cell>
          <cell r="H230">
            <v>-2718.1735719999997</v>
          </cell>
          <cell r="J230">
            <v>309.94030500000031</v>
          </cell>
          <cell r="K230">
            <v>1609.4072329999997</v>
          </cell>
          <cell r="L230">
            <v>897.25534300000004</v>
          </cell>
          <cell r="M230">
            <v>553.71541099999945</v>
          </cell>
          <cell r="N230">
            <v>538.91266799999971</v>
          </cell>
          <cell r="O230">
            <v>1425.9690839999996</v>
          </cell>
          <cell r="P230">
            <v>371.55766199999994</v>
          </cell>
          <cell r="Q230">
            <v>539.54104699999993</v>
          </cell>
          <cell r="R230">
            <v>1011.6289779999995</v>
          </cell>
          <cell r="S230">
            <v>584.12257099999965</v>
          </cell>
          <cell r="T230">
            <v>875.74551100000031</v>
          </cell>
          <cell r="U230">
            <v>971.94668699999988</v>
          </cell>
          <cell r="V230">
            <v>1063.7277989999995</v>
          </cell>
          <cell r="W230">
            <v>182.08061999999973</v>
          </cell>
          <cell r="X230">
            <v>-77.799287999999706</v>
          </cell>
          <cell r="Y230">
            <v>714.20710178000081</v>
          </cell>
          <cell r="Z230">
            <v>913.77151160000085</v>
          </cell>
          <cell r="AA230">
            <v>1535.5432002000007</v>
          </cell>
          <cell r="AB230">
            <v>1117.39271586</v>
          </cell>
          <cell r="AC230">
            <v>1395.5281916200011</v>
          </cell>
          <cell r="AD230">
            <v>-386.47420905999934</v>
          </cell>
          <cell r="AE230">
            <v>-294.92840455999976</v>
          </cell>
          <cell r="AF230">
            <v>1298.0467201199999</v>
          </cell>
          <cell r="AG230">
            <v>1328.4102612000006</v>
          </cell>
          <cell r="AH230">
            <v>920.51761618</v>
          </cell>
          <cell r="AJ230">
            <v>-291.23709098000018</v>
          </cell>
          <cell r="AK230">
            <v>-108.12205099999983</v>
          </cell>
          <cell r="AL230">
            <v>764.71831999999949</v>
          </cell>
          <cell r="AM230">
            <v>-153.30081299999983</v>
          </cell>
          <cell r="AN230">
            <v>283.43096099999957</v>
          </cell>
          <cell r="AO230">
            <v>878.03222099999994</v>
          </cell>
          <cell r="AP230">
            <v>-415.37943499999983</v>
          </cell>
          <cell r="AQ230">
            <v>82.010595000000194</v>
          </cell>
          <cell r="AR230">
            <v>1660.9919540000005</v>
          </cell>
          <cell r="AS230">
            <v>-9.7312180000003536</v>
          </cell>
          <cell r="AT230">
            <v>-74.619375999999647</v>
          </cell>
          <cell r="AU230">
            <v>-191.59690799999998</v>
          </cell>
        </row>
        <row r="231">
          <cell r="A231" t="str">
            <v>Obligaciones con Entidades</v>
          </cell>
          <cell r="D231">
            <v>3320.3092299999989</v>
          </cell>
          <cell r="F231">
            <v>375.21741500000644</v>
          </cell>
          <cell r="H231">
            <v>34903.996567999995</v>
          </cell>
          <cell r="J231">
            <v>-5746.4296449999965</v>
          </cell>
          <cell r="K231">
            <v>3454.0259829999995</v>
          </cell>
          <cell r="L231">
            <v>1706.8508290000027</v>
          </cell>
          <cell r="M231">
            <v>9594.8875070000067</v>
          </cell>
          <cell r="N231">
            <v>9726.5434240000177</v>
          </cell>
          <cell r="O231">
            <v>4740.3423080000066</v>
          </cell>
          <cell r="P231">
            <v>7748.4313930000062</v>
          </cell>
          <cell r="Q231">
            <v>15764.796279000002</v>
          </cell>
          <cell r="R231">
            <v>17633.779106000016</v>
          </cell>
          <cell r="S231">
            <v>18017.337902999992</v>
          </cell>
          <cell r="T231">
            <v>14850.826927000002</v>
          </cell>
          <cell r="U231">
            <v>12698.613326999999</v>
          </cell>
          <cell r="V231">
            <v>13280.388122999997</v>
          </cell>
          <cell r="W231">
            <v>-9506.8161199999886</v>
          </cell>
          <cell r="X231">
            <v>-13792.987683999992</v>
          </cell>
          <cell r="Y231">
            <v>-7553.5741953399847</v>
          </cell>
          <cell r="Z231">
            <v>-12274.295466799987</v>
          </cell>
          <cell r="AA231">
            <v>-6475.8872649799887</v>
          </cell>
          <cell r="AB231">
            <v>4265.3399275600095</v>
          </cell>
          <cell r="AC231">
            <v>8833.2858493400126</v>
          </cell>
          <cell r="AD231">
            <v>12164.869922240003</v>
          </cell>
          <cell r="AE231">
            <v>21548.620921360023</v>
          </cell>
          <cell r="AF231">
            <v>32135.527213900015</v>
          </cell>
          <cell r="AG231">
            <v>6795.2533272199944</v>
          </cell>
          <cell r="AH231">
            <v>3768.4865919400181</v>
          </cell>
          <cell r="AJ231">
            <v>-6590.0716550000216</v>
          </cell>
          <cell r="AK231">
            <v>-3082.1274859999976</v>
          </cell>
          <cell r="AL231">
            <v>-1015.2822640000086</v>
          </cell>
          <cell r="AM231">
            <v>4462.0753889999905</v>
          </cell>
          <cell r="AN231">
            <v>8118.6713899999886</v>
          </cell>
          <cell r="AO231">
            <v>8762.845342999979</v>
          </cell>
          <cell r="AP231">
            <v>2730.8399262399907</v>
          </cell>
          <cell r="AQ231">
            <v>5438.9793552599876</v>
          </cell>
          <cell r="AR231">
            <v>8678.9525914399856</v>
          </cell>
          <cell r="AS231">
            <v>10587.313430160008</v>
          </cell>
          <cell r="AT231">
            <v>4664.4158222199912</v>
          </cell>
          <cell r="AU231">
            <v>1542.7018313699809</v>
          </cell>
        </row>
        <row r="232">
          <cell r="A232" t="str">
            <v>Obligaciones con el BCCR</v>
          </cell>
          <cell r="D232">
            <v>29023.86146</v>
          </cell>
          <cell r="F232">
            <v>-34413.483333999997</v>
          </cell>
          <cell r="H232">
            <v>-3283.4024590000008</v>
          </cell>
          <cell r="J232">
            <v>-227.34179600000061</v>
          </cell>
          <cell r="K232">
            <v>-346.69971300000179</v>
          </cell>
          <cell r="L232">
            <v>-472.07736599999953</v>
          </cell>
          <cell r="M232">
            <v>-559.79940599999827</v>
          </cell>
          <cell r="N232">
            <v>-820.68374500000027</v>
          </cell>
          <cell r="O232">
            <v>-1370.2350140000017</v>
          </cell>
          <cell r="P232">
            <v>-1470.6341469999988</v>
          </cell>
          <cell r="Q232">
            <v>-1353.3973839999999</v>
          </cell>
          <cell r="R232">
            <v>-1555.3688970000003</v>
          </cell>
          <cell r="S232">
            <v>-1607.4178780000002</v>
          </cell>
          <cell r="T232">
            <v>-1834.9091820000012</v>
          </cell>
          <cell r="U232">
            <v>-2111.3770299999996</v>
          </cell>
          <cell r="V232">
            <v>-1745.263210000001</v>
          </cell>
          <cell r="W232">
            <v>-56.284337999997661</v>
          </cell>
          <cell r="X232">
            <v>-145.19100199999957</v>
          </cell>
          <cell r="Y232">
            <v>-156.32899322959929</v>
          </cell>
          <cell r="Z232">
            <v>-238.94604395659917</v>
          </cell>
          <cell r="AA232">
            <v>-438.38133625900082</v>
          </cell>
          <cell r="AB232">
            <v>-872.17811883419927</v>
          </cell>
          <cell r="AC232">
            <v>-922.39541866820036</v>
          </cell>
          <cell r="AD232">
            <v>-962.42124926500037</v>
          </cell>
          <cell r="AE232">
            <v>-1051.037453773999</v>
          </cell>
          <cell r="AF232">
            <v>-1076.0676414104</v>
          </cell>
          <cell r="AG232">
            <v>-1232.7643096823995</v>
          </cell>
          <cell r="AH232">
            <v>-1533.4076372431991</v>
          </cell>
          <cell r="AJ232">
            <v>-48.855375119999735</v>
          </cell>
          <cell r="AK232">
            <v>-313.63022993999948</v>
          </cell>
          <cell r="AL232">
            <v>-426.05984694000108</v>
          </cell>
          <cell r="AM232">
            <v>-390.43105146000016</v>
          </cell>
          <cell r="AN232">
            <v>109.10889221999969</v>
          </cell>
          <cell r="AO232">
            <v>-410.58630575999996</v>
          </cell>
          <cell r="AP232">
            <v>-447.9627207400008</v>
          </cell>
          <cell r="AQ232">
            <v>-450.77280914000039</v>
          </cell>
          <cell r="AR232">
            <v>-509.69076852000035</v>
          </cell>
          <cell r="AS232">
            <v>-575.58385092000026</v>
          </cell>
          <cell r="AT232">
            <v>-823.40465342000061</v>
          </cell>
          <cell r="AU232">
            <v>-1143.3903040999994</v>
          </cell>
        </row>
        <row r="233">
          <cell r="A233" t="str">
            <v>Obligaciones con Sector finan no bancario</v>
          </cell>
          <cell r="D233">
            <v>2890.1419759999994</v>
          </cell>
          <cell r="F233">
            <v>505.12463799999932</v>
          </cell>
          <cell r="H233">
            <v>-1567.1399009999996</v>
          </cell>
          <cell r="J233">
            <v>-772.45832100000007</v>
          </cell>
          <cell r="K233">
            <v>-866.92629699999998</v>
          </cell>
          <cell r="L233">
            <v>-720.00868399999945</v>
          </cell>
          <cell r="M233">
            <v>-1244.057425</v>
          </cell>
          <cell r="N233">
            <v>-2242.9319490000003</v>
          </cell>
          <cell r="O233">
            <v>-2397.8884670000007</v>
          </cell>
          <cell r="P233">
            <v>-2401.6007160000004</v>
          </cell>
          <cell r="Q233">
            <v>-3357.2527740000005</v>
          </cell>
          <cell r="R233">
            <v>-2390.4526540000002</v>
          </cell>
          <cell r="S233">
            <v>-3545.1220890000004</v>
          </cell>
          <cell r="T233">
            <v>-2988.1550210000005</v>
          </cell>
          <cell r="U233">
            <v>-2314.5779570000004</v>
          </cell>
          <cell r="V233">
            <v>-2255.8383470000003</v>
          </cell>
          <cell r="W233">
            <v>-235.63629000000037</v>
          </cell>
          <cell r="X233">
            <v>-536.26130599999988</v>
          </cell>
          <cell r="Y233">
            <v>-676.66576761999977</v>
          </cell>
          <cell r="Z233">
            <v>-1487.174154</v>
          </cell>
          <cell r="AA233">
            <v>-964.06491099999994</v>
          </cell>
          <cell r="AB233">
            <v>-381.25514100000009</v>
          </cell>
          <cell r="AC233">
            <v>-222.64397000000008</v>
          </cell>
          <cell r="AD233">
            <v>-725.46970558000021</v>
          </cell>
          <cell r="AE233">
            <v>1949.7408555400002</v>
          </cell>
          <cell r="AF233">
            <v>2021.5822248199997</v>
          </cell>
          <cell r="AG233">
            <v>2439.3423123799998</v>
          </cell>
          <cell r="AH233">
            <v>6668.4008609599987</v>
          </cell>
          <cell r="AJ233">
            <v>-4310.8619550000003</v>
          </cell>
          <cell r="AK233">
            <v>-4736.4373300000007</v>
          </cell>
          <cell r="AL233">
            <v>-3788.7101310000007</v>
          </cell>
          <cell r="AM233">
            <v>-4405.4135650000007</v>
          </cell>
          <cell r="AN233">
            <v>-5235.3187580000003</v>
          </cell>
          <cell r="AO233">
            <v>-4574.1535730000005</v>
          </cell>
          <cell r="AP233">
            <v>-6450.2886280000002</v>
          </cell>
          <cell r="AQ233">
            <v>-6464.5901540000004</v>
          </cell>
          <cell r="AR233">
            <v>-6172.1039630000005</v>
          </cell>
          <cell r="AS233">
            <v>-5705.0017800000005</v>
          </cell>
          <cell r="AT233">
            <v>-4020.7849350000006</v>
          </cell>
          <cell r="AU233">
            <v>-2553.9802190000009</v>
          </cell>
        </row>
        <row r="234">
          <cell r="A234" t="str">
            <v>Obligaciones con sector privado</v>
          </cell>
          <cell r="D234">
            <v>69549.913902</v>
          </cell>
          <cell r="F234">
            <v>9211.7162409999873</v>
          </cell>
          <cell r="H234">
            <v>110546.79366799997</v>
          </cell>
          <cell r="J234">
            <v>-12375.729601999978</v>
          </cell>
          <cell r="K234">
            <v>-20885.029990999959</v>
          </cell>
          <cell r="L234">
            <v>-9045.4372400001157</v>
          </cell>
          <cell r="M234">
            <v>813.7503499998711</v>
          </cell>
          <cell r="N234">
            <v>271.27260400005616</v>
          </cell>
          <cell r="O234">
            <v>24245.043181000045</v>
          </cell>
          <cell r="P234">
            <v>29963.284833000042</v>
          </cell>
          <cell r="Q234">
            <v>28931.28484200011</v>
          </cell>
          <cell r="R234">
            <v>33690.775993000017</v>
          </cell>
          <cell r="S234">
            <v>43334.791427999968</v>
          </cell>
          <cell r="T234">
            <v>66848.187228000024</v>
          </cell>
          <cell r="U234">
            <v>84467.797460000031</v>
          </cell>
          <cell r="V234">
            <v>117962.97589999996</v>
          </cell>
          <cell r="W234">
            <v>27149.975058000069</v>
          </cell>
          <cell r="X234">
            <v>23505.785083999974</v>
          </cell>
          <cell r="Y234">
            <v>37242.521026156377</v>
          </cell>
          <cell r="Z234">
            <v>38809.963950462872</v>
          </cell>
          <cell r="AA234">
            <v>46940.366135907359</v>
          </cell>
          <cell r="AB234">
            <v>67932.277515248745</v>
          </cell>
          <cell r="AC234">
            <v>85486.345231889514</v>
          </cell>
          <cell r="AD234">
            <v>89412.504737416515</v>
          </cell>
          <cell r="AE234">
            <v>122070.55808335682</v>
          </cell>
          <cell r="AF234">
            <v>109453.54925283557</v>
          </cell>
          <cell r="AG234">
            <v>159202.45495110983</v>
          </cell>
          <cell r="AH234">
            <v>156233.13552907109</v>
          </cell>
          <cell r="AJ234">
            <v>36985.826657238882</v>
          </cell>
          <cell r="AK234">
            <v>46665.483397732722</v>
          </cell>
          <cell r="AL234">
            <v>54042.317632011836</v>
          </cell>
          <cell r="AM234">
            <v>120952.77389876312</v>
          </cell>
          <cell r="AN234">
            <v>119401.66618798859</v>
          </cell>
          <cell r="AO234">
            <v>81325.424451121828</v>
          </cell>
          <cell r="AP234">
            <v>96823.387723851949</v>
          </cell>
          <cell r="AQ234">
            <v>112417.24130440177</v>
          </cell>
          <cell r="AR234">
            <v>136808.15479966043</v>
          </cell>
          <cell r="AS234">
            <v>141214.79087009281</v>
          </cell>
          <cell r="AT234">
            <v>180813.97043278953</v>
          </cell>
          <cell r="AU234">
            <v>151426.26796963345</v>
          </cell>
        </row>
        <row r="235">
          <cell r="A235" t="str">
            <v>Pasivos no clasificados</v>
          </cell>
          <cell r="D235">
            <v>-40157.480353999999</v>
          </cell>
          <cell r="F235">
            <v>44827.300895000022</v>
          </cell>
          <cell r="H235">
            <v>-14193.134113000007</v>
          </cell>
          <cell r="J235">
            <v>47357.104610999988</v>
          </cell>
          <cell r="K235">
            <v>51262.770107000018</v>
          </cell>
          <cell r="L235">
            <v>48478.718469000014</v>
          </cell>
          <cell r="M235">
            <v>60449.467467000068</v>
          </cell>
          <cell r="N235">
            <v>62328.082232000015</v>
          </cell>
          <cell r="O235">
            <v>-12653.279627000011</v>
          </cell>
          <cell r="P235">
            <v>-11373.828928000003</v>
          </cell>
          <cell r="Q235">
            <v>1672.9374810000299</v>
          </cell>
          <cell r="R235">
            <v>30333.935403999931</v>
          </cell>
          <cell r="S235">
            <v>32502.967036999995</v>
          </cell>
          <cell r="T235">
            <v>49495.420997000008</v>
          </cell>
          <cell r="U235">
            <v>-26459.442714999983</v>
          </cell>
          <cell r="V235">
            <v>17914.648372999975</v>
          </cell>
          <cell r="W235">
            <v>12508.866700000013</v>
          </cell>
          <cell r="X235">
            <v>31577.743520000018</v>
          </cell>
          <cell r="Y235">
            <v>40652.391876136884</v>
          </cell>
          <cell r="Z235">
            <v>56115.732252424408</v>
          </cell>
          <cell r="AA235">
            <v>79838.294397515943</v>
          </cell>
          <cell r="AB235">
            <v>20610.821580052783</v>
          </cell>
          <cell r="AC235">
            <v>12822.925245069608</v>
          </cell>
          <cell r="AD235">
            <v>32465.737782867218</v>
          </cell>
          <cell r="AE235">
            <v>61290.715882094577</v>
          </cell>
          <cell r="AF235">
            <v>81428.760662455345</v>
          </cell>
          <cell r="AG235">
            <v>118354.50857875362</v>
          </cell>
          <cell r="AH235">
            <v>9624.5222519038361</v>
          </cell>
          <cell r="AJ235">
            <v>25143.114601069421</v>
          </cell>
          <cell r="AK235">
            <v>60654.141158489569</v>
          </cell>
          <cell r="AL235">
            <v>84569.299565417517</v>
          </cell>
          <cell r="AM235">
            <v>116560.28459732723</v>
          </cell>
          <cell r="AN235">
            <v>124550.68678878021</v>
          </cell>
          <cell r="AO235">
            <v>10613.036784490745</v>
          </cell>
          <cell r="AP235">
            <v>23740.313367954979</v>
          </cell>
          <cell r="AQ235">
            <v>47314.045345165185</v>
          </cell>
          <cell r="AR235">
            <v>63830.329251285351</v>
          </cell>
          <cell r="AS235">
            <v>85771.997383216571</v>
          </cell>
          <cell r="AT235">
            <v>124225.68776088778</v>
          </cell>
          <cell r="AU235">
            <v>-28476.396150176821</v>
          </cell>
        </row>
        <row r="238">
          <cell r="A238" t="str">
            <v>CIERRE</v>
          </cell>
          <cell r="D238">
            <v>72.195999999996275</v>
          </cell>
          <cell r="F238">
            <v>-176.4711149999639</v>
          </cell>
          <cell r="H238">
            <v>0.17041399993468076</v>
          </cell>
          <cell r="J238">
            <v>-1.7633790002437308</v>
          </cell>
          <cell r="K238">
            <v>-0.40598599996883422</v>
          </cell>
          <cell r="L238">
            <v>-0.4984549997607246</v>
          </cell>
          <cell r="M238">
            <v>-0.56920299993362278</v>
          </cell>
          <cell r="N238">
            <v>-0.21374500019010156</v>
          </cell>
          <cell r="O238">
            <v>-0.23482999997213483</v>
          </cell>
          <cell r="P238">
            <v>-0.21749400009866804</v>
          </cell>
          <cell r="Q238">
            <v>-0.22896100010257214</v>
          </cell>
          <cell r="R238">
            <v>-0.23772299999836832</v>
          </cell>
          <cell r="S238">
            <v>-0.23574300005566329</v>
          </cell>
          <cell r="T238">
            <v>-0.2160270003369078</v>
          </cell>
          <cell r="U238">
            <v>-0.21803900005761534</v>
          </cell>
          <cell r="V238">
            <v>-0.21803900005761534</v>
          </cell>
          <cell r="W238">
            <v>-2.4268000153824687E-2</v>
          </cell>
          <cell r="X238">
            <v>-7.4875999940559268E-2</v>
          </cell>
          <cell r="Y238">
            <v>2.4984283372759819E-2</v>
          </cell>
          <cell r="Z238">
            <v>2.4916923372074962E-2</v>
          </cell>
          <cell r="AA238">
            <v>2.4627627106383443E-2</v>
          </cell>
          <cell r="AB238">
            <v>2.4688961682841182E-2</v>
          </cell>
          <cell r="AC238">
            <v>2.5724725099280477E-2</v>
          </cell>
          <cell r="AD238">
            <v>2.5614031590521336E-2</v>
          </cell>
          <cell r="AE238">
            <v>2.475626696832478E-2</v>
          </cell>
          <cell r="AF238">
            <v>2.4332534521818161E-2</v>
          </cell>
          <cell r="AG238">
            <v>2.5224530603736639E-2</v>
          </cell>
          <cell r="AH238">
            <v>2.5000355206429958E-2</v>
          </cell>
          <cell r="AJ238">
            <v>3.7625432014465332E-7</v>
          </cell>
          <cell r="AK238">
            <v>5.289912223815918E-7</v>
          </cell>
          <cell r="AL238">
            <v>-5.059409886598587E-7</v>
          </cell>
          <cell r="AM238">
            <v>1.9012950360774994E-6</v>
          </cell>
          <cell r="AN238">
            <v>2.9937364161014557E-6</v>
          </cell>
          <cell r="AO238">
            <v>7.8952871263027191E-7</v>
          </cell>
          <cell r="AP238">
            <v>7.6554715633392334E-7</v>
          </cell>
          <cell r="AQ238">
            <v>-7.597263902425766E-7</v>
          </cell>
          <cell r="AR238">
            <v>-8.9500099420547485E-7</v>
          </cell>
          <cell r="AS238">
            <v>4.2840838432312012E-7</v>
          </cell>
          <cell r="AT238">
            <v>-4.7264620661735535E-8</v>
          </cell>
          <cell r="AU238">
            <v>8.8894739747047424E-7</v>
          </cell>
        </row>
        <row r="240">
          <cell r="A240" t="str">
            <v>VARIACIONES MENSUALES. BANCOS</v>
          </cell>
        </row>
        <row r="242">
          <cell r="A242" t="str">
            <v>ACTIVOS</v>
          </cell>
          <cell r="D242">
            <v>105294.80260200007</v>
          </cell>
          <cell r="F242">
            <v>-5276.6363419999834</v>
          </cell>
          <cell r="H242">
            <v>123953.03348499991</v>
          </cell>
          <cell r="J242">
            <v>28137.790793999913</v>
          </cell>
          <cell r="K242">
            <v>33690.542695000186</v>
          </cell>
          <cell r="L242">
            <v>39557.394871000084</v>
          </cell>
          <cell r="M242">
            <v>67490.872974000056</v>
          </cell>
          <cell r="N242">
            <v>67343.097160000005</v>
          </cell>
          <cell r="O242">
            <v>11999.135842000018</v>
          </cell>
          <cell r="P242">
            <v>22620.69496000011</v>
          </cell>
          <cell r="Q242">
            <v>40524.489566000062</v>
          </cell>
          <cell r="R242">
            <v>77122.219310999964</v>
          </cell>
          <cell r="S242">
            <v>89194.857545999927</v>
          </cell>
          <cell r="T242">
            <v>128756.05120199977</v>
          </cell>
          <cell r="U242">
            <v>72190.662606000085</v>
          </cell>
          <cell r="V242">
            <v>153856.66795199981</v>
          </cell>
          <cell r="W242">
            <v>27567.581699999981</v>
          </cell>
          <cell r="X242">
            <v>8224.4698300000746</v>
          </cell>
          <cell r="Y242">
            <v>29418.231773692183</v>
          </cell>
          <cell r="Z242">
            <v>13395.475464596646</v>
          </cell>
          <cell r="AA242">
            <v>37776.094651489053</v>
          </cell>
          <cell r="AB242">
            <v>-26970.11434606323</v>
          </cell>
          <cell r="AC242">
            <v>14113.916625710204</v>
          </cell>
          <cell r="AD242">
            <v>24672.745265660807</v>
          </cell>
          <cell r="AE242">
            <v>74261.932135753101</v>
          </cell>
          <cell r="AF242">
            <v>21969.661273390753</v>
          </cell>
          <cell r="AG242">
            <v>63540.946772531606</v>
          </cell>
          <cell r="AH242">
            <v>-109959.8846032517</v>
          </cell>
          <cell r="AJ242">
            <v>53901.986513424898</v>
          </cell>
          <cell r="AK242">
            <v>48328.04920575954</v>
          </cell>
          <cell r="AL242">
            <v>37515.036014015554</v>
          </cell>
          <cell r="AM242">
            <v>102906.22961377515</v>
          </cell>
          <cell r="AN242">
            <v>9238.7342533916235</v>
          </cell>
          <cell r="AO242">
            <v>-149496.10170142748</v>
          </cell>
          <cell r="AP242">
            <v>18648.31951331743</v>
          </cell>
          <cell r="AQ242">
            <v>51893.16542659956</v>
          </cell>
          <cell r="AR242">
            <v>44213.214718746953</v>
          </cell>
          <cell r="AS242">
            <v>27310.12265454256</v>
          </cell>
          <cell r="AT242">
            <v>72576.484831251204</v>
          </cell>
          <cell r="AU242">
            <v>-181893.25263393903</v>
          </cell>
        </row>
        <row r="244">
          <cell r="A244" t="str">
            <v>Reservas internacionales netas</v>
          </cell>
          <cell r="D244">
            <v>9368.8461580000003</v>
          </cell>
          <cell r="F244">
            <v>-4391.42474699999</v>
          </cell>
          <cell r="H244">
            <v>3109.020781999996</v>
          </cell>
          <cell r="J244">
            <v>-4861.8193020000108</v>
          </cell>
          <cell r="K244">
            <v>-8020.3933190000062</v>
          </cell>
          <cell r="L244">
            <v>-1960.9842240000071</v>
          </cell>
          <cell r="M244">
            <v>-7038.9587620000057</v>
          </cell>
          <cell r="N244">
            <v>-7384.0188230000094</v>
          </cell>
          <cell r="O244">
            <v>-15080.419509000003</v>
          </cell>
          <cell r="P244">
            <v>-11973.343001000012</v>
          </cell>
          <cell r="Q244">
            <v>-16936.067727000012</v>
          </cell>
          <cell r="R244">
            <v>-21699.700115000014</v>
          </cell>
          <cell r="S244">
            <v>-16636.788572000005</v>
          </cell>
          <cell r="T244">
            <v>-18079.088708000018</v>
          </cell>
          <cell r="U244">
            <v>-24860.843068000002</v>
          </cell>
          <cell r="V244">
            <v>-23787.430432000001</v>
          </cell>
          <cell r="W244">
            <v>10276.267711999992</v>
          </cell>
          <cell r="X244">
            <v>11894.259065999991</v>
          </cell>
          <cell r="Y244">
            <v>-13806.130822217387</v>
          </cell>
          <cell r="Z244">
            <v>6059.1154408286166</v>
          </cell>
          <cell r="AA244">
            <v>2102.2952080917566</v>
          </cell>
          <cell r="AB244">
            <v>-11999.760231215843</v>
          </cell>
          <cell r="AC244">
            <v>4633.2248521110723</v>
          </cell>
          <cell r="AD244">
            <v>-8032.1539916871734</v>
          </cell>
          <cell r="AE244">
            <v>-18320.043512823871</v>
          </cell>
          <cell r="AF244">
            <v>9798.5225768567198</v>
          </cell>
          <cell r="AG244">
            <v>6300.3391378917131</v>
          </cell>
          <cell r="AH244">
            <v>1294.8165014875176</v>
          </cell>
          <cell r="AJ244">
            <v>8176.4509642641679</v>
          </cell>
          <cell r="AK244">
            <v>-11568.339523064398</v>
          </cell>
          <cell r="AL244">
            <v>-1565.909022928452</v>
          </cell>
          <cell r="AM244">
            <v>11240.688141240589</v>
          </cell>
          <cell r="AN244">
            <v>-16516.917371125804</v>
          </cell>
          <cell r="AO244">
            <v>-1165.4338295623211</v>
          </cell>
          <cell r="AP244">
            <v>3831.3592798992404</v>
          </cell>
          <cell r="AQ244">
            <v>-1714.5438689992411</v>
          </cell>
          <cell r="AR244">
            <v>10230.022525493727</v>
          </cell>
          <cell r="AS244">
            <v>6734.5279371886791</v>
          </cell>
          <cell r="AT244">
            <v>-15291.007781333332</v>
          </cell>
          <cell r="AU244">
            <v>-6682.1377259825822</v>
          </cell>
        </row>
        <row r="245">
          <cell r="A245" t="str">
            <v>Crédito bruto a Gobierno</v>
          </cell>
          <cell r="D245">
            <v>44769.908899999995</v>
          </cell>
          <cell r="F245">
            <v>-24642.232199999999</v>
          </cell>
          <cell r="H245">
            <v>60464.442900000009</v>
          </cell>
          <cell r="J245">
            <v>-6344.6129000000074</v>
          </cell>
          <cell r="K245">
            <v>-506.73780000000261</v>
          </cell>
          <cell r="L245">
            <v>-393.74760000000242</v>
          </cell>
          <cell r="M245">
            <v>3467.1640999999945</v>
          </cell>
          <cell r="N245">
            <v>3357.4089999999997</v>
          </cell>
          <cell r="O245">
            <v>-3088.5555000000168</v>
          </cell>
          <cell r="P245">
            <v>-1481.4825560000027</v>
          </cell>
          <cell r="Q245">
            <v>-7525.8340810000227</v>
          </cell>
          <cell r="R245">
            <v>-6938.303836000021</v>
          </cell>
          <cell r="S245">
            <v>-19266.973700000017</v>
          </cell>
          <cell r="T245">
            <v>-17717.490200000015</v>
          </cell>
          <cell r="U245">
            <v>-9792.7159480000118</v>
          </cell>
          <cell r="V245">
            <v>-7541.3359300000157</v>
          </cell>
          <cell r="W245">
            <v>2990.7732099999994</v>
          </cell>
          <cell r="X245">
            <v>-6766.8648079999984</v>
          </cell>
          <cell r="Y245">
            <v>-3192.6391063399933</v>
          </cell>
          <cell r="Z245">
            <v>-20838.234720869994</v>
          </cell>
          <cell r="AA245">
            <v>2051.1392280299915</v>
          </cell>
          <cell r="AB245">
            <v>-3097.6008504669953</v>
          </cell>
          <cell r="AC245">
            <v>-1653.7781998300052</v>
          </cell>
          <cell r="AD245">
            <v>-2294.6986940729985</v>
          </cell>
          <cell r="AE245">
            <v>734.68406234999566</v>
          </cell>
          <cell r="AF245">
            <v>16462.176897979996</v>
          </cell>
          <cell r="AG245">
            <v>16018.85469415001</v>
          </cell>
          <cell r="AH245">
            <v>16959.494928812986</v>
          </cell>
          <cell r="AJ245">
            <v>-4374.4590963599912</v>
          </cell>
          <cell r="AK245">
            <v>-6270.4376374800049</v>
          </cell>
          <cell r="AL245">
            <v>-10735.124229030014</v>
          </cell>
          <cell r="AM245">
            <v>4463.248300480016</v>
          </cell>
          <cell r="AN245">
            <v>2853.636109760002</v>
          </cell>
          <cell r="AO245">
            <v>-11930.587758979993</v>
          </cell>
          <cell r="AP245">
            <v>-11608.077463280017</v>
          </cell>
          <cell r="AQ245">
            <v>11111.404403500012</v>
          </cell>
          <cell r="AR245">
            <v>10280.558902499994</v>
          </cell>
          <cell r="AS245">
            <v>-3856.5404943600006</v>
          </cell>
          <cell r="AT245">
            <v>25504.989755800008</v>
          </cell>
          <cell r="AU245">
            <v>4103.466151539993</v>
          </cell>
        </row>
        <row r="246">
          <cell r="A246" t="str">
            <v>Crédito bruto a Entidades</v>
          </cell>
          <cell r="D246">
            <v>198.65268800000013</v>
          </cell>
          <cell r="F246">
            <v>-878.32782300000031</v>
          </cell>
          <cell r="H246">
            <v>65.68459299999995</v>
          </cell>
          <cell r="J246">
            <v>-1143.3791840000004</v>
          </cell>
          <cell r="K246">
            <v>-1089.5225780000003</v>
          </cell>
          <cell r="L246">
            <v>-998.00914700000021</v>
          </cell>
          <cell r="M246">
            <v>-1213.5230980000001</v>
          </cell>
          <cell r="N246">
            <v>-1147.2487050000004</v>
          </cell>
          <cell r="O246">
            <v>-1240.5991210000002</v>
          </cell>
          <cell r="P246">
            <v>-1235.0281720000003</v>
          </cell>
          <cell r="Q246">
            <v>-1241.1597970000003</v>
          </cell>
          <cell r="R246">
            <v>-1203.6588010000003</v>
          </cell>
          <cell r="S246">
            <v>-898.88468400000011</v>
          </cell>
          <cell r="T246">
            <v>-965.13028000000031</v>
          </cell>
          <cell r="U246">
            <v>-1237.7509240000002</v>
          </cell>
          <cell r="V246">
            <v>-1206.6477160000004</v>
          </cell>
          <cell r="W246">
            <v>100.15201999999999</v>
          </cell>
          <cell r="X246">
            <v>-28.193699999999808</v>
          </cell>
          <cell r="Y246">
            <v>446.93357745999992</v>
          </cell>
          <cell r="Z246">
            <v>102.26913548800007</v>
          </cell>
          <cell r="AA246">
            <v>-256.42203344800009</v>
          </cell>
          <cell r="AB246">
            <v>65.687305958600064</v>
          </cell>
          <cell r="AC246">
            <v>78.475885001400002</v>
          </cell>
          <cell r="AD246">
            <v>-336.8307809800001</v>
          </cell>
          <cell r="AE246">
            <v>339.8381151128001</v>
          </cell>
          <cell r="AF246">
            <v>350.36873804859988</v>
          </cell>
          <cell r="AG246">
            <v>241.39809987860008</v>
          </cell>
          <cell r="AH246">
            <v>558.65802448620025</v>
          </cell>
          <cell r="AJ246">
            <v>612.98300657999971</v>
          </cell>
          <cell r="AK246">
            <v>-1330.2006440399996</v>
          </cell>
          <cell r="AL246">
            <v>75.533259499999986</v>
          </cell>
          <cell r="AM246">
            <v>-87.583518639999966</v>
          </cell>
          <cell r="AN246">
            <v>217.89144301999977</v>
          </cell>
          <cell r="AO246">
            <v>91.999757080000109</v>
          </cell>
          <cell r="AP246">
            <v>-29.67194156000005</v>
          </cell>
          <cell r="AQ246">
            <v>2791.4966110600003</v>
          </cell>
          <cell r="AR246">
            <v>496.34992994000004</v>
          </cell>
          <cell r="AS246">
            <v>-1369.1785002800007</v>
          </cell>
          <cell r="AT246">
            <v>-74.407115299999532</v>
          </cell>
          <cell r="AU246">
            <v>30.678033680000226</v>
          </cell>
        </row>
        <row r="247">
          <cell r="A247" t="str">
            <v>Reservas en el BCCR</v>
          </cell>
          <cell r="D247">
            <v>38811.147459000058</v>
          </cell>
          <cell r="F247">
            <v>44869.231381999998</v>
          </cell>
          <cell r="H247">
            <v>27418.624574999965</v>
          </cell>
          <cell r="J247">
            <v>18149.020955999964</v>
          </cell>
          <cell r="K247">
            <v>15146.232186000037</v>
          </cell>
          <cell r="L247">
            <v>20628.551772000035</v>
          </cell>
          <cell r="M247">
            <v>10534.813590000034</v>
          </cell>
          <cell r="N247">
            <v>13488.562195000064</v>
          </cell>
          <cell r="O247">
            <v>32411.167552000028</v>
          </cell>
          <cell r="P247">
            <v>25237.564269000024</v>
          </cell>
          <cell r="Q247">
            <v>27266.543758000014</v>
          </cell>
          <cell r="R247">
            <v>48451.654867000005</v>
          </cell>
          <cell r="S247">
            <v>43783.724418000085</v>
          </cell>
          <cell r="T247">
            <v>49512.232066000055</v>
          </cell>
          <cell r="U247">
            <v>30177.690709999995</v>
          </cell>
          <cell r="V247">
            <v>53013.008863999974</v>
          </cell>
          <cell r="W247">
            <v>-5637.5751119999331</v>
          </cell>
          <cell r="X247">
            <v>-24600.090626000019</v>
          </cell>
          <cell r="Y247">
            <v>-39396.584015019413</v>
          </cell>
          <cell r="Z247">
            <v>9359.147157580941</v>
          </cell>
          <cell r="AA247">
            <v>14536.000979009434</v>
          </cell>
          <cell r="AB247">
            <v>28186.614367584349</v>
          </cell>
          <cell r="AC247">
            <v>22692.299446281162</v>
          </cell>
          <cell r="AD247">
            <v>5476.0827688776189</v>
          </cell>
          <cell r="AE247">
            <v>7837.6989141437807</v>
          </cell>
          <cell r="AF247">
            <v>-36700.462699979777</v>
          </cell>
          <cell r="AG247">
            <v>-23937.861543257139</v>
          </cell>
          <cell r="AH247">
            <v>-33683.193603696767</v>
          </cell>
          <cell r="AJ247">
            <v>1529.4566202622373</v>
          </cell>
          <cell r="AK247">
            <v>16146.372035878012</v>
          </cell>
          <cell r="AL247">
            <v>9534.2173256501555</v>
          </cell>
          <cell r="AM247">
            <v>27082.889917134657</v>
          </cell>
          <cell r="AN247">
            <v>16641.423795223236</v>
          </cell>
          <cell r="AO247">
            <v>23861.132223284338</v>
          </cell>
          <cell r="AP247">
            <v>13245.692306696146</v>
          </cell>
          <cell r="AQ247">
            <v>4581.4834246215178</v>
          </cell>
          <cell r="AR247">
            <v>-4755.0377238963847</v>
          </cell>
          <cell r="AS247">
            <v>11849.898730517481</v>
          </cell>
          <cell r="AT247">
            <v>7857.6130170836695</v>
          </cell>
          <cell r="AU247">
            <v>-23744.226851439802</v>
          </cell>
        </row>
        <row r="248">
          <cell r="A248" t="str">
            <v xml:space="preserve">         Caja de bancos</v>
          </cell>
          <cell r="D248">
            <v>2644.4167000000016</v>
          </cell>
          <cell r="F248">
            <v>5318.3352999999988</v>
          </cell>
          <cell r="H248">
            <v>5759.4140000000007</v>
          </cell>
          <cell r="J248">
            <v>-6050.3607000000011</v>
          </cell>
          <cell r="K248">
            <v>-6877.1631999999991</v>
          </cell>
          <cell r="L248">
            <v>-3307.3832000000002</v>
          </cell>
          <cell r="M248">
            <v>-5621.7724000000017</v>
          </cell>
          <cell r="N248">
            <v>-7536.9373999999989</v>
          </cell>
          <cell r="O248">
            <v>-4382.3408000000018</v>
          </cell>
          <cell r="P248">
            <v>-3091.1116000000002</v>
          </cell>
          <cell r="Q248">
            <v>-5925.9776999999995</v>
          </cell>
          <cell r="R248">
            <v>-657.90740000000005</v>
          </cell>
          <cell r="S248">
            <v>-2010.9415000000008</v>
          </cell>
          <cell r="T248">
            <v>9274.8796000000002</v>
          </cell>
          <cell r="U248">
            <v>16006.382299999997</v>
          </cell>
          <cell r="V248">
            <v>16006.382299999997</v>
          </cell>
          <cell r="W248">
            <v>-15492.969499999999</v>
          </cell>
          <cell r="X248">
            <v>-1135.4036999999989</v>
          </cell>
          <cell r="Y248">
            <v>4659.0337280000022</v>
          </cell>
          <cell r="Z248">
            <v>-2138.1529500000033</v>
          </cell>
          <cell r="AA248">
            <v>-1319.7465509999965</v>
          </cell>
          <cell r="AB248">
            <v>4139.7435579999983</v>
          </cell>
          <cell r="AC248">
            <v>-2357.457785999999</v>
          </cell>
          <cell r="AD248">
            <v>1141.1359039999988</v>
          </cell>
          <cell r="AE248">
            <v>1680.2525160000005</v>
          </cell>
          <cell r="AF248">
            <v>-3783.7606190000006</v>
          </cell>
          <cell r="AG248">
            <v>19248.086227000003</v>
          </cell>
          <cell r="AH248">
            <v>-3487.0156230000066</v>
          </cell>
          <cell r="AJ248">
            <v>-11290.162108999997</v>
          </cell>
          <cell r="AK248">
            <v>-126.61070199999813</v>
          </cell>
          <cell r="AL248">
            <v>3624.6266689999975</v>
          </cell>
          <cell r="AM248">
            <v>-4594.5107859999989</v>
          </cell>
          <cell r="AN248">
            <v>3896.2057989999994</v>
          </cell>
          <cell r="AO248">
            <v>2791.3132409999998</v>
          </cell>
          <cell r="AP248">
            <v>-3665.8596739999994</v>
          </cell>
          <cell r="AQ248">
            <v>3653.7375679999968</v>
          </cell>
          <cell r="AR248">
            <v>-390.03735699999379</v>
          </cell>
          <cell r="AS248">
            <v>-3173.2547530000011</v>
          </cell>
          <cell r="AT248">
            <v>19661.041406999997</v>
          </cell>
          <cell r="AU248">
            <v>33979.724972999997</v>
          </cell>
        </row>
        <row r="249">
          <cell r="A249" t="str">
            <v xml:space="preserve">        Depósitos en moneda nacional</v>
          </cell>
          <cell r="D249">
            <v>12561.317408000017</v>
          </cell>
          <cell r="F249">
            <v>-12862.001458000021</v>
          </cell>
          <cell r="H249">
            <v>-8338.1981249999881</v>
          </cell>
          <cell r="J249">
            <v>608.33892200000264</v>
          </cell>
          <cell r="K249">
            <v>-922.02220599999418</v>
          </cell>
          <cell r="L249">
            <v>8888.2614120000071</v>
          </cell>
          <cell r="M249">
            <v>5388.1144700000004</v>
          </cell>
          <cell r="N249">
            <v>-3648.5614309999946</v>
          </cell>
          <cell r="O249">
            <v>12594.332141999999</v>
          </cell>
          <cell r="P249">
            <v>3333.6421350000019</v>
          </cell>
          <cell r="Q249">
            <v>25200.498539000007</v>
          </cell>
          <cell r="R249">
            <v>6314.2442900000024</v>
          </cell>
          <cell r="S249">
            <v>386.45439800000167</v>
          </cell>
          <cell r="T249">
            <v>10686.159662000005</v>
          </cell>
          <cell r="U249">
            <v>1123.7481019999977</v>
          </cell>
          <cell r="V249">
            <v>1123.7481019999977</v>
          </cell>
          <cell r="W249">
            <v>9770.4473660000003</v>
          </cell>
          <cell r="X249">
            <v>7265.6938400000072</v>
          </cell>
          <cell r="Y249">
            <v>-21593.459951000004</v>
          </cell>
          <cell r="Z249">
            <v>27736.053453</v>
          </cell>
          <cell r="AA249">
            <v>8010.8362060000072</v>
          </cell>
          <cell r="AB249">
            <v>1459.5558599999931</v>
          </cell>
          <cell r="AC249">
            <v>-10474.095210999993</v>
          </cell>
          <cell r="AD249">
            <v>3432.3926030000002</v>
          </cell>
          <cell r="AE249">
            <v>12488.323751999997</v>
          </cell>
          <cell r="AF249">
            <v>-1820.5002410000016</v>
          </cell>
          <cell r="AG249">
            <v>4035.0320389999979</v>
          </cell>
          <cell r="AH249">
            <v>-1733.535619000002</v>
          </cell>
          <cell r="AJ249">
            <v>6083.3565850000014</v>
          </cell>
          <cell r="AK249">
            <v>-3505.5211870000057</v>
          </cell>
          <cell r="AL249">
            <v>-4472.4613599999866</v>
          </cell>
          <cell r="AM249">
            <v>20011.855417999992</v>
          </cell>
          <cell r="AN249">
            <v>-7617.9897329999949</v>
          </cell>
          <cell r="AO249">
            <v>-1605.1295450000034</v>
          </cell>
          <cell r="AP249">
            <v>2102.3445479999937</v>
          </cell>
          <cell r="AQ249">
            <v>3089.3530380000011</v>
          </cell>
          <cell r="AR249">
            <v>1069.09842200001</v>
          </cell>
          <cell r="AS249">
            <v>6135.408654999992</v>
          </cell>
          <cell r="AT249">
            <v>-15150.806639000002</v>
          </cell>
          <cell r="AU249">
            <v>-43469.259498999993</v>
          </cell>
        </row>
        <row r="250">
          <cell r="A250" t="str">
            <v xml:space="preserve">       Depósitos en moneda extranjera</v>
          </cell>
          <cell r="D250">
            <v>13408.244151000021</v>
          </cell>
          <cell r="F250">
            <v>20213.709339999987</v>
          </cell>
          <cell r="H250">
            <v>23985.94769999999</v>
          </cell>
          <cell r="J250">
            <v>15924.990399999981</v>
          </cell>
          <cell r="K250">
            <v>13789.824800000002</v>
          </cell>
          <cell r="L250">
            <v>18188.359200000006</v>
          </cell>
          <cell r="M250">
            <v>15481.777600000001</v>
          </cell>
          <cell r="N250">
            <v>24149.784799999994</v>
          </cell>
          <cell r="O250">
            <v>34096.668800000014</v>
          </cell>
          <cell r="P250">
            <v>25348.598399999988</v>
          </cell>
          <cell r="Q250">
            <v>31848.380000000005</v>
          </cell>
          <cell r="R250">
            <v>36736.643199999991</v>
          </cell>
          <cell r="S250">
            <v>32025.860000000015</v>
          </cell>
          <cell r="T250">
            <v>19226.953600000008</v>
          </cell>
          <cell r="U250">
            <v>1411.8128000000142</v>
          </cell>
          <cell r="V250">
            <v>24247.130953999993</v>
          </cell>
          <cell r="W250">
            <v>6391.0861300000106</v>
          </cell>
          <cell r="X250">
            <v>-11619.359465999994</v>
          </cell>
          <cell r="Y250">
            <v>-27571.926855019468</v>
          </cell>
          <cell r="Z250">
            <v>8440.7820665809559</v>
          </cell>
          <cell r="AA250">
            <v>2380.8249920094677</v>
          </cell>
          <cell r="AB250">
            <v>23878.578201604367</v>
          </cell>
          <cell r="AC250">
            <v>22767.174160461145</v>
          </cell>
          <cell r="AD250">
            <v>8015.3450188776187</v>
          </cell>
          <cell r="AE250">
            <v>2870.7107351437444</v>
          </cell>
          <cell r="AF250">
            <v>-27264.356455979811</v>
          </cell>
          <cell r="AG250">
            <v>-37405.857236687065</v>
          </cell>
          <cell r="AH250">
            <v>-37583.828161316778</v>
          </cell>
          <cell r="AJ250">
            <v>8702.7706066122046</v>
          </cell>
          <cell r="AK250">
            <v>17850.947476798057</v>
          </cell>
          <cell r="AL250">
            <v>9381.9511565501452</v>
          </cell>
          <cell r="AM250">
            <v>6546.2272868146829</v>
          </cell>
          <cell r="AN250">
            <v>9601.409789223253</v>
          </cell>
          <cell r="AO250">
            <v>10988.250412284309</v>
          </cell>
          <cell r="AP250">
            <v>11650.532830696175</v>
          </cell>
          <cell r="AQ250">
            <v>-13485.225446378492</v>
          </cell>
          <cell r="AR250">
            <v>-12982.935373896413</v>
          </cell>
          <cell r="AS250">
            <v>-5265.1127204824588</v>
          </cell>
          <cell r="AT250">
            <v>-4993.6542869163677</v>
          </cell>
          <cell r="AU250">
            <v>-8413.213048439764</v>
          </cell>
        </row>
        <row r="251">
          <cell r="A251" t="str">
            <v xml:space="preserve">       Bonos de estabilización monetaria</v>
          </cell>
          <cell r="D251">
            <v>6275.4692000000005</v>
          </cell>
          <cell r="F251">
            <v>28291.688200000004</v>
          </cell>
          <cell r="H251">
            <v>-5764.7890000000043</v>
          </cell>
          <cell r="J251">
            <v>6113.3098339999997</v>
          </cell>
          <cell r="K251">
            <v>279.34279199999946</v>
          </cell>
          <cell r="L251">
            <v>-1392.9356399999997</v>
          </cell>
          <cell r="M251">
            <v>-6553.5130800000006</v>
          </cell>
          <cell r="N251">
            <v>-6910.9737739999982</v>
          </cell>
          <cell r="O251">
            <v>-5798.7425900000017</v>
          </cell>
          <cell r="P251">
            <v>-3431.8146659999984</v>
          </cell>
          <cell r="Q251">
            <v>-4739.6070809999983</v>
          </cell>
          <cell r="R251">
            <v>-4638.5752229999962</v>
          </cell>
          <cell r="S251">
            <v>7793.6015200000038</v>
          </cell>
          <cell r="T251">
            <v>12087.989203999998</v>
          </cell>
          <cell r="U251">
            <v>9783.4975080000004</v>
          </cell>
          <cell r="V251">
            <v>9783.4975080000004</v>
          </cell>
          <cell r="W251">
            <v>5696.860891999997</v>
          </cell>
          <cell r="X251">
            <v>-13861.021299999997</v>
          </cell>
          <cell r="Y251">
            <v>-8893.2309370000003</v>
          </cell>
          <cell r="Z251">
            <v>-4181.5354120000011</v>
          </cell>
          <cell r="AA251">
            <v>4571.0863320000026</v>
          </cell>
          <cell r="AB251">
            <v>1708.7367479799977</v>
          </cell>
          <cell r="AC251">
            <v>-5240.3217171799988</v>
          </cell>
          <cell r="AD251">
            <v>-1107.7907569999988</v>
          </cell>
          <cell r="AE251">
            <v>317.41191099999924</v>
          </cell>
          <cell r="AF251">
            <v>-2331.8453840000002</v>
          </cell>
          <cell r="AG251">
            <v>-8815.1225725700006</v>
          </cell>
          <cell r="AH251">
            <v>9121.1857996199997</v>
          </cell>
          <cell r="AJ251">
            <v>-2366.5084623499988</v>
          </cell>
          <cell r="AK251">
            <v>2127.5460314100001</v>
          </cell>
          <cell r="AL251">
            <v>1200.1112767699997</v>
          </cell>
          <cell r="AM251">
            <v>4119.3179983199989</v>
          </cell>
          <cell r="AN251">
            <v>9761.6937729999991</v>
          </cell>
          <cell r="AO251">
            <v>8686.7501989999982</v>
          </cell>
          <cell r="AP251">
            <v>7758.7162680000038</v>
          </cell>
          <cell r="AQ251">
            <v>9223.6286820000023</v>
          </cell>
          <cell r="AR251">
            <v>7548.8365849999973</v>
          </cell>
          <cell r="AS251">
            <v>233.85754900000029</v>
          </cell>
          <cell r="AT251">
            <v>-11433.967464000001</v>
          </cell>
          <cell r="AU251">
            <v>2582.5207230000015</v>
          </cell>
        </row>
        <row r="252">
          <cell r="A252" t="str">
            <v xml:space="preserve">      Inversiones de corto plazo</v>
          </cell>
          <cell r="D252">
            <v>3921.7</v>
          </cell>
          <cell r="F252">
            <v>3907.5</v>
          </cell>
          <cell r="H252">
            <v>11776.25</v>
          </cell>
          <cell r="J252">
            <v>1552.7425000000003</v>
          </cell>
          <cell r="K252">
            <v>8876.25</v>
          </cell>
          <cell r="L252">
            <v>-1747.75</v>
          </cell>
          <cell r="M252">
            <v>1840.2069999999985</v>
          </cell>
          <cell r="N252">
            <v>7435.25</v>
          </cell>
          <cell r="O252">
            <v>-4098.75</v>
          </cell>
          <cell r="P252">
            <v>3078.25</v>
          </cell>
          <cell r="Q252">
            <v>-19116.75</v>
          </cell>
          <cell r="R252">
            <v>10697.25</v>
          </cell>
          <cell r="S252">
            <v>5588.75</v>
          </cell>
          <cell r="T252">
            <v>-1763.75</v>
          </cell>
          <cell r="U252">
            <v>1852.25</v>
          </cell>
          <cell r="V252">
            <v>1852.25</v>
          </cell>
          <cell r="W252">
            <v>-12003</v>
          </cell>
          <cell r="X252">
            <v>-5250</v>
          </cell>
          <cell r="Y252">
            <v>14003</v>
          </cell>
          <cell r="Z252">
            <v>-20498</v>
          </cell>
          <cell r="AA252">
            <v>893</v>
          </cell>
          <cell r="AB252">
            <v>-3000</v>
          </cell>
          <cell r="AC252">
            <v>17997</v>
          </cell>
          <cell r="AD252">
            <v>-6005</v>
          </cell>
          <cell r="AE252">
            <v>-9519</v>
          </cell>
          <cell r="AF252">
            <v>-1500</v>
          </cell>
          <cell r="AG252">
            <v>-1000</v>
          </cell>
          <cell r="AH252">
            <v>0</v>
          </cell>
          <cell r="AJ252">
            <v>400</v>
          </cell>
          <cell r="AK252">
            <v>-199.98958332999999</v>
          </cell>
          <cell r="AL252">
            <v>-200.01041667000001</v>
          </cell>
          <cell r="AM252">
            <v>1000</v>
          </cell>
          <cell r="AN252">
            <v>1000.104167</v>
          </cell>
          <cell r="AO252">
            <v>2999.9479159999996</v>
          </cell>
          <cell r="AP252">
            <v>-4600.0416659999992</v>
          </cell>
          <cell r="AQ252">
            <v>2099.989583</v>
          </cell>
          <cell r="AR252">
            <v>0</v>
          </cell>
          <cell r="AS252">
            <v>13919</v>
          </cell>
          <cell r="AT252">
            <v>19775</v>
          </cell>
          <cell r="AU252">
            <v>-8424</v>
          </cell>
        </row>
        <row r="253">
          <cell r="A253" t="str">
            <v>Crédito bruto a Sector financiero no bancario</v>
          </cell>
          <cell r="D253">
            <v>-40.540000000000006</v>
          </cell>
          <cell r="F253">
            <v>452.17</v>
          </cell>
          <cell r="H253">
            <v>-311.88</v>
          </cell>
          <cell r="J253">
            <v>-50</v>
          </cell>
          <cell r="K253">
            <v>317.89499999999998</v>
          </cell>
          <cell r="L253">
            <v>250</v>
          </cell>
          <cell r="M253">
            <v>250</v>
          </cell>
          <cell r="N253">
            <v>250</v>
          </cell>
          <cell r="O253">
            <v>330.99900000000002</v>
          </cell>
          <cell r="P253">
            <v>335.65700000000004</v>
          </cell>
          <cell r="Q253">
            <v>266.35699999999997</v>
          </cell>
          <cell r="R253">
            <v>266.35699999999997</v>
          </cell>
          <cell r="S253">
            <v>267.45699999999999</v>
          </cell>
          <cell r="T253">
            <v>266.31700000000001</v>
          </cell>
          <cell r="U253">
            <v>266.31700000000001</v>
          </cell>
          <cell r="V253">
            <v>266.31700000000001</v>
          </cell>
          <cell r="W253">
            <v>-1.6000000000000227</v>
          </cell>
          <cell r="X253">
            <v>539.50000000000011</v>
          </cell>
          <cell r="Y253">
            <v>-539.50000000000011</v>
          </cell>
          <cell r="Z253">
            <v>0</v>
          </cell>
          <cell r="AA253">
            <v>0</v>
          </cell>
          <cell r="AB253">
            <v>-100</v>
          </cell>
          <cell r="AC253">
            <v>0</v>
          </cell>
          <cell r="AD253">
            <v>0</v>
          </cell>
          <cell r="AE253">
            <v>-14.716999999999985</v>
          </cell>
          <cell r="AF253">
            <v>100</v>
          </cell>
          <cell r="AG253">
            <v>-300</v>
          </cell>
          <cell r="AH253">
            <v>-100</v>
          </cell>
          <cell r="AJ253">
            <v>100</v>
          </cell>
          <cell r="AK253">
            <v>0</v>
          </cell>
          <cell r="AL253">
            <v>0</v>
          </cell>
          <cell r="AM253">
            <v>0</v>
          </cell>
          <cell r="AN253">
            <v>100.86165026000003</v>
          </cell>
          <cell r="AO253">
            <v>86.529653739999958</v>
          </cell>
          <cell r="AP253">
            <v>2745.0762409999998</v>
          </cell>
          <cell r="AQ253">
            <v>97.984579999999823</v>
          </cell>
          <cell r="AR253">
            <v>193.35616500000015</v>
          </cell>
          <cell r="AS253">
            <v>46.805355999999847</v>
          </cell>
          <cell r="AT253">
            <v>-2180.1318879999999</v>
          </cell>
          <cell r="AU253">
            <v>-40.912710999999945</v>
          </cell>
        </row>
        <row r="254">
          <cell r="A254" t="str">
            <v>Credito Sector Privado</v>
          </cell>
          <cell r="D254">
            <v>35768.133073000005</v>
          </cell>
          <cell r="F254">
            <v>-3655.8833999999915</v>
          </cell>
          <cell r="H254">
            <v>58705.723495999933</v>
          </cell>
          <cell r="J254">
            <v>1138.6505999999936</v>
          </cell>
          <cell r="K254">
            <v>4022.1047000000253</v>
          </cell>
          <cell r="L254">
            <v>9495.5394000000088</v>
          </cell>
          <cell r="M254">
            <v>12219.901500000036</v>
          </cell>
          <cell r="N254">
            <v>15702.753200000036</v>
          </cell>
          <cell r="O254">
            <v>23740.912499999977</v>
          </cell>
          <cell r="P254">
            <v>29338.409900000028</v>
          </cell>
          <cell r="Q254">
            <v>36024.73769999994</v>
          </cell>
          <cell r="R254">
            <v>48225.663700000034</v>
          </cell>
          <cell r="S254">
            <v>56897.940699999977</v>
          </cell>
          <cell r="T254">
            <v>66887.365499999956</v>
          </cell>
          <cell r="U254">
            <v>83544.39850000001</v>
          </cell>
          <cell r="V254">
            <v>94841.670915999974</v>
          </cell>
          <cell r="W254">
            <v>3158.3598399999901</v>
          </cell>
          <cell r="X254">
            <v>17998.102326000051</v>
          </cell>
          <cell r="Y254">
            <v>3370.2355354299652</v>
          </cell>
          <cell r="Z254">
            <v>4488.882791084121</v>
          </cell>
          <cell r="AA254">
            <v>13537.60244066274</v>
          </cell>
          <cell r="AB254">
            <v>30970.53997163329</v>
          </cell>
          <cell r="AC254">
            <v>11604.68649710156</v>
          </cell>
          <cell r="AD254">
            <v>17776.087189907441</v>
          </cell>
          <cell r="AE254">
            <v>58398.26381542522</v>
          </cell>
          <cell r="AF254">
            <v>5683.5034336423269</v>
          </cell>
          <cell r="AG254">
            <v>23061.200930911931</v>
          </cell>
          <cell r="AH254">
            <v>19792.853901612805</v>
          </cell>
          <cell r="AJ254">
            <v>13057.044237511232</v>
          </cell>
          <cell r="AK254">
            <v>13847.782297617523</v>
          </cell>
          <cell r="AL254">
            <v>21837.372073351173</v>
          </cell>
          <cell r="AM254">
            <v>-1511.2495250229258</v>
          </cell>
          <cell r="AN254">
            <v>-3920.7249370699283</v>
          </cell>
          <cell r="AO254">
            <v>5524.9995333235711</v>
          </cell>
          <cell r="AP254">
            <v>-1078.9042051942088</v>
          </cell>
          <cell r="AQ254">
            <v>14407.889718872961</v>
          </cell>
          <cell r="AR254">
            <v>3867.7790786029072</v>
          </cell>
          <cell r="AS254">
            <v>-769.82342302834149</v>
          </cell>
          <cell r="AT254">
            <v>21103.362609328702</v>
          </cell>
          <cell r="AU254">
            <v>12731.899163550814</v>
          </cell>
        </row>
        <row r="255">
          <cell r="A255" t="str">
            <v>Activos no clasificados</v>
          </cell>
          <cell r="D255">
            <v>-23581.345675999968</v>
          </cell>
          <cell r="F255">
            <v>-17030.169553999993</v>
          </cell>
          <cell r="H255">
            <v>-25498.582860999973</v>
          </cell>
          <cell r="J255">
            <v>21249.930623999971</v>
          </cell>
          <cell r="K255">
            <v>23820.964505999989</v>
          </cell>
          <cell r="L255">
            <v>12536.044670000061</v>
          </cell>
          <cell r="M255">
            <v>49271.47564400002</v>
          </cell>
          <cell r="N255">
            <v>43075.640293000004</v>
          </cell>
          <cell r="O255">
            <v>-25074.369080000004</v>
          </cell>
          <cell r="P255">
            <v>-17601.082480000012</v>
          </cell>
          <cell r="Q255">
            <v>2669.912713000027</v>
          </cell>
          <cell r="R255">
            <v>10020.206495999999</v>
          </cell>
          <cell r="S255">
            <v>25048.382383999997</v>
          </cell>
          <cell r="T255">
            <v>48851.845823999989</v>
          </cell>
          <cell r="U255">
            <v>-5906.433664000011</v>
          </cell>
          <cell r="V255">
            <v>38271.085249999975</v>
          </cell>
          <cell r="W255">
            <v>16681.204029999964</v>
          </cell>
          <cell r="X255">
            <v>9187.7575719999732</v>
          </cell>
          <cell r="Y255">
            <v>82535.916604379076</v>
          </cell>
          <cell r="Z255">
            <v>14224.295660484757</v>
          </cell>
          <cell r="AA255">
            <v>5805.4788291431032</v>
          </cell>
          <cell r="AB255">
            <v>-70995.594909556559</v>
          </cell>
          <cell r="AC255">
            <v>-23240.991854954802</v>
          </cell>
          <cell r="AD255">
            <v>12084.2587736157</v>
          </cell>
          <cell r="AE255">
            <v>25286.207741545048</v>
          </cell>
          <cell r="AF255">
            <v>26275.55232684291</v>
          </cell>
          <cell r="AG255">
            <v>42157.015452956548</v>
          </cell>
          <cell r="AH255">
            <v>-114782.51435595454</v>
          </cell>
          <cell r="AJ255">
            <v>34800.510781167075</v>
          </cell>
          <cell r="AK255">
            <v>37502.872676848492</v>
          </cell>
          <cell r="AL255">
            <v>18368.946607472782</v>
          </cell>
          <cell r="AM255">
            <v>61718.236298582749</v>
          </cell>
          <cell r="AN255">
            <v>9862.5635633241618</v>
          </cell>
          <cell r="AO255">
            <v>-165964.74128031317</v>
          </cell>
          <cell r="AP255">
            <v>11542.845295756299</v>
          </cell>
          <cell r="AQ255">
            <v>20617.45055754442</v>
          </cell>
          <cell r="AR255">
            <v>23900.185841106635</v>
          </cell>
          <cell r="AS255">
            <v>14674.433048504463</v>
          </cell>
          <cell r="AT255">
            <v>35656.06623367226</v>
          </cell>
          <cell r="AU255">
            <v>-168292.01869428705</v>
          </cell>
        </row>
        <row r="257">
          <cell r="A257" t="str">
            <v>PASIVOS</v>
          </cell>
          <cell r="D257">
            <v>105222.60660200007</v>
          </cell>
          <cell r="F257">
            <v>-5100.1652270000195</v>
          </cell>
          <cell r="H257">
            <v>123952.86307099997</v>
          </cell>
          <cell r="J257">
            <v>28139.554173000157</v>
          </cell>
          <cell r="K257">
            <v>33690.948681000154</v>
          </cell>
          <cell r="L257">
            <v>39557.893325999845</v>
          </cell>
          <cell r="M257">
            <v>67491.44217699999</v>
          </cell>
          <cell r="N257">
            <v>67343.310905000195</v>
          </cell>
          <cell r="O257">
            <v>11999.37067199999</v>
          </cell>
          <cell r="P257">
            <v>22620.912454000209</v>
          </cell>
          <cell r="Q257">
            <v>40524.718527000165</v>
          </cell>
          <cell r="R257">
            <v>77122.457033999963</v>
          </cell>
          <cell r="S257">
            <v>89195.093288999982</v>
          </cell>
          <cell r="T257">
            <v>128756.26722900011</v>
          </cell>
          <cell r="U257">
            <v>72190.880645000143</v>
          </cell>
          <cell r="V257">
            <v>153856.88599099987</v>
          </cell>
          <cell r="W257">
            <v>27567.605968000134</v>
          </cell>
          <cell r="X257">
            <v>8224.5204379998613</v>
          </cell>
          <cell r="Y257">
            <v>29418.13191340887</v>
          </cell>
          <cell r="Z257">
            <v>13395.475531956647</v>
          </cell>
          <cell r="AA257">
            <v>37776.094940785319</v>
          </cell>
          <cell r="AB257">
            <v>-26970.114407397807</v>
          </cell>
          <cell r="AC257">
            <v>14113.915589946788</v>
          </cell>
          <cell r="AD257">
            <v>24672.745376354316</v>
          </cell>
          <cell r="AE257">
            <v>74261.932993517723</v>
          </cell>
          <cell r="AF257">
            <v>21969.6616971232</v>
          </cell>
          <cell r="AG257">
            <v>63540.945880535524</v>
          </cell>
          <cell r="AH257">
            <v>-109959.88437907631</v>
          </cell>
          <cell r="AJ257">
            <v>53901.986529403832</v>
          </cell>
          <cell r="AK257">
            <v>48328.049205606803</v>
          </cell>
          <cell r="AL257">
            <v>37515.036015050486</v>
          </cell>
          <cell r="AM257">
            <v>102906.22961136792</v>
          </cell>
          <cell r="AN257">
            <v>9238.7342522991821</v>
          </cell>
          <cell r="AO257">
            <v>-149496.10169922328</v>
          </cell>
          <cell r="AP257">
            <v>18648.319513341412</v>
          </cell>
          <cell r="AQ257">
            <v>51893.165428124834</v>
          </cell>
          <cell r="AR257">
            <v>44213.214718882227</v>
          </cell>
          <cell r="AS257">
            <v>27310.12265321915</v>
          </cell>
          <cell r="AT257">
            <v>72576.484831726877</v>
          </cell>
          <cell r="AU257">
            <v>-181893.25263487524</v>
          </cell>
        </row>
        <row r="259">
          <cell r="A259" t="str">
            <v>Endeudamiento externo neto</v>
          </cell>
          <cell r="D259">
            <v>4775.1053420000017</v>
          </cell>
          <cell r="F259">
            <v>6961.315338999997</v>
          </cell>
          <cell r="H259">
            <v>263.9228800000019</v>
          </cell>
          <cell r="J259">
            <v>-405.53137900000002</v>
          </cell>
          <cell r="K259">
            <v>-536.59864099999686</v>
          </cell>
          <cell r="L259">
            <v>-1287.4080250000006</v>
          </cell>
          <cell r="M259">
            <v>-2116.5217269999957</v>
          </cell>
          <cell r="N259">
            <v>-2457.8843290000041</v>
          </cell>
          <cell r="O259">
            <v>-1990.5807930000046</v>
          </cell>
          <cell r="P259">
            <v>-216.2976430000017</v>
          </cell>
          <cell r="Q259">
            <v>-1673.1909640000013</v>
          </cell>
          <cell r="R259">
            <v>-1601.8408960000015</v>
          </cell>
          <cell r="S259">
            <v>-91.585683000001154</v>
          </cell>
          <cell r="T259">
            <v>1509.1507689999999</v>
          </cell>
          <cell r="U259">
            <v>4937.9208730000028</v>
          </cell>
          <cell r="V259">
            <v>7636.2473530000025</v>
          </cell>
          <cell r="W259">
            <v>-2474.5796620000037</v>
          </cell>
          <cell r="X259">
            <v>-2264.5832559999981</v>
          </cell>
          <cell r="Y259">
            <v>-273.12981047487119</v>
          </cell>
          <cell r="Z259">
            <v>1778.9745301095063</v>
          </cell>
          <cell r="AA259">
            <v>-820.72323086814868</v>
          </cell>
          <cell r="AB259">
            <v>793.35733509902639</v>
          </cell>
          <cell r="AC259">
            <v>-606.73106041659776</v>
          </cell>
          <cell r="AD259">
            <v>97.043226986297668</v>
          </cell>
          <cell r="AE259">
            <v>717.01038811902981</v>
          </cell>
          <cell r="AF259">
            <v>2221.9331484201794</v>
          </cell>
          <cell r="AG259">
            <v>1915.1391922750408</v>
          </cell>
          <cell r="AH259">
            <v>1245.6655290929302</v>
          </cell>
          <cell r="AJ259">
            <v>3014.0713471953277</v>
          </cell>
          <cell r="AK259">
            <v>136.65692853273504</v>
          </cell>
          <cell r="AL259">
            <v>2448.0601988435665</v>
          </cell>
          <cell r="AM259">
            <v>26.52443122684781</v>
          </cell>
          <cell r="AN259">
            <v>-963.52275405918772</v>
          </cell>
          <cell r="AO259">
            <v>1137.5448419129098</v>
          </cell>
          <cell r="AP259">
            <v>-737.99180011276621</v>
          </cell>
          <cell r="AQ259">
            <v>9537.1620257445975</v>
          </cell>
          <cell r="AR259">
            <v>-1746.5055092964831</v>
          </cell>
          <cell r="AS259">
            <v>322.97168353539746</v>
          </cell>
          <cell r="AT259">
            <v>-924.99538520099304</v>
          </cell>
          <cell r="AU259">
            <v>2288.4061968755195</v>
          </cell>
        </row>
        <row r="260">
          <cell r="A260" t="str">
            <v>Obligaciones con Gobierno</v>
          </cell>
          <cell r="D260">
            <v>35820.755045999998</v>
          </cell>
          <cell r="F260">
            <v>-32567.356420999997</v>
          </cell>
          <cell r="H260">
            <v>-2718.1735719999997</v>
          </cell>
          <cell r="J260">
            <v>309.94030500000031</v>
          </cell>
          <cell r="K260">
            <v>1609.4072329999997</v>
          </cell>
          <cell r="L260">
            <v>897.25534300000004</v>
          </cell>
          <cell r="M260">
            <v>553.71541099999945</v>
          </cell>
          <cell r="N260">
            <v>538.91266799999971</v>
          </cell>
          <cell r="O260">
            <v>1425.9690839999996</v>
          </cell>
          <cell r="P260">
            <v>371.55766199999994</v>
          </cell>
          <cell r="Q260">
            <v>539.54104699999993</v>
          </cell>
          <cell r="R260">
            <v>1011.6289779999995</v>
          </cell>
          <cell r="S260">
            <v>584.12257099999965</v>
          </cell>
          <cell r="T260">
            <v>875.74551100000031</v>
          </cell>
          <cell r="U260">
            <v>971.94668699999988</v>
          </cell>
          <cell r="V260">
            <v>1063.7277989999995</v>
          </cell>
          <cell r="W260">
            <v>182.08061999999973</v>
          </cell>
          <cell r="X260">
            <v>-259.87990799999943</v>
          </cell>
          <cell r="Y260">
            <v>792.00638978000052</v>
          </cell>
          <cell r="Z260">
            <v>199.56440982000004</v>
          </cell>
          <cell r="AA260">
            <v>621.77168859999983</v>
          </cell>
          <cell r="AB260">
            <v>-418.15048434000073</v>
          </cell>
          <cell r="AC260">
            <v>278.1354757600011</v>
          </cell>
          <cell r="AD260">
            <v>-1782.0024006800004</v>
          </cell>
          <cell r="AE260">
            <v>91.545804499999576</v>
          </cell>
          <cell r="AF260">
            <v>1592.9751246799997</v>
          </cell>
          <cell r="AG260">
            <v>30.363541080000687</v>
          </cell>
          <cell r="AH260">
            <v>-407.8926450200006</v>
          </cell>
          <cell r="AJ260">
            <v>-291.23709098000018</v>
          </cell>
          <cell r="AK260">
            <v>183.11503998000035</v>
          </cell>
          <cell r="AL260">
            <v>872.84037099999932</v>
          </cell>
          <cell r="AM260">
            <v>-918.01913299999933</v>
          </cell>
          <cell r="AN260">
            <v>436.7317739999994</v>
          </cell>
          <cell r="AO260">
            <v>594.60126000000037</v>
          </cell>
          <cell r="AP260">
            <v>-1293.4116559999998</v>
          </cell>
          <cell r="AQ260">
            <v>497.39003000000002</v>
          </cell>
          <cell r="AR260">
            <v>1578.9813590000003</v>
          </cell>
          <cell r="AS260">
            <v>-1670.7231720000009</v>
          </cell>
          <cell r="AT260">
            <v>-64.888157999999294</v>
          </cell>
          <cell r="AU260">
            <v>-116.97753200000034</v>
          </cell>
        </row>
        <row r="261">
          <cell r="A261" t="str">
            <v>Obligaciones con Entidades</v>
          </cell>
          <cell r="D261">
            <v>3320.3092299999989</v>
          </cell>
          <cell r="F261">
            <v>375.21741500000644</v>
          </cell>
          <cell r="H261">
            <v>34903.996567999995</v>
          </cell>
          <cell r="J261">
            <v>-5746.4296449999965</v>
          </cell>
          <cell r="K261">
            <v>3454.0259829999995</v>
          </cell>
          <cell r="L261">
            <v>1706.8508290000027</v>
          </cell>
          <cell r="M261">
            <v>9594.8875070000067</v>
          </cell>
          <cell r="N261">
            <v>9726.5434240000177</v>
          </cell>
          <cell r="O261">
            <v>4740.3423080000066</v>
          </cell>
          <cell r="P261">
            <v>7748.4313930000062</v>
          </cell>
          <cell r="Q261">
            <v>15764.796279000002</v>
          </cell>
          <cell r="R261">
            <v>17633.779106000016</v>
          </cell>
          <cell r="S261">
            <v>18017.337902999992</v>
          </cell>
          <cell r="T261">
            <v>14850.826927000002</v>
          </cell>
          <cell r="U261">
            <v>12698.613326999999</v>
          </cell>
          <cell r="V261">
            <v>13280.388122999997</v>
          </cell>
          <cell r="W261">
            <v>-9506.8161199999886</v>
          </cell>
          <cell r="X261">
            <v>-4286.1715640000039</v>
          </cell>
          <cell r="Y261">
            <v>6239.4134886600077</v>
          </cell>
          <cell r="Z261">
            <v>-4720.7212714600028</v>
          </cell>
          <cell r="AA261">
            <v>5798.4082018199988</v>
          </cell>
          <cell r="AB261">
            <v>10741.227192539998</v>
          </cell>
          <cell r="AC261">
            <v>4567.9459217800031</v>
          </cell>
          <cell r="AD261">
            <v>3331.5840728999901</v>
          </cell>
          <cell r="AE261">
            <v>9383.7509991200204</v>
          </cell>
          <cell r="AF261">
            <v>10586.906292539992</v>
          </cell>
          <cell r="AG261">
            <v>-25340.273886680021</v>
          </cell>
          <cell r="AH261">
            <v>-3026.7667352799763</v>
          </cell>
          <cell r="AJ261">
            <v>-6590.0716550000216</v>
          </cell>
          <cell r="AK261">
            <v>3507.944169000024</v>
          </cell>
          <cell r="AL261">
            <v>2066.845221999989</v>
          </cell>
          <cell r="AM261">
            <v>5477.3576529999991</v>
          </cell>
          <cell r="AN261">
            <v>3656.5960009999981</v>
          </cell>
          <cell r="AO261">
            <v>644.17395299999043</v>
          </cell>
          <cell r="AP261">
            <v>-6032.0054167599883</v>
          </cell>
          <cell r="AQ261">
            <v>2708.1394290199969</v>
          </cell>
          <cell r="AR261">
            <v>3239.9732361799979</v>
          </cell>
          <cell r="AS261">
            <v>1908.360838720022</v>
          </cell>
          <cell r="AT261">
            <v>-5922.8976079400163</v>
          </cell>
          <cell r="AU261">
            <v>-3121.7139908500103</v>
          </cell>
        </row>
        <row r="262">
          <cell r="A262" t="str">
            <v>Obligaciones con el BCCR</v>
          </cell>
          <cell r="D262">
            <v>29023.86146</v>
          </cell>
          <cell r="F262">
            <v>-34413.483333999997</v>
          </cell>
          <cell r="H262">
            <v>-3283.4024590000008</v>
          </cell>
          <cell r="J262">
            <v>-227.34179600000061</v>
          </cell>
          <cell r="K262">
            <v>-346.69971300000179</v>
          </cell>
          <cell r="L262">
            <v>-472.07736599999953</v>
          </cell>
          <cell r="M262">
            <v>-559.79940599999827</v>
          </cell>
          <cell r="N262">
            <v>-820.68374500000027</v>
          </cell>
          <cell r="O262">
            <v>-1370.2350140000017</v>
          </cell>
          <cell r="P262">
            <v>-1470.6341469999988</v>
          </cell>
          <cell r="Q262">
            <v>-1353.3973839999999</v>
          </cell>
          <cell r="R262">
            <v>-1555.3688970000003</v>
          </cell>
          <cell r="S262">
            <v>-1607.4178780000002</v>
          </cell>
          <cell r="T262">
            <v>-1834.9091820000012</v>
          </cell>
          <cell r="U262">
            <v>-2111.3770299999996</v>
          </cell>
          <cell r="V262">
            <v>-1745.263210000001</v>
          </cell>
          <cell r="W262">
            <v>-56.284337999997661</v>
          </cell>
          <cell r="X262">
            <v>-88.906664000001911</v>
          </cell>
          <cell r="Y262">
            <v>-11.13799122959972</v>
          </cell>
          <cell r="Z262">
            <v>-82.617050726999878</v>
          </cell>
          <cell r="AA262">
            <v>-199.43529230240165</v>
          </cell>
          <cell r="AB262">
            <v>-433.79678257519845</v>
          </cell>
          <cell r="AC262">
            <v>-50.217299834001096</v>
          </cell>
          <cell r="AD262">
            <v>-40.025830596800006</v>
          </cell>
          <cell r="AE262">
            <v>-88.616204508998635</v>
          </cell>
          <cell r="AF262">
            <v>-25.030187636401024</v>
          </cell>
          <cell r="AG262">
            <v>-156.69666827199944</v>
          </cell>
          <cell r="AH262">
            <v>-300.64332756079966</v>
          </cell>
          <cell r="AJ262">
            <v>-48.855375119999735</v>
          </cell>
          <cell r="AK262">
            <v>-264.77485481999975</v>
          </cell>
          <cell r="AL262">
            <v>-112.4296170000016</v>
          </cell>
          <cell r="AM262">
            <v>35.628795480000917</v>
          </cell>
          <cell r="AN262">
            <v>499.53994367999985</v>
          </cell>
          <cell r="AO262">
            <v>-519.69519797999965</v>
          </cell>
          <cell r="AP262">
            <v>-37.376414980000845</v>
          </cell>
          <cell r="AQ262">
            <v>-2.8100883999995858</v>
          </cell>
          <cell r="AR262">
            <v>-58.917959379999957</v>
          </cell>
          <cell r="AS262">
            <v>-65.893082399999912</v>
          </cell>
          <cell r="AT262">
            <v>-247.82080250000035</v>
          </cell>
          <cell r="AU262">
            <v>-319.9856506799988</v>
          </cell>
        </row>
        <row r="263">
          <cell r="A263" t="str">
            <v>Obligaciones con Sector finan no bancario</v>
          </cell>
          <cell r="D263">
            <v>2890.1419759999994</v>
          </cell>
          <cell r="F263">
            <v>505.12463799999932</v>
          </cell>
          <cell r="H263">
            <v>-1567.1399009999996</v>
          </cell>
          <cell r="J263">
            <v>-772.45832100000007</v>
          </cell>
          <cell r="K263">
            <v>-866.92629699999998</v>
          </cell>
          <cell r="L263">
            <v>-720.00868399999945</v>
          </cell>
          <cell r="M263">
            <v>-1244.057425</v>
          </cell>
          <cell r="N263">
            <v>-2242.9319490000003</v>
          </cell>
          <cell r="O263">
            <v>-2397.8884670000007</v>
          </cell>
          <cell r="P263">
            <v>-2401.6007160000004</v>
          </cell>
          <cell r="Q263">
            <v>-3357.2527740000005</v>
          </cell>
          <cell r="R263">
            <v>-2390.4526540000002</v>
          </cell>
          <cell r="S263">
            <v>-3545.1220890000004</v>
          </cell>
          <cell r="T263">
            <v>-2988.1550210000005</v>
          </cell>
          <cell r="U263">
            <v>-2314.5779570000004</v>
          </cell>
          <cell r="V263">
            <v>-2255.8383470000003</v>
          </cell>
          <cell r="W263">
            <v>-235.63629000000037</v>
          </cell>
          <cell r="X263">
            <v>-300.6250159999995</v>
          </cell>
          <cell r="Y263">
            <v>-140.40446161999989</v>
          </cell>
          <cell r="Z263">
            <v>-810.50838638000027</v>
          </cell>
          <cell r="AA263">
            <v>523.10924300000011</v>
          </cell>
          <cell r="AB263">
            <v>582.80976999999984</v>
          </cell>
          <cell r="AC263">
            <v>158.61117100000001</v>
          </cell>
          <cell r="AD263">
            <v>-502.82573558000013</v>
          </cell>
          <cell r="AE263">
            <v>2675.2105611200004</v>
          </cell>
          <cell r="AF263">
            <v>71.841369279999526</v>
          </cell>
          <cell r="AG263">
            <v>417.7600875600001</v>
          </cell>
          <cell r="AH263">
            <v>4229.0585485799993</v>
          </cell>
          <cell r="AJ263">
            <v>-4310.8619550000003</v>
          </cell>
          <cell r="AK263">
            <v>-425.57537500000035</v>
          </cell>
          <cell r="AL263">
            <v>947.72719899999993</v>
          </cell>
          <cell r="AM263">
            <v>-616.70343400000002</v>
          </cell>
          <cell r="AN263">
            <v>-829.9051929999996</v>
          </cell>
          <cell r="AO263">
            <v>661.16518499999984</v>
          </cell>
          <cell r="AP263">
            <v>-1876.1350550000002</v>
          </cell>
          <cell r="AQ263">
            <v>-14.30152599999974</v>
          </cell>
          <cell r="AR263">
            <v>292.48619099999996</v>
          </cell>
          <cell r="AS263">
            <v>467.10218299999997</v>
          </cell>
          <cell r="AT263">
            <v>1684.2168449999999</v>
          </cell>
          <cell r="AU263">
            <v>1466.8047159999996</v>
          </cell>
        </row>
        <row r="264">
          <cell r="A264" t="str">
            <v>Obligaciones con sector privado</v>
          </cell>
          <cell r="D264">
            <v>69549.913902</v>
          </cell>
          <cell r="F264">
            <v>9211.7162409999873</v>
          </cell>
          <cell r="H264">
            <v>110546.79366799997</v>
          </cell>
          <cell r="J264">
            <v>-12375.729601999978</v>
          </cell>
          <cell r="K264">
            <v>-20885.029990999959</v>
          </cell>
          <cell r="L264">
            <v>-9045.4372400001157</v>
          </cell>
          <cell r="M264">
            <v>813.7503499998711</v>
          </cell>
          <cell r="N264">
            <v>271.27260400005616</v>
          </cell>
          <cell r="O264">
            <v>24245.043181000045</v>
          </cell>
          <cell r="P264">
            <v>29963.284833000042</v>
          </cell>
          <cell r="Q264">
            <v>28931.28484200011</v>
          </cell>
          <cell r="R264">
            <v>33690.775993000017</v>
          </cell>
          <cell r="S264">
            <v>43334.791427999968</v>
          </cell>
          <cell r="T264">
            <v>66848.187228000024</v>
          </cell>
          <cell r="U264">
            <v>84467.797460000031</v>
          </cell>
          <cell r="V264">
            <v>117962.97589999996</v>
          </cell>
          <cell r="W264">
            <v>27149.975058000069</v>
          </cell>
          <cell r="X264">
            <v>-3644.1899740000954</v>
          </cell>
          <cell r="Y264">
            <v>13736.735942156403</v>
          </cell>
          <cell r="Z264">
            <v>1567.4429243064951</v>
          </cell>
          <cell r="AA264">
            <v>8130.4021854444873</v>
          </cell>
          <cell r="AB264">
            <v>20991.911379341385</v>
          </cell>
          <cell r="AC264">
            <v>17554.06771664077</v>
          </cell>
          <cell r="AD264">
            <v>3926.1595055270009</v>
          </cell>
          <cell r="AE264">
            <v>32658.053345940309</v>
          </cell>
          <cell r="AF264">
            <v>-12617.008830521256</v>
          </cell>
          <cell r="AG264">
            <v>49748.905698274262</v>
          </cell>
          <cell r="AH264">
            <v>-2969.3194220387377</v>
          </cell>
          <cell r="AJ264">
            <v>36985.826657238882</v>
          </cell>
          <cell r="AK264">
            <v>9679.6567404938396</v>
          </cell>
          <cell r="AL264">
            <v>7376.8342342791148</v>
          </cell>
          <cell r="AM264">
            <v>66910.45626675128</v>
          </cell>
          <cell r="AN264">
            <v>-1551.1077107745223</v>
          </cell>
          <cell r="AO264">
            <v>-38076.241736866767</v>
          </cell>
          <cell r="AP264">
            <v>15497.963272730121</v>
          </cell>
          <cell r="AQ264">
            <v>15593.853580549825</v>
          </cell>
          <cell r="AR264">
            <v>24390.913495258661</v>
          </cell>
          <cell r="AS264">
            <v>4406.6360704323743</v>
          </cell>
          <cell r="AT264">
            <v>39599.179562696721</v>
          </cell>
          <cell r="AU264">
            <v>-29387.702463156078</v>
          </cell>
        </row>
        <row r="265">
          <cell r="A265" t="str">
            <v>Pasivos no clasificados</v>
          </cell>
          <cell r="D265">
            <v>-40157.480353999999</v>
          </cell>
          <cell r="F265">
            <v>44827.300895000022</v>
          </cell>
          <cell r="H265">
            <v>-14193.134113000007</v>
          </cell>
          <cell r="J265">
            <v>47357.104610999988</v>
          </cell>
          <cell r="K265">
            <v>51262.770107000018</v>
          </cell>
          <cell r="L265">
            <v>48478.718469000014</v>
          </cell>
          <cell r="M265">
            <v>60449.467467000068</v>
          </cell>
          <cell r="N265">
            <v>62328.082232000015</v>
          </cell>
          <cell r="O265">
            <v>-12653.279627000011</v>
          </cell>
          <cell r="P265">
            <v>-11373.828928000003</v>
          </cell>
          <cell r="Q265">
            <v>1672.9374810000299</v>
          </cell>
          <cell r="R265">
            <v>30333.935403999931</v>
          </cell>
          <cell r="S265">
            <v>32502.967036999995</v>
          </cell>
          <cell r="T265">
            <v>49495.420997000008</v>
          </cell>
          <cell r="U265">
            <v>-26459.442714999983</v>
          </cell>
          <cell r="V265">
            <v>17914.648372999975</v>
          </cell>
          <cell r="W265">
            <v>12508.866700000013</v>
          </cell>
          <cell r="X265">
            <v>19068.876820000005</v>
          </cell>
          <cell r="Y265">
            <v>9074.6483561368659</v>
          </cell>
          <cell r="Z265">
            <v>15463.340376287524</v>
          </cell>
          <cell r="AA265">
            <v>23722.562145091535</v>
          </cell>
          <cell r="AB265">
            <v>-59227.47281746316</v>
          </cell>
          <cell r="AC265">
            <v>-7787.8963349831756</v>
          </cell>
          <cell r="AD265">
            <v>19642.81253779761</v>
          </cell>
          <cell r="AE265">
            <v>28824.978099227359</v>
          </cell>
          <cell r="AF265">
            <v>20138.044780360768</v>
          </cell>
          <cell r="AG265">
            <v>36925.747916298278</v>
          </cell>
          <cell r="AH265">
            <v>-108729.98632684979</v>
          </cell>
          <cell r="AJ265">
            <v>25143.114601069421</v>
          </cell>
          <cell r="AK265">
            <v>35511.026557420148</v>
          </cell>
          <cell r="AL265">
            <v>23915.158406927949</v>
          </cell>
          <cell r="AM265">
            <v>31990.985031909717</v>
          </cell>
          <cell r="AN265">
            <v>7990.4021914529731</v>
          </cell>
          <cell r="AO265">
            <v>-113937.65000428946</v>
          </cell>
          <cell r="AP265">
            <v>13127.276583464234</v>
          </cell>
          <cell r="AQ265">
            <v>23573.731977210206</v>
          </cell>
          <cell r="AR265">
            <v>16516.283906120167</v>
          </cell>
          <cell r="AS265">
            <v>21941.668131931219</v>
          </cell>
          <cell r="AT265">
            <v>38453.690377671213</v>
          </cell>
          <cell r="AU265">
            <v>-152702.0839110646</v>
          </cell>
        </row>
        <row r="268">
          <cell r="A268" t="str">
            <v>CIERRE</v>
          </cell>
          <cell r="D268">
            <v>72.195999999996275</v>
          </cell>
          <cell r="F268">
            <v>-176.4711149999639</v>
          </cell>
          <cell r="H268">
            <v>0.17041399993468076</v>
          </cell>
          <cell r="J268">
            <v>-1.7633790002437308</v>
          </cell>
          <cell r="K268">
            <v>-0.40598599996883422</v>
          </cell>
          <cell r="L268">
            <v>-0.4984549997607246</v>
          </cell>
          <cell r="M268">
            <v>-0.56920299993362278</v>
          </cell>
          <cell r="N268">
            <v>-0.21374500019010156</v>
          </cell>
          <cell r="O268">
            <v>-0.23482999997213483</v>
          </cell>
          <cell r="P268">
            <v>-0.21749400009866804</v>
          </cell>
          <cell r="Q268">
            <v>-0.22896100010257214</v>
          </cell>
          <cell r="R268">
            <v>-0.23772299999836832</v>
          </cell>
          <cell r="S268">
            <v>-0.23574300005566329</v>
          </cell>
          <cell r="T268">
            <v>-0.2160270003369078</v>
          </cell>
          <cell r="U268">
            <v>-0.21803900005761534</v>
          </cell>
          <cell r="V268">
            <v>-0.21803900005761534</v>
          </cell>
          <cell r="W268">
            <v>-2.4268000153824687E-2</v>
          </cell>
          <cell r="X268">
            <v>-5.0607999786734581E-2</v>
          </cell>
          <cell r="Y268">
            <v>9.9860283313319087E-2</v>
          </cell>
          <cell r="Z268">
            <v>-6.7360000684857368E-5</v>
          </cell>
          <cell r="AA268">
            <v>-2.8929626569151878E-4</v>
          </cell>
          <cell r="AB268">
            <v>6.1334576457738876E-5</v>
          </cell>
          <cell r="AC268">
            <v>1.0357634164392948E-3</v>
          </cell>
          <cell r="AD268">
            <v>-1.1069350875914097E-4</v>
          </cell>
          <cell r="AE268">
            <v>-8.5776462219655514E-4</v>
          </cell>
          <cell r="AF268">
            <v>-4.2373244650661945E-4</v>
          </cell>
          <cell r="AG268">
            <v>8.9199608191847801E-4</v>
          </cell>
          <cell r="AH268">
            <v>-2.2417539730668068E-4</v>
          </cell>
          <cell r="AJ268">
            <v>-1.5978934243321419E-5</v>
          </cell>
          <cell r="AK268">
            <v>1.5273690223693848E-7</v>
          </cell>
          <cell r="AL268">
            <v>-1.0349322110414505E-6</v>
          </cell>
          <cell r="AM268">
            <v>2.4072360247373581E-6</v>
          </cell>
          <cell r="AN268">
            <v>1.0924413800239563E-6</v>
          </cell>
          <cell r="AO268">
            <v>-2.2042077034711838E-6</v>
          </cell>
          <cell r="AP268">
            <v>-2.3981556296348572E-8</v>
          </cell>
          <cell r="AQ268">
            <v>-1.5252735465764999E-6</v>
          </cell>
          <cell r="AR268">
            <v>-1.3527460396289825E-7</v>
          </cell>
          <cell r="AS268">
            <v>1.323409378528595E-6</v>
          </cell>
          <cell r="AT268">
            <v>-4.7567300498485565E-7</v>
          </cell>
          <cell r="AU268">
            <v>9.3621201813220978E-7</v>
          </cell>
        </row>
      </sheetData>
      <sheetData sheetId="19" refreshError="1"/>
      <sheetData sheetId="20" refreshError="1"/>
      <sheetData sheetId="21" refreshError="1"/>
      <sheetData sheetId="22" refreshError="1"/>
      <sheetData sheetId="23" refreshError="1"/>
      <sheetData sheetId="24" refreshError="1">
        <row r="2">
          <cell r="C2" t="str">
            <v>DIC.</v>
          </cell>
          <cell r="D2" t="str">
            <v>DIC.</v>
          </cell>
          <cell r="E2" t="str">
            <v>DIC.</v>
          </cell>
          <cell r="F2" t="str">
            <v>DIC.</v>
          </cell>
          <cell r="G2" t="str">
            <v>DIC.</v>
          </cell>
          <cell r="H2" t="str">
            <v>DIC.</v>
          </cell>
          <cell r="I2" t="str">
            <v>DIC.</v>
          </cell>
          <cell r="J2" t="str">
            <v>ENERO</v>
          </cell>
          <cell r="K2" t="str">
            <v>FEBRERO</v>
          </cell>
          <cell r="L2" t="str">
            <v xml:space="preserve">MARZO </v>
          </cell>
          <cell r="M2" t="str">
            <v>ABRIL</v>
          </cell>
          <cell r="N2" t="str">
            <v>MAYO</v>
          </cell>
          <cell r="O2" t="str">
            <v>JUNIO</v>
          </cell>
          <cell r="P2" t="str">
            <v>JULIO</v>
          </cell>
          <cell r="Q2" t="str">
            <v>AGOSTO</v>
          </cell>
          <cell r="R2" t="str">
            <v>SETIEM.</v>
          </cell>
          <cell r="S2" t="str">
            <v>OCTUB.</v>
          </cell>
          <cell r="T2" t="str">
            <v>NOVIEM</v>
          </cell>
          <cell r="U2" t="str">
            <v>DIC.</v>
          </cell>
          <cell r="V2" t="str">
            <v>DIC.</v>
          </cell>
          <cell r="W2" t="str">
            <v>ENE</v>
          </cell>
          <cell r="X2" t="str">
            <v>FEB</v>
          </cell>
          <cell r="Y2" t="str">
            <v>MAR</v>
          </cell>
          <cell r="Z2" t="str">
            <v>ABR</v>
          </cell>
          <cell r="AA2" t="str">
            <v>MAY</v>
          </cell>
          <cell r="AB2" t="str">
            <v>JUN</v>
          </cell>
          <cell r="AC2" t="str">
            <v>JUL</v>
          </cell>
          <cell r="AD2" t="str">
            <v>AGO</v>
          </cell>
          <cell r="AE2" t="str">
            <v>SEP</v>
          </cell>
          <cell r="AF2" t="str">
            <v>OCT</v>
          </cell>
          <cell r="AG2" t="str">
            <v>NOV</v>
          </cell>
          <cell r="AH2" t="str">
            <v>DIC</v>
          </cell>
          <cell r="AI2" t="str">
            <v>DIC.</v>
          </cell>
          <cell r="AJ2" t="str">
            <v>ENE</v>
          </cell>
          <cell r="AK2" t="str">
            <v>FEB</v>
          </cell>
          <cell r="AL2" t="str">
            <v>MAR</v>
          </cell>
          <cell r="AM2" t="str">
            <v>ABR</v>
          </cell>
          <cell r="AN2" t="str">
            <v>MAY</v>
          </cell>
          <cell r="AO2" t="str">
            <v>JUN</v>
          </cell>
          <cell r="AP2" t="str">
            <v>JUL</v>
          </cell>
          <cell r="AQ2" t="str">
            <v>AGO</v>
          </cell>
          <cell r="AR2" t="str">
            <v>SEP</v>
          </cell>
          <cell r="AS2" t="str">
            <v>OCT</v>
          </cell>
          <cell r="AT2" t="str">
            <v>NOV</v>
          </cell>
          <cell r="AU2" t="str">
            <v>DIC</v>
          </cell>
        </row>
        <row r="3">
          <cell r="C3" t="str">
            <v>1993</v>
          </cell>
          <cell r="D3">
            <v>1994</v>
          </cell>
          <cell r="E3">
            <v>1994</v>
          </cell>
          <cell r="F3">
            <v>1995</v>
          </cell>
          <cell r="G3">
            <v>1995</v>
          </cell>
          <cell r="H3">
            <v>1996</v>
          </cell>
          <cell r="I3">
            <v>1996</v>
          </cell>
          <cell r="J3">
            <v>1997</v>
          </cell>
          <cell r="K3">
            <v>1997</v>
          </cell>
          <cell r="L3">
            <v>1997</v>
          </cell>
          <cell r="M3">
            <v>1997</v>
          </cell>
          <cell r="N3">
            <v>1997</v>
          </cell>
          <cell r="O3">
            <v>1997</v>
          </cell>
          <cell r="P3">
            <v>1997</v>
          </cell>
          <cell r="Q3">
            <v>1997</v>
          </cell>
          <cell r="R3">
            <v>1997</v>
          </cell>
          <cell r="S3">
            <v>1997</v>
          </cell>
          <cell r="T3">
            <v>1997</v>
          </cell>
          <cell r="U3">
            <v>1997</v>
          </cell>
          <cell r="V3">
            <v>1997</v>
          </cell>
          <cell r="W3">
            <v>1998</v>
          </cell>
          <cell r="X3">
            <v>1998</v>
          </cell>
          <cell r="Y3">
            <v>1998</v>
          </cell>
          <cell r="Z3">
            <v>1998</v>
          </cell>
          <cell r="AA3">
            <v>1998</v>
          </cell>
          <cell r="AB3">
            <v>1998</v>
          </cell>
          <cell r="AC3">
            <v>1998</v>
          </cell>
          <cell r="AD3">
            <v>1998</v>
          </cell>
          <cell r="AE3">
            <v>1998</v>
          </cell>
          <cell r="AF3">
            <v>1998</v>
          </cell>
          <cell r="AG3">
            <v>1998</v>
          </cell>
          <cell r="AH3">
            <v>1998</v>
          </cell>
          <cell r="AI3">
            <v>1998</v>
          </cell>
          <cell r="AJ3">
            <v>1999</v>
          </cell>
          <cell r="AK3">
            <v>1999</v>
          </cell>
          <cell r="AL3">
            <v>1999</v>
          </cell>
          <cell r="AM3">
            <v>1999</v>
          </cell>
          <cell r="AN3">
            <v>1999</v>
          </cell>
          <cell r="AO3">
            <v>1999</v>
          </cell>
          <cell r="AP3">
            <v>1999</v>
          </cell>
          <cell r="AQ3">
            <v>1999</v>
          </cell>
          <cell r="AR3" t="str">
            <v>1999 (*)</v>
          </cell>
          <cell r="AS3" t="str">
            <v>1999 (*)</v>
          </cell>
          <cell r="AT3">
            <v>1999</v>
          </cell>
          <cell r="AU3">
            <v>1999</v>
          </cell>
        </row>
        <row r="4">
          <cell r="C4" t="str">
            <v>---------</v>
          </cell>
          <cell r="D4" t="str">
            <v>---------</v>
          </cell>
          <cell r="E4" t="str">
            <v>---------</v>
          </cell>
          <cell r="F4" t="str">
            <v>---------</v>
          </cell>
          <cell r="G4" t="str">
            <v>---------</v>
          </cell>
          <cell r="H4" t="str">
            <v>---------</v>
          </cell>
          <cell r="I4" t="str">
            <v>---------</v>
          </cell>
          <cell r="J4" t="str">
            <v>---------</v>
          </cell>
          <cell r="K4" t="str">
            <v>---------</v>
          </cell>
          <cell r="L4" t="str">
            <v>---------</v>
          </cell>
          <cell r="M4" t="str">
            <v>---------</v>
          </cell>
          <cell r="N4" t="str">
            <v>---------</v>
          </cell>
          <cell r="O4" t="str">
            <v>---------</v>
          </cell>
          <cell r="P4" t="str">
            <v>---------</v>
          </cell>
          <cell r="Q4" t="str">
            <v>---------</v>
          </cell>
          <cell r="R4" t="str">
            <v>---------</v>
          </cell>
          <cell r="S4" t="str">
            <v>---------</v>
          </cell>
          <cell r="T4" t="str">
            <v>---------</v>
          </cell>
          <cell r="U4" t="str">
            <v>---------</v>
          </cell>
          <cell r="V4" t="str">
            <v>---------</v>
          </cell>
          <cell r="W4" t="str">
            <v>---------</v>
          </cell>
          <cell r="X4" t="str">
            <v>---------</v>
          </cell>
          <cell r="Y4" t="str">
            <v>---------</v>
          </cell>
          <cell r="Z4" t="str">
            <v>---------</v>
          </cell>
          <cell r="AA4" t="str">
            <v>---------</v>
          </cell>
          <cell r="AB4" t="str">
            <v>---------</v>
          </cell>
          <cell r="AC4" t="str">
            <v>---------</v>
          </cell>
          <cell r="AD4" t="str">
            <v>---------</v>
          </cell>
          <cell r="AE4" t="str">
            <v>---------</v>
          </cell>
          <cell r="AF4" t="str">
            <v>---------</v>
          </cell>
          <cell r="AG4" t="str">
            <v>---------</v>
          </cell>
          <cell r="AH4" t="str">
            <v>---------</v>
          </cell>
          <cell r="AI4" t="str">
            <v>---------</v>
          </cell>
          <cell r="AJ4" t="str">
            <v>---------</v>
          </cell>
          <cell r="AK4" t="str">
            <v>---------</v>
          </cell>
          <cell r="AL4" t="str">
            <v>---------</v>
          </cell>
          <cell r="AM4" t="str">
            <v>---------</v>
          </cell>
          <cell r="AN4" t="str">
            <v>---------</v>
          </cell>
          <cell r="AO4" t="str">
            <v>---------</v>
          </cell>
          <cell r="AP4" t="str">
            <v>---------</v>
          </cell>
          <cell r="AQ4" t="str">
            <v>---------</v>
          </cell>
          <cell r="AR4" t="str">
            <v>---------</v>
          </cell>
          <cell r="AS4" t="str">
            <v>---------</v>
          </cell>
          <cell r="AT4" t="str">
            <v>---------</v>
          </cell>
          <cell r="AU4" t="str">
            <v>---------</v>
          </cell>
        </row>
        <row r="5">
          <cell r="A5" t="str">
            <v>Tipo de cambio:</v>
          </cell>
          <cell r="C5">
            <v>157.09</v>
          </cell>
          <cell r="D5">
            <v>157.09</v>
          </cell>
          <cell r="E5">
            <v>179.8</v>
          </cell>
          <cell r="F5">
            <v>179.8</v>
          </cell>
          <cell r="G5">
            <v>207.72</v>
          </cell>
          <cell r="H5">
            <v>207.72</v>
          </cell>
          <cell r="I5">
            <v>232</v>
          </cell>
          <cell r="J5">
            <v>232</v>
          </cell>
          <cell r="K5">
            <v>232</v>
          </cell>
          <cell r="L5">
            <v>232</v>
          </cell>
          <cell r="M5">
            <v>232</v>
          </cell>
          <cell r="N5">
            <v>232</v>
          </cell>
          <cell r="O5">
            <v>232</v>
          </cell>
          <cell r="P5">
            <v>232</v>
          </cell>
          <cell r="Q5">
            <v>232</v>
          </cell>
          <cell r="R5">
            <v>232</v>
          </cell>
          <cell r="S5">
            <v>232</v>
          </cell>
          <cell r="T5">
            <v>232</v>
          </cell>
          <cell r="U5">
            <v>232</v>
          </cell>
          <cell r="V5">
            <v>257.14</v>
          </cell>
          <cell r="W5">
            <v>257.14</v>
          </cell>
          <cell r="X5">
            <v>257.14</v>
          </cell>
          <cell r="Y5">
            <v>257.14</v>
          </cell>
          <cell r="Z5">
            <v>257.14</v>
          </cell>
          <cell r="AA5">
            <v>257.14</v>
          </cell>
          <cell r="AB5">
            <v>257.14</v>
          </cell>
          <cell r="AC5">
            <v>257.14</v>
          </cell>
          <cell r="AD5">
            <v>257.14</v>
          </cell>
          <cell r="AE5">
            <v>257.14</v>
          </cell>
          <cell r="AF5">
            <v>257.14</v>
          </cell>
          <cell r="AG5">
            <v>257.14</v>
          </cell>
          <cell r="AH5">
            <v>257.14</v>
          </cell>
          <cell r="AI5">
            <v>282</v>
          </cell>
          <cell r="AJ5">
            <v>282</v>
          </cell>
          <cell r="AK5">
            <v>282</v>
          </cell>
          <cell r="AL5">
            <v>282</v>
          </cell>
          <cell r="AM5">
            <v>282</v>
          </cell>
          <cell r="AN5">
            <v>282</v>
          </cell>
          <cell r="AO5">
            <v>282</v>
          </cell>
          <cell r="AP5">
            <v>282</v>
          </cell>
          <cell r="AQ5">
            <v>282</v>
          </cell>
          <cell r="AR5">
            <v>282</v>
          </cell>
          <cell r="AS5">
            <v>282</v>
          </cell>
          <cell r="AT5">
            <v>282</v>
          </cell>
          <cell r="AU5">
            <v>282</v>
          </cell>
        </row>
        <row r="6">
          <cell r="C6" t="str">
            <v>---------</v>
          </cell>
          <cell r="D6" t="str">
            <v>---------</v>
          </cell>
          <cell r="E6" t="str">
            <v>---------</v>
          </cell>
          <cell r="F6" t="str">
            <v>---------</v>
          </cell>
          <cell r="G6" t="str">
            <v>---------</v>
          </cell>
          <cell r="H6" t="str">
            <v>---------</v>
          </cell>
          <cell r="I6" t="str">
            <v>---------</v>
          </cell>
          <cell r="J6" t="str">
            <v>---------</v>
          </cell>
          <cell r="K6" t="str">
            <v>---------</v>
          </cell>
          <cell r="L6" t="str">
            <v>---------</v>
          </cell>
          <cell r="M6" t="str">
            <v>---------</v>
          </cell>
          <cell r="N6" t="str">
            <v>---------</v>
          </cell>
          <cell r="O6" t="str">
            <v>---------</v>
          </cell>
          <cell r="P6" t="str">
            <v>---------</v>
          </cell>
          <cell r="Q6" t="str">
            <v>---------</v>
          </cell>
          <cell r="R6" t="str">
            <v>---------</v>
          </cell>
          <cell r="S6" t="str">
            <v>---------</v>
          </cell>
          <cell r="T6" t="str">
            <v>---------</v>
          </cell>
          <cell r="U6" t="str">
            <v>---------</v>
          </cell>
          <cell r="V6" t="str">
            <v>---------</v>
          </cell>
          <cell r="W6" t="str">
            <v>---------</v>
          </cell>
          <cell r="X6" t="str">
            <v>---------</v>
          </cell>
          <cell r="Y6" t="str">
            <v>---------</v>
          </cell>
          <cell r="Z6" t="str">
            <v>---------</v>
          </cell>
          <cell r="AA6" t="str">
            <v>---------</v>
          </cell>
          <cell r="AB6" t="str">
            <v>---------</v>
          </cell>
          <cell r="AC6" t="str">
            <v>---------</v>
          </cell>
          <cell r="AD6" t="str">
            <v>---------</v>
          </cell>
          <cell r="AE6" t="str">
            <v>---------</v>
          </cell>
          <cell r="AF6" t="str">
            <v>---------</v>
          </cell>
          <cell r="AG6" t="str">
            <v>---------</v>
          </cell>
          <cell r="AH6" t="str">
            <v>---------</v>
          </cell>
          <cell r="AI6" t="str">
            <v>---------</v>
          </cell>
          <cell r="AJ6" t="str">
            <v>---------</v>
          </cell>
          <cell r="AK6" t="str">
            <v>---------</v>
          </cell>
          <cell r="AL6" t="str">
            <v>---------</v>
          </cell>
          <cell r="AM6" t="str">
            <v>---------</v>
          </cell>
          <cell r="AN6" t="str">
            <v>---------</v>
          </cell>
          <cell r="AO6" t="str">
            <v>---------</v>
          </cell>
          <cell r="AP6" t="str">
            <v>---------</v>
          </cell>
          <cell r="AQ6" t="str">
            <v>---------</v>
          </cell>
          <cell r="AR6" t="str">
            <v>---------</v>
          </cell>
          <cell r="AS6" t="str">
            <v>---------</v>
          </cell>
          <cell r="AT6" t="str">
            <v>---------</v>
          </cell>
          <cell r="AU6" t="str">
            <v>---------</v>
          </cell>
        </row>
        <row r="7">
          <cell r="A7" t="str">
            <v>SISTEMA BANCARIO NACIONAL</v>
          </cell>
        </row>
        <row r="8">
          <cell r="A8" t="str">
            <v>RIQUEZA FINANCIERA TOTAL</v>
          </cell>
        </row>
        <row r="9">
          <cell r="A9" t="str">
            <v>Saldos en millones</v>
          </cell>
        </row>
        <row r="11">
          <cell r="A11" t="str">
            <v>TOTAL RIQUEZA FINANCIERA</v>
          </cell>
          <cell r="C11">
            <v>557119.73185800004</v>
          </cell>
          <cell r="D11">
            <v>794505.84307100007</v>
          </cell>
          <cell r="E11">
            <v>919823.28051300009</v>
          </cell>
          <cell r="F11">
            <v>989810.89405299991</v>
          </cell>
          <cell r="G11">
            <v>1157132.8549530001</v>
          </cell>
          <cell r="H11">
            <v>1239702.675328</v>
          </cell>
          <cell r="I11">
            <v>1273963.605008</v>
          </cell>
          <cell r="J11" t="e">
            <v>#DIV/0!</v>
          </cell>
          <cell r="K11" t="e">
            <v>#DIV/0!</v>
          </cell>
          <cell r="L11" t="e">
            <v>#DIV/0!</v>
          </cell>
          <cell r="M11">
            <v>1336706.1381900001</v>
          </cell>
          <cell r="N11" t="e">
            <v>#DIV/0!</v>
          </cell>
          <cell r="O11" t="e">
            <v>#DIV/0!</v>
          </cell>
          <cell r="P11">
            <v>1379828.706644</v>
          </cell>
          <cell r="Q11">
            <v>1406150.1170060001</v>
          </cell>
          <cell r="R11">
            <v>1410020.8380460001</v>
          </cell>
          <cell r="S11">
            <v>1423471.5415399999</v>
          </cell>
          <cell r="T11">
            <v>1454456.457648</v>
          </cell>
          <cell r="U11">
            <v>1517587.1783</v>
          </cell>
          <cell r="V11">
            <v>1557338.8253540001</v>
          </cell>
          <cell r="W11">
            <v>1629678.0837300001</v>
          </cell>
          <cell r="X11">
            <v>1643356.5947159999</v>
          </cell>
          <cell r="Y11">
            <v>1705839.7884169021</v>
          </cell>
          <cell r="Z11">
            <v>1705385.9238952699</v>
          </cell>
          <cell r="AA11">
            <v>1713241.9045614114</v>
          </cell>
          <cell r="AB11">
            <v>1746766.8965153245</v>
          </cell>
          <cell r="AC11">
            <v>1751030.7623441808</v>
          </cell>
          <cell r="AD11">
            <v>1760257.3496333405</v>
          </cell>
          <cell r="AE11">
            <v>1800756.5201288434</v>
          </cell>
          <cell r="AF11">
            <v>1833937.4257936743</v>
          </cell>
          <cell r="AG11">
            <v>1896213.78492599</v>
          </cell>
          <cell r="AH11">
            <v>1919195.940624397</v>
          </cell>
          <cell r="AI11">
            <v>1965449.7981163845</v>
          </cell>
          <cell r="AJ11">
            <v>2024349.4294644319</v>
          </cell>
          <cell r="AK11">
            <v>2079800.2649616806</v>
          </cell>
          <cell r="AL11">
            <v>2130931.2660324695</v>
          </cell>
          <cell r="AM11">
            <v>2218438.8899279432</v>
          </cell>
          <cell r="AN11">
            <v>2231151.8487773919</v>
          </cell>
          <cell r="AO11">
            <v>2212298.8663793691</v>
          </cell>
          <cell r="AP11">
            <v>2234562.0561692752</v>
          </cell>
          <cell r="AQ11">
            <v>2261888.3613344971</v>
          </cell>
          <cell r="AR11">
            <v>2278679.2282380336</v>
          </cell>
          <cell r="AS11">
            <v>2284908.9798127683</v>
          </cell>
          <cell r="AT11">
            <v>2338665.8942800513</v>
          </cell>
          <cell r="AU11">
            <v>2334008.7148586717</v>
          </cell>
        </row>
        <row r="12">
          <cell r="A12" t="str">
            <v xml:space="preserve"> ----------------------------------------------------------</v>
          </cell>
        </row>
        <row r="13">
          <cell r="A13" t="str">
            <v xml:space="preserve">   En moneda nacional:</v>
          </cell>
          <cell r="C13">
            <v>421791.37814000004</v>
          </cell>
          <cell r="D13">
            <v>644601.42243300006</v>
          </cell>
          <cell r="E13">
            <v>733307.82243300008</v>
          </cell>
          <cell r="F13">
            <v>783939.49849299993</v>
          </cell>
          <cell r="G13">
            <v>912777.17469300004</v>
          </cell>
          <cell r="H13">
            <v>957139.913008</v>
          </cell>
          <cell r="I13">
            <v>958372.61300799996</v>
          </cell>
          <cell r="J13" t="e">
            <v>#DIV/0!</v>
          </cell>
          <cell r="K13" t="e">
            <v>#DIV/0!</v>
          </cell>
          <cell r="L13" t="e">
            <v>#DIV/0!</v>
          </cell>
          <cell r="M13">
            <v>1007715.6381900001</v>
          </cell>
          <cell r="N13" t="e">
            <v>#DIV/0!</v>
          </cell>
          <cell r="O13" t="e">
            <v>#DIV/0!</v>
          </cell>
          <cell r="P13">
            <v>1035230.5922440001</v>
          </cell>
          <cell r="Q13">
            <v>1053490.5130060001</v>
          </cell>
          <cell r="R13">
            <v>1062268.9852460001</v>
          </cell>
          <cell r="S13">
            <v>1068421.73434</v>
          </cell>
          <cell r="T13">
            <v>1098790.2264479999</v>
          </cell>
          <cell r="U13">
            <v>1150746.2031</v>
          </cell>
          <cell r="V13">
            <v>1150746.2031</v>
          </cell>
          <cell r="W13">
            <v>1208944.2014600001</v>
          </cell>
          <cell r="X13">
            <v>1222637.112286</v>
          </cell>
          <cell r="Y13">
            <v>1274263.4559370303</v>
          </cell>
          <cell r="Z13">
            <v>1271257.5695326678</v>
          </cell>
          <cell r="AA13">
            <v>1287924.4896733393</v>
          </cell>
          <cell r="AB13">
            <v>1308347.8217506313</v>
          </cell>
          <cell r="AC13">
            <v>1296954.4130164231</v>
          </cell>
          <cell r="AD13">
            <v>1302309.4781181184</v>
          </cell>
          <cell r="AE13">
            <v>1320776.49111309</v>
          </cell>
          <cell r="AF13">
            <v>1351445.3744871174</v>
          </cell>
          <cell r="AG13">
            <v>1412113.336971798</v>
          </cell>
          <cell r="AH13">
            <v>1440768.0679176538</v>
          </cell>
          <cell r="AI13">
            <v>1440768.0679176538</v>
          </cell>
          <cell r="AJ13">
            <v>1469502.8882540027</v>
          </cell>
          <cell r="AK13">
            <v>1513150.1234443975</v>
          </cell>
          <cell r="AL13">
            <v>1546119.4066797271</v>
          </cell>
          <cell r="AM13">
            <v>1583653.4861853297</v>
          </cell>
          <cell r="AN13">
            <v>1594335.925306913</v>
          </cell>
          <cell r="AO13">
            <v>1618104.4489480765</v>
          </cell>
          <cell r="AP13">
            <v>1629012.7453032923</v>
          </cell>
          <cell r="AQ13">
            <v>1653928.7657851251</v>
          </cell>
          <cell r="AR13">
            <v>1663714.0794745227</v>
          </cell>
          <cell r="AS13">
            <v>1670671.7093933248</v>
          </cell>
          <cell r="AT13">
            <v>1726241.7784641911</v>
          </cell>
          <cell r="AU13">
            <v>1728715.8235601978</v>
          </cell>
        </row>
        <row r="14">
          <cell r="A14" t="str">
            <v xml:space="preserve">   En moneda extranjera (en $):</v>
          </cell>
          <cell r="C14">
            <v>861.47019999999998</v>
          </cell>
          <cell r="D14">
            <v>954.25819999999987</v>
          </cell>
          <cell r="E14">
            <v>1037.3496</v>
          </cell>
          <cell r="F14">
            <v>1145.0021999999999</v>
          </cell>
          <cell r="G14">
            <v>1176.3705</v>
          </cell>
          <cell r="H14">
            <v>1360.306</v>
          </cell>
          <cell r="I14">
            <v>1360.306</v>
          </cell>
          <cell r="J14">
            <v>1364.1343999999999</v>
          </cell>
          <cell r="K14">
            <v>1349.9495999999999</v>
          </cell>
          <cell r="L14">
            <v>1387.1750000000002</v>
          </cell>
          <cell r="M14">
            <v>1418.0625</v>
          </cell>
          <cell r="N14">
            <v>1427.4376999999999</v>
          </cell>
          <cell r="O14">
            <v>1445.2423999999999</v>
          </cell>
          <cell r="P14">
            <v>1485.3366999999998</v>
          </cell>
          <cell r="Q14">
            <v>1520.0845000000002</v>
          </cell>
          <cell r="R14">
            <v>1498.9304000000002</v>
          </cell>
          <cell r="S14">
            <v>1530.3870999999999</v>
          </cell>
          <cell r="T14">
            <v>1533.0440999999998</v>
          </cell>
          <cell r="U14">
            <v>1581.2111</v>
          </cell>
          <cell r="V14">
            <v>1581.2111</v>
          </cell>
          <cell r="W14">
            <v>1636.2055</v>
          </cell>
          <cell r="X14">
            <v>1636.1495</v>
          </cell>
          <cell r="Y14">
            <v>1678.3710526556422</v>
          </cell>
          <cell r="Z14">
            <v>1688.2956924733694</v>
          </cell>
          <cell r="AA14">
            <v>1654.0305471263594</v>
          </cell>
          <cell r="AB14">
            <v>1704.9820127739486</v>
          </cell>
          <cell r="AC14">
            <v>1765.8720904089512</v>
          </cell>
          <cell r="AD14">
            <v>1780.9281773167231</v>
          </cell>
          <cell r="AE14">
            <v>1866.6097418361724</v>
          </cell>
          <cell r="AF14">
            <v>1876.3788259568987</v>
          </cell>
          <cell r="AG14">
            <v>1882.6337713082062</v>
          </cell>
          <cell r="AH14">
            <v>1860.5735113430162</v>
          </cell>
          <cell r="AI14">
            <v>1860.5735113430162</v>
          </cell>
          <cell r="AJ14">
            <v>1967.5409262781186</v>
          </cell>
          <cell r="AK14">
            <v>2009.3976649549049</v>
          </cell>
          <cell r="AL14">
            <v>2073.8009196905755</v>
          </cell>
          <cell r="AM14">
            <v>2251.012070009268</v>
          </cell>
          <cell r="AN14">
            <v>2258.2124945761675</v>
          </cell>
          <cell r="AO14">
            <v>2107.0724022386257</v>
          </cell>
          <cell r="AP14">
            <v>2147.337981794265</v>
          </cell>
          <cell r="AQ14">
            <v>2155.8850906006101</v>
          </cell>
          <cell r="AR14">
            <v>2180.7274778847909</v>
          </cell>
          <cell r="AS14">
            <v>2178.1463490051183</v>
          </cell>
          <cell r="AT14">
            <v>2171.7167227512768</v>
          </cell>
          <cell r="AU14">
            <v>2146.42869254778</v>
          </cell>
        </row>
        <row r="17">
          <cell r="A17" t="str">
            <v>MEDIO CIRCULANTE</v>
          </cell>
          <cell r="C17">
            <v>126233.42170599999</v>
          </cell>
          <cell r="D17">
            <v>165161.46315299999</v>
          </cell>
          <cell r="E17">
            <v>165161.46315299999</v>
          </cell>
          <cell r="F17">
            <v>167411.60144699999</v>
          </cell>
          <cell r="G17">
            <v>167411.53484700003</v>
          </cell>
          <cell r="H17">
            <v>196675.950059</v>
          </cell>
          <cell r="I17">
            <v>196675.950059</v>
          </cell>
          <cell r="J17">
            <v>155863.16023199999</v>
          </cell>
          <cell r="K17">
            <v>168191.80769300001</v>
          </cell>
          <cell r="L17">
            <v>174262.87505899998</v>
          </cell>
          <cell r="M17">
            <v>187582.85198400001</v>
          </cell>
          <cell r="N17">
            <v>196880.63204200001</v>
          </cell>
          <cell r="O17">
            <v>196282.89499999999</v>
          </cell>
          <cell r="P17">
            <v>201107.536291</v>
          </cell>
          <cell r="Q17">
            <v>204235.294673</v>
          </cell>
          <cell r="R17">
            <v>202506.96082100002</v>
          </cell>
          <cell r="S17">
            <v>211051.88981600001</v>
          </cell>
          <cell r="T17">
            <v>234332.454276</v>
          </cell>
          <cell r="U17">
            <v>281688.15738400002</v>
          </cell>
          <cell r="V17">
            <v>281688.15738400002</v>
          </cell>
          <cell r="W17">
            <v>256240.796004</v>
          </cell>
          <cell r="X17">
            <v>250386.24887400001</v>
          </cell>
          <cell r="Y17">
            <v>252377.19698584999</v>
          </cell>
          <cell r="Z17">
            <v>247596.32699164</v>
          </cell>
          <cell r="AA17">
            <v>247694.05290476998</v>
          </cell>
          <cell r="AB17">
            <v>242669.1426587</v>
          </cell>
          <cell r="AC17">
            <v>243900.86476557999</v>
          </cell>
          <cell r="AD17">
            <v>240906.43683164997</v>
          </cell>
          <cell r="AE17">
            <v>246611.75943214999</v>
          </cell>
          <cell r="AF17">
            <v>252890.91767385</v>
          </cell>
          <cell r="AG17">
            <v>273034.15336388</v>
          </cell>
          <cell r="AH17">
            <v>316310.15679959999</v>
          </cell>
          <cell r="AI17">
            <v>316310.15679959999</v>
          </cell>
          <cell r="AJ17">
            <v>293283.38116201997</v>
          </cell>
          <cell r="AK17">
            <v>295002.83449339005</v>
          </cell>
          <cell r="AL17">
            <v>282512.58265704999</v>
          </cell>
          <cell r="AM17">
            <v>288616.92888145999</v>
          </cell>
          <cell r="AN17">
            <v>286499.92265290004</v>
          </cell>
          <cell r="AO17">
            <v>286265.37355740002</v>
          </cell>
          <cell r="AP17">
            <v>294665.98199200002</v>
          </cell>
          <cell r="AQ17">
            <v>297101.78447038005</v>
          </cell>
          <cell r="AR17">
            <v>304838.88991899998</v>
          </cell>
          <cell r="AS17">
            <v>323105.26780849998</v>
          </cell>
          <cell r="AT17">
            <v>358137.75431770005</v>
          </cell>
          <cell r="AU17">
            <v>381576.80462825001</v>
          </cell>
        </row>
        <row r="19">
          <cell r="A19" t="str">
            <v>Numerario en Poder del Público</v>
          </cell>
          <cell r="C19">
            <v>53696.272599999997</v>
          </cell>
          <cell r="D19">
            <v>73068.218900000007</v>
          </cell>
          <cell r="E19">
            <v>73068.218900000007</v>
          </cell>
          <cell r="F19">
            <v>80667.872700000007</v>
          </cell>
          <cell r="G19">
            <v>80667.872700000007</v>
          </cell>
          <cell r="H19">
            <v>91743.196599999996</v>
          </cell>
          <cell r="I19">
            <v>91743.196599999996</v>
          </cell>
          <cell r="J19">
            <v>80650.385399999999</v>
          </cell>
          <cell r="K19">
            <v>80593.680900000007</v>
          </cell>
          <cell r="L19">
            <v>78669.5049</v>
          </cell>
          <cell r="M19">
            <v>79119.371099999989</v>
          </cell>
          <cell r="N19">
            <v>79825.696100000001</v>
          </cell>
          <cell r="O19">
            <v>76587.113499999992</v>
          </cell>
          <cell r="P19">
            <v>77475.1783</v>
          </cell>
          <cell r="Q19">
            <v>81026.564399999988</v>
          </cell>
          <cell r="R19">
            <v>77588.65310000001</v>
          </cell>
          <cell r="S19">
            <v>83700.949200000003</v>
          </cell>
          <cell r="T19">
            <v>92631.541100000002</v>
          </cell>
          <cell r="U19">
            <v>106814.88740000001</v>
          </cell>
          <cell r="V19">
            <v>106814.88740000001</v>
          </cell>
          <cell r="W19">
            <v>100873.5209</v>
          </cell>
          <cell r="X19">
            <v>98129.2255</v>
          </cell>
          <cell r="Y19">
            <v>92583.344433849998</v>
          </cell>
          <cell r="Z19">
            <v>95994.370574850007</v>
          </cell>
          <cell r="AA19">
            <v>95367.399720149988</v>
          </cell>
          <cell r="AB19">
            <v>89263.798483149993</v>
          </cell>
          <cell r="AC19">
            <v>92043.951789149985</v>
          </cell>
          <cell r="AD19">
            <v>89844.951084649991</v>
          </cell>
          <cell r="AE19">
            <v>88714.540307150004</v>
          </cell>
          <cell r="AF19">
            <v>95453.821664899995</v>
          </cell>
          <cell r="AG19">
            <v>97564.69670890001</v>
          </cell>
          <cell r="AH19">
            <v>124166.60307590001</v>
          </cell>
          <cell r="AI19">
            <v>124166.60307590001</v>
          </cell>
          <cell r="AJ19">
            <v>109090.44898189999</v>
          </cell>
          <cell r="AK19">
            <v>107027.30082939999</v>
          </cell>
          <cell r="AL19">
            <v>108002.13425239999</v>
          </cell>
          <cell r="AM19">
            <v>106011.46355489999</v>
          </cell>
          <cell r="AN19">
            <v>100986.35409990001</v>
          </cell>
          <cell r="AO19">
            <v>97256.818038400015</v>
          </cell>
          <cell r="AP19">
            <v>103558.429156</v>
          </cell>
          <cell r="AQ19">
            <v>98260.429014000023</v>
          </cell>
          <cell r="AR19">
            <v>101087.90062</v>
          </cell>
          <cell r="AS19">
            <v>107503.95507949998</v>
          </cell>
          <cell r="AT19">
            <v>114000.63733100001</v>
          </cell>
          <cell r="AU19">
            <v>144264.32780324999</v>
          </cell>
        </row>
        <row r="20">
          <cell r="A20" t="str">
            <v>Cuenta Corriente</v>
          </cell>
          <cell r="C20">
            <v>72537.149105999997</v>
          </cell>
          <cell r="D20">
            <v>92093.244252999997</v>
          </cell>
          <cell r="E20">
            <v>92093.244252999997</v>
          </cell>
          <cell r="F20">
            <v>86743.728747000001</v>
          </cell>
          <cell r="G20">
            <v>86743.66214700001</v>
          </cell>
          <cell r="H20">
            <v>104932.753459</v>
          </cell>
          <cell r="I20">
            <v>104932.753459</v>
          </cell>
          <cell r="J20">
            <v>75212.77483200001</v>
          </cell>
          <cell r="K20">
            <v>87598.126793000003</v>
          </cell>
          <cell r="L20">
            <v>95593.370158999998</v>
          </cell>
          <cell r="M20">
            <v>108463.480884</v>
          </cell>
          <cell r="N20">
            <v>117054.935942</v>
          </cell>
          <cell r="O20">
            <v>119695.7815</v>
          </cell>
          <cell r="P20">
            <v>123632.357991</v>
          </cell>
          <cell r="Q20">
            <v>123208.73027299999</v>
          </cell>
          <cell r="R20">
            <v>124918.307721</v>
          </cell>
          <cell r="S20">
            <v>127350.94061599999</v>
          </cell>
          <cell r="T20">
            <v>141700.913176</v>
          </cell>
          <cell r="U20">
            <v>174873.26998400001</v>
          </cell>
          <cell r="V20">
            <v>174873.26998400001</v>
          </cell>
          <cell r="W20">
            <v>155367.275104</v>
          </cell>
          <cell r="X20">
            <v>152257.02337400001</v>
          </cell>
          <cell r="Y20">
            <v>159793.852552</v>
          </cell>
          <cell r="Z20">
            <v>151601.95641679</v>
          </cell>
          <cell r="AA20">
            <v>152326.65318461999</v>
          </cell>
          <cell r="AB20">
            <v>153405.34417555001</v>
          </cell>
          <cell r="AC20">
            <v>151856.91297643</v>
          </cell>
          <cell r="AD20">
            <v>151061.485747</v>
          </cell>
          <cell r="AE20">
            <v>157897.219125</v>
          </cell>
          <cell r="AF20">
            <v>157437.09600895</v>
          </cell>
          <cell r="AG20">
            <v>175469.45665497999</v>
          </cell>
          <cell r="AH20">
            <v>192143.5537237</v>
          </cell>
          <cell r="AI20">
            <v>192143.5537237</v>
          </cell>
          <cell r="AJ20">
            <v>184192.93218012</v>
          </cell>
          <cell r="AK20">
            <v>187975.53366399003</v>
          </cell>
          <cell r="AL20">
            <v>174510.44840465003</v>
          </cell>
          <cell r="AM20">
            <v>182605.46532656002</v>
          </cell>
          <cell r="AN20">
            <v>185513.56855300002</v>
          </cell>
          <cell r="AO20">
            <v>189008.55551900002</v>
          </cell>
          <cell r="AP20">
            <v>191107.55283600002</v>
          </cell>
          <cell r="AQ20">
            <v>198841.35545638</v>
          </cell>
          <cell r="AR20">
            <v>203750.98929900001</v>
          </cell>
          <cell r="AS20">
            <v>215601.312729</v>
          </cell>
          <cell r="AT20">
            <v>244137.11698670001</v>
          </cell>
          <cell r="AU20">
            <v>237312.47682500002</v>
          </cell>
        </row>
        <row r="21">
          <cell r="A21" t="str">
            <v xml:space="preserve">   Sector Privado</v>
          </cell>
          <cell r="C21">
            <v>57861.353499999997</v>
          </cell>
          <cell r="D21">
            <v>70860.933499999999</v>
          </cell>
          <cell r="E21">
            <v>70860.933499999999</v>
          </cell>
          <cell r="F21">
            <v>68927.3</v>
          </cell>
          <cell r="G21">
            <v>68927.254400000005</v>
          </cell>
          <cell r="H21">
            <v>83679.686799999996</v>
          </cell>
          <cell r="I21">
            <v>83679.686799999996</v>
          </cell>
          <cell r="J21">
            <v>60506.513400000003</v>
          </cell>
          <cell r="K21">
            <v>66761.551200000002</v>
          </cell>
          <cell r="L21">
            <v>79577.066300000006</v>
          </cell>
          <cell r="M21">
            <v>87015.945399999997</v>
          </cell>
          <cell r="N21">
            <v>96260.470199999996</v>
          </cell>
          <cell r="O21">
            <v>101530.4489</v>
          </cell>
          <cell r="P21">
            <v>104876.0187</v>
          </cell>
          <cell r="Q21">
            <v>101186.8958</v>
          </cell>
          <cell r="R21">
            <v>106084.8711</v>
          </cell>
          <cell r="S21">
            <v>108719.1452</v>
          </cell>
          <cell r="T21">
            <v>118686.01850000001</v>
          </cell>
          <cell r="U21">
            <v>145647.9578</v>
          </cell>
          <cell r="V21">
            <v>145647.9578</v>
          </cell>
          <cell r="W21">
            <v>129395.5724</v>
          </cell>
          <cell r="X21">
            <v>129354.19349999999</v>
          </cell>
          <cell r="Y21">
            <v>131117.78925900001</v>
          </cell>
          <cell r="Z21">
            <v>130978.79606979</v>
          </cell>
          <cell r="AA21">
            <v>129285.88820062</v>
          </cell>
          <cell r="AB21">
            <v>126159.87123555</v>
          </cell>
          <cell r="AC21">
            <v>125927.06241543</v>
          </cell>
          <cell r="AD21">
            <v>125112.43589399999</v>
          </cell>
          <cell r="AE21">
            <v>130630.410701</v>
          </cell>
          <cell r="AF21">
            <v>125703.54180794999</v>
          </cell>
          <cell r="AG21">
            <v>145035.84172898001</v>
          </cell>
          <cell r="AH21">
            <v>161472.00984469999</v>
          </cell>
          <cell r="AI21">
            <v>161472.00984469999</v>
          </cell>
          <cell r="AJ21">
            <v>156430.02930112</v>
          </cell>
          <cell r="AK21">
            <v>159828.68494999001</v>
          </cell>
          <cell r="AL21">
            <v>144365.92441065001</v>
          </cell>
          <cell r="AM21">
            <v>153478.90382156</v>
          </cell>
          <cell r="AN21">
            <v>155315.339033</v>
          </cell>
          <cell r="AO21">
            <v>159504.331806</v>
          </cell>
          <cell r="AP21">
            <v>162930.72029900001</v>
          </cell>
          <cell r="AQ21">
            <v>171317.83315738</v>
          </cell>
          <cell r="AR21">
            <v>176780.19461899999</v>
          </cell>
          <cell r="AS21">
            <v>183616.66808100001</v>
          </cell>
          <cell r="AT21">
            <v>203704.49055069999</v>
          </cell>
          <cell r="AU21">
            <v>195321.61049600001</v>
          </cell>
        </row>
        <row r="22">
          <cell r="A22" t="str">
            <v xml:space="preserve">   SPNF</v>
          </cell>
          <cell r="C22">
            <v>12528.069538</v>
          </cell>
          <cell r="D22">
            <v>17697.057245</v>
          </cell>
          <cell r="E22">
            <v>17697.057245</v>
          </cell>
          <cell r="F22">
            <v>12494.279553</v>
          </cell>
          <cell r="G22">
            <v>12494.258553000001</v>
          </cell>
          <cell r="H22">
            <v>16521.849051999998</v>
          </cell>
          <cell r="I22">
            <v>16521.849051999998</v>
          </cell>
          <cell r="J22">
            <v>10767.927979999999</v>
          </cell>
          <cell r="K22">
            <v>16993.600214000002</v>
          </cell>
          <cell r="L22">
            <v>12064.341608999999</v>
          </cell>
          <cell r="M22">
            <v>17899.885804000001</v>
          </cell>
          <cell r="N22">
            <v>18282.625218000001</v>
          </cell>
          <cell r="O22">
            <v>15775.708809999998</v>
          </cell>
          <cell r="P22">
            <v>16421.008653999997</v>
          </cell>
          <cell r="Q22">
            <v>20512.531719999999</v>
          </cell>
          <cell r="R22">
            <v>16294.750087999999</v>
          </cell>
          <cell r="S22">
            <v>17513.256947999998</v>
          </cell>
          <cell r="T22">
            <v>21707.965020000003</v>
          </cell>
          <cell r="U22">
            <v>27062.067904</v>
          </cell>
          <cell r="V22">
            <v>27062.067904</v>
          </cell>
          <cell r="W22">
            <v>23855.073016000002</v>
          </cell>
          <cell r="X22">
            <v>21092.865332000001</v>
          </cell>
          <cell r="Y22">
            <v>26992.320620999999</v>
          </cell>
          <cell r="Z22">
            <v>19657.826999000001</v>
          </cell>
          <cell r="AA22">
            <v>22085.630753000001</v>
          </cell>
          <cell r="AB22">
            <v>25182.403343000002</v>
          </cell>
          <cell r="AC22">
            <v>23684.310936999998</v>
          </cell>
          <cell r="AD22">
            <v>24191.413167999999</v>
          </cell>
          <cell r="AE22">
            <v>24850.097965000001</v>
          </cell>
          <cell r="AF22">
            <v>29887.605758000002</v>
          </cell>
          <cell r="AG22">
            <v>28252.977967999999</v>
          </cell>
          <cell r="AH22">
            <v>24259.359085</v>
          </cell>
          <cell r="AI22">
            <v>24259.359085</v>
          </cell>
          <cell r="AJ22">
            <v>25717.675766</v>
          </cell>
          <cell r="AK22">
            <v>26517.854965999999</v>
          </cell>
          <cell r="AL22">
            <v>28050.402454999999</v>
          </cell>
          <cell r="AM22">
            <v>26964.820019999999</v>
          </cell>
          <cell r="AN22">
            <v>27150.429061999999</v>
          </cell>
          <cell r="AO22">
            <v>26099.383401999999</v>
          </cell>
          <cell r="AP22">
            <v>24952.966650999999</v>
          </cell>
          <cell r="AQ22">
            <v>24354.037188999999</v>
          </cell>
          <cell r="AR22">
            <v>23543.181694999999</v>
          </cell>
          <cell r="AS22">
            <v>28027.050812000001</v>
          </cell>
          <cell r="AT22">
            <v>34941.334383000001</v>
          </cell>
          <cell r="AU22">
            <v>34842.838047999998</v>
          </cell>
        </row>
        <row r="23">
          <cell r="A23" t="str">
            <v xml:space="preserve">   SPFNB</v>
          </cell>
          <cell r="C23">
            <v>2147.7260680000004</v>
          </cell>
          <cell r="D23">
            <v>3535.2535079999998</v>
          </cell>
          <cell r="E23">
            <v>3535.2535079999998</v>
          </cell>
          <cell r="F23">
            <v>5322.1491939999996</v>
          </cell>
          <cell r="G23">
            <v>5322.1491939999996</v>
          </cell>
          <cell r="H23">
            <v>4731.2176069999996</v>
          </cell>
          <cell r="I23">
            <v>4731.2176069999996</v>
          </cell>
          <cell r="J23">
            <v>3938.3334519999999</v>
          </cell>
          <cell r="K23">
            <v>3842.9753790000004</v>
          </cell>
          <cell r="L23">
            <v>3951.9622500000005</v>
          </cell>
          <cell r="M23">
            <v>3547.64968</v>
          </cell>
          <cell r="N23">
            <v>2511.8405240000002</v>
          </cell>
          <cell r="O23">
            <v>2389.6237899999996</v>
          </cell>
          <cell r="P23">
            <v>2335.330637</v>
          </cell>
          <cell r="Q23">
            <v>1509.3027529999999</v>
          </cell>
          <cell r="R23">
            <v>2538.6865330000001</v>
          </cell>
          <cell r="S23">
            <v>1118.538468</v>
          </cell>
          <cell r="T23">
            <v>1306.929656</v>
          </cell>
          <cell r="U23">
            <v>2163.2442799999999</v>
          </cell>
          <cell r="V23">
            <v>2163.2442799999999</v>
          </cell>
          <cell r="W23">
            <v>2116.629688</v>
          </cell>
          <cell r="X23">
            <v>1809.9645420000002</v>
          </cell>
          <cell r="Y23">
            <v>1683.7426720000001</v>
          </cell>
          <cell r="Z23">
            <v>965.333348</v>
          </cell>
          <cell r="AA23">
            <v>955.134231</v>
          </cell>
          <cell r="AB23">
            <v>2063.0695970000002</v>
          </cell>
          <cell r="AC23">
            <v>2245.539624</v>
          </cell>
          <cell r="AD23">
            <v>1757.6366849999999</v>
          </cell>
          <cell r="AE23">
            <v>2416.7104589999999</v>
          </cell>
          <cell r="AF23">
            <v>1845.948443</v>
          </cell>
          <cell r="AG23">
            <v>2180.636958</v>
          </cell>
          <cell r="AH23">
            <v>6412.1847939999998</v>
          </cell>
          <cell r="AI23">
            <v>6412.1847939999998</v>
          </cell>
          <cell r="AJ23">
            <v>2045.2271129999999</v>
          </cell>
          <cell r="AK23">
            <v>1628.9937480000001</v>
          </cell>
          <cell r="AL23">
            <v>2094.1215390000002</v>
          </cell>
          <cell r="AM23">
            <v>2161.741485</v>
          </cell>
          <cell r="AN23">
            <v>3047.8004580000002</v>
          </cell>
          <cell r="AO23">
            <v>3404.8403109999999</v>
          </cell>
          <cell r="AP23">
            <v>3223.865886</v>
          </cell>
          <cell r="AQ23">
            <v>3169.4851100000001</v>
          </cell>
          <cell r="AR23">
            <v>3427.6129850000002</v>
          </cell>
          <cell r="AS23">
            <v>3957.593836</v>
          </cell>
          <cell r="AT23">
            <v>5491.2920530000001</v>
          </cell>
          <cell r="AU23">
            <v>7148.0282809999999</v>
          </cell>
        </row>
        <row r="25">
          <cell r="A25" t="str">
            <v xml:space="preserve">DEPOSITOS </v>
          </cell>
          <cell r="C25">
            <v>334296.23509199999</v>
          </cell>
          <cell r="D25">
            <v>369095.02129800001</v>
          </cell>
          <cell r="E25">
            <v>390333.50868000003</v>
          </cell>
          <cell r="F25">
            <v>439590.07174599997</v>
          </cell>
          <cell r="G25">
            <v>468712.03704199998</v>
          </cell>
          <cell r="H25">
            <v>593740.50620499998</v>
          </cell>
          <cell r="I25">
            <v>623540.28012900008</v>
          </cell>
          <cell r="J25">
            <v>634438.41113799997</v>
          </cell>
          <cell r="K25">
            <v>623618.57146000001</v>
          </cell>
          <cell r="L25">
            <v>625470.49632399995</v>
          </cell>
          <cell r="M25">
            <v>630839.71710600005</v>
          </cell>
          <cell r="N25">
            <v>620342.02069499996</v>
          </cell>
          <cell r="O25">
            <v>636653.35146000003</v>
          </cell>
          <cell r="P25">
            <v>641922.38506700005</v>
          </cell>
          <cell r="Q25">
            <v>648735.47263199999</v>
          </cell>
          <cell r="R25">
            <v>655436.6853120001</v>
          </cell>
          <cell r="S25">
            <v>662100.32016399992</v>
          </cell>
          <cell r="T25">
            <v>668851.59349599993</v>
          </cell>
          <cell r="U25">
            <v>651919.19240399997</v>
          </cell>
          <cell r="V25">
            <v>686087.39127000002</v>
          </cell>
          <cell r="W25">
            <v>723286.60519799998</v>
          </cell>
          <cell r="X25">
            <v>719155.26157399989</v>
          </cell>
          <cell r="Y25">
            <v>740200.35646434547</v>
          </cell>
          <cell r="Z25">
            <v>740190.62590258964</v>
          </cell>
          <cell r="AA25">
            <v>754896.13370274752</v>
          </cell>
          <cell r="AB25">
            <v>785328.61786346743</v>
          </cell>
          <cell r="AC25">
            <v>810247.33823687164</v>
          </cell>
          <cell r="AD25">
            <v>817935.84696148289</v>
          </cell>
          <cell r="AE25">
            <v>862742.16941140476</v>
          </cell>
          <cell r="AF25">
            <v>855829.67719948408</v>
          </cell>
          <cell r="AG25">
            <v>863329.22660659847</v>
          </cell>
          <cell r="AH25">
            <v>845589.64723558945</v>
          </cell>
          <cell r="AI25">
            <v>887645.24341707421</v>
          </cell>
          <cell r="AJ25">
            <v>923300.52545114281</v>
          </cell>
          <cell r="AK25">
            <v>932615.77366894134</v>
          </cell>
          <cell r="AL25">
            <v>956512.29440819984</v>
          </cell>
          <cell r="AM25">
            <v>1020219.222125364</v>
          </cell>
          <cell r="AN25">
            <v>1021661.2422820921</v>
          </cell>
          <cell r="AO25">
            <v>980472.57042606943</v>
          </cell>
          <cell r="AP25">
            <v>986630.19592882507</v>
          </cell>
          <cell r="AQ25">
            <v>998493.3930849469</v>
          </cell>
          <cell r="AR25">
            <v>1019937.0893310845</v>
          </cell>
          <cell r="AS25">
            <v>1013444.0164408486</v>
          </cell>
          <cell r="AT25">
            <v>1021712.4960963021</v>
          </cell>
          <cell r="AU25">
            <v>994904.6995057225</v>
          </cell>
        </row>
        <row r="26">
          <cell r="A26" t="str">
            <v xml:space="preserve">   En moneda nacional:</v>
          </cell>
          <cell r="C26">
            <v>201970.18545399999</v>
          </cell>
          <cell r="D26">
            <v>222183.79352000004</v>
          </cell>
          <cell r="E26">
            <v>222183.79352000004</v>
          </cell>
          <cell r="F26">
            <v>252049.89750599998</v>
          </cell>
          <cell r="G26">
            <v>252049.94030599997</v>
          </cell>
          <cell r="H26">
            <v>338797.79452900001</v>
          </cell>
          <cell r="I26">
            <v>338797.79452900001</v>
          </cell>
          <cell r="J26">
            <v>348807.27273800003</v>
          </cell>
          <cell r="K26">
            <v>342934.78665999998</v>
          </cell>
          <cell r="L26">
            <v>336842.01072399999</v>
          </cell>
          <cell r="M26">
            <v>338523.31310600002</v>
          </cell>
          <cell r="N26">
            <v>329501.55429499998</v>
          </cell>
          <cell r="O26">
            <v>343975.05066000001</v>
          </cell>
          <cell r="P26">
            <v>343542.15066700004</v>
          </cell>
          <cell r="Q26">
            <v>342451.04463200003</v>
          </cell>
          <cell r="R26">
            <v>352193.56851200003</v>
          </cell>
          <cell r="S26">
            <v>352787.96736399998</v>
          </cell>
          <cell r="T26">
            <v>358507.30469600001</v>
          </cell>
          <cell r="U26">
            <v>336604.071604</v>
          </cell>
          <cell r="V26">
            <v>336604.071604</v>
          </cell>
          <cell r="W26">
            <v>355890.553136</v>
          </cell>
          <cell r="X26">
            <v>351159.30189199996</v>
          </cell>
          <cell r="Y26">
            <v>361109.39140953042</v>
          </cell>
          <cell r="Z26">
            <v>356702.62494142778</v>
          </cell>
          <cell r="AA26">
            <v>367232.96356952941</v>
          </cell>
          <cell r="AB26">
            <v>384340.19355375133</v>
          </cell>
          <cell r="AC26">
            <v>390591.30131466308</v>
          </cell>
          <cell r="AD26">
            <v>395222.70364235929</v>
          </cell>
          <cell r="AE26">
            <v>418316.12513013009</v>
          </cell>
          <cell r="AF26">
            <v>412672.3617243077</v>
          </cell>
          <cell r="AG26">
            <v>419307.5875367882</v>
          </cell>
          <cell r="AH26">
            <v>410586.59003096365</v>
          </cell>
          <cell r="AI26">
            <v>410586.59003096365</v>
          </cell>
          <cell r="AJ26">
            <v>428018.66054551338</v>
          </cell>
          <cell r="AK26">
            <v>441791.54522721807</v>
          </cell>
          <cell r="AL26">
            <v>453604.78396219749</v>
          </cell>
          <cell r="AM26">
            <v>466174.02068741043</v>
          </cell>
          <cell r="AN26">
            <v>468727.31775151286</v>
          </cell>
          <cell r="AO26">
            <v>470540.64801201696</v>
          </cell>
          <cell r="AP26">
            <v>462485.77804498246</v>
          </cell>
          <cell r="AQ26">
            <v>476738.86779257481</v>
          </cell>
          <cell r="AR26">
            <v>484560.22840367351</v>
          </cell>
          <cell r="AS26">
            <v>479869.01615966519</v>
          </cell>
          <cell r="AT26">
            <v>487401.99256710196</v>
          </cell>
          <cell r="AU26">
            <v>464873.60409488855</v>
          </cell>
        </row>
        <row r="27">
          <cell r="A27" t="str">
            <v xml:space="preserve">   En moneda extranjera (en $):</v>
          </cell>
          <cell r="C27">
            <v>842.35820000000001</v>
          </cell>
          <cell r="D27">
            <v>935.2041999999999</v>
          </cell>
          <cell r="E27">
            <v>935.2041999999999</v>
          </cell>
          <cell r="F27">
            <v>1043.0488</v>
          </cell>
          <cell r="G27">
            <v>1043.0488</v>
          </cell>
          <cell r="H27">
            <v>1227.3383000000001</v>
          </cell>
          <cell r="I27">
            <v>1227.3383000000001</v>
          </cell>
          <cell r="J27">
            <v>1231.1686999999999</v>
          </cell>
          <cell r="K27">
            <v>1209.8438999999998</v>
          </cell>
          <cell r="L27">
            <v>1244.0883000000001</v>
          </cell>
          <cell r="M27">
            <v>1259.9845</v>
          </cell>
          <cell r="N27">
            <v>1253.6226999999999</v>
          </cell>
          <cell r="O27">
            <v>1261.5444</v>
          </cell>
          <cell r="P27">
            <v>1286.1216999999999</v>
          </cell>
          <cell r="Q27">
            <v>1320.1915000000001</v>
          </cell>
          <cell r="R27">
            <v>1307.0824000000002</v>
          </cell>
          <cell r="S27">
            <v>1333.2429</v>
          </cell>
          <cell r="T27">
            <v>1337.6908999999998</v>
          </cell>
          <cell r="U27">
            <v>1359.1169</v>
          </cell>
          <cell r="V27">
            <v>1359.1169</v>
          </cell>
          <cell r="W27">
            <v>1428.7782999999999</v>
          </cell>
          <cell r="X27">
            <v>1431.1113</v>
          </cell>
          <cell r="Y27">
            <v>1474.2590225356423</v>
          </cell>
          <cell r="Z27">
            <v>1491.3587966133693</v>
          </cell>
          <cell r="AA27">
            <v>1507.5957460263594</v>
          </cell>
          <cell r="AB27">
            <v>1559.4167547239485</v>
          </cell>
          <cell r="AC27">
            <v>1632.0138326289511</v>
          </cell>
          <cell r="AD27">
            <v>1643.9027118267231</v>
          </cell>
          <cell r="AE27">
            <v>1728.3427093461723</v>
          </cell>
          <cell r="AF27">
            <v>1723.4087091668987</v>
          </cell>
          <cell r="AG27">
            <v>1726.7700049382061</v>
          </cell>
          <cell r="AH27">
            <v>1691.6973524330162</v>
          </cell>
          <cell r="AI27">
            <v>1691.6973524330162</v>
          </cell>
          <cell r="AJ27">
            <v>1756.3186698781187</v>
          </cell>
          <cell r="AK27">
            <v>1740.5114483749051</v>
          </cell>
          <cell r="AL27">
            <v>1783.3599661205756</v>
          </cell>
          <cell r="AM27">
            <v>1964.699295879268</v>
          </cell>
          <cell r="AN27">
            <v>1960.7585976261676</v>
          </cell>
          <cell r="AO27">
            <v>1808.2692284186255</v>
          </cell>
          <cell r="AP27">
            <v>1858.6681485242648</v>
          </cell>
          <cell r="AQ27">
            <v>1850.1933521006104</v>
          </cell>
          <cell r="AR27">
            <v>1898.499506834791</v>
          </cell>
          <cell r="AS27">
            <v>1892.1099300751184</v>
          </cell>
          <cell r="AT27">
            <v>1894.7180976212769</v>
          </cell>
          <cell r="AU27">
            <v>1879.5428915277801</v>
          </cell>
        </row>
        <row r="29">
          <cell r="A29" t="str">
            <v>Cuenta Corriente (en $)</v>
          </cell>
          <cell r="C29">
            <v>89.141600000000011</v>
          </cell>
          <cell r="D29">
            <v>84.810199999999995</v>
          </cell>
          <cell r="E29">
            <v>84.810200000000009</v>
          </cell>
          <cell r="F29">
            <v>83.236999999999995</v>
          </cell>
          <cell r="G29">
            <v>83.236999999999995</v>
          </cell>
          <cell r="H29">
            <v>115.5942</v>
          </cell>
          <cell r="I29">
            <v>115.5942</v>
          </cell>
          <cell r="J29">
            <v>86.439599999999999</v>
          </cell>
          <cell r="K29">
            <v>90.213899999999995</v>
          </cell>
          <cell r="L29">
            <v>98.664699999999996</v>
          </cell>
          <cell r="M29">
            <v>118.3764</v>
          </cell>
          <cell r="N29">
            <v>103.37819999999999</v>
          </cell>
          <cell r="O29">
            <v>116.65759999999999</v>
          </cell>
          <cell r="P29">
            <v>122.9066</v>
          </cell>
          <cell r="Q29">
            <v>120.35870000000001</v>
          </cell>
          <cell r="R29">
            <v>114.2728</v>
          </cell>
          <cell r="S29">
            <v>113.5068</v>
          </cell>
          <cell r="T29">
            <v>119.45060000000001</v>
          </cell>
          <cell r="U29">
            <v>122.4135</v>
          </cell>
          <cell r="V29">
            <v>122.4135</v>
          </cell>
          <cell r="W29">
            <v>130.92170000000002</v>
          </cell>
          <cell r="X29">
            <v>119.9175</v>
          </cell>
          <cell r="Y29">
            <v>132.69715085084798</v>
          </cell>
          <cell r="Z29">
            <v>139.50681049586299</v>
          </cell>
          <cell r="AA29">
            <v>139.73314316656101</v>
          </cell>
          <cell r="AB29">
            <v>153.19315452983997</v>
          </cell>
          <cell r="AC29">
            <v>146.84068081324199</v>
          </cell>
          <cell r="AD29">
            <v>146.78499160506001</v>
          </cell>
          <cell r="AE29">
            <v>157.49979089184097</v>
          </cell>
          <cell r="AF29">
            <v>145.20727617791201</v>
          </cell>
          <cell r="AG29">
            <v>158.29871197608898</v>
          </cell>
          <cell r="AH29">
            <v>152.219358305627</v>
          </cell>
          <cell r="AI29">
            <v>152.219358305627</v>
          </cell>
          <cell r="AJ29">
            <v>170.89516299725801</v>
          </cell>
          <cell r="AK29">
            <v>155.71366726943401</v>
          </cell>
          <cell r="AL29">
            <v>175.46745723728802</v>
          </cell>
          <cell r="AM29">
            <v>188.77887835960399</v>
          </cell>
          <cell r="AN29">
            <v>182.77072668228001</v>
          </cell>
          <cell r="AO29">
            <v>195.032226878296</v>
          </cell>
          <cell r="AP29">
            <v>191.82017628117802</v>
          </cell>
          <cell r="AQ29">
            <v>204.47465822520198</v>
          </cell>
          <cell r="AR29">
            <v>215.89068767324699</v>
          </cell>
          <cell r="AS29">
            <v>214.40655281050897</v>
          </cell>
          <cell r="AT29">
            <v>246.02222511414703</v>
          </cell>
          <cell r="AU29">
            <v>243.458682557629</v>
          </cell>
        </row>
        <row r="30">
          <cell r="A30" t="str">
            <v xml:space="preserve">   Sector Privado</v>
          </cell>
          <cell r="C30">
            <v>87.2102</v>
          </cell>
          <cell r="D30">
            <v>81.460499999999996</v>
          </cell>
          <cell r="E30">
            <v>81.460499999999996</v>
          </cell>
          <cell r="F30">
            <v>79.1999</v>
          </cell>
          <cell r="G30">
            <v>79.1999</v>
          </cell>
          <cell r="H30">
            <v>110.7491</v>
          </cell>
          <cell r="I30">
            <v>110.7491</v>
          </cell>
          <cell r="J30">
            <v>81.521199999999993</v>
          </cell>
          <cell r="K30">
            <v>84.453199999999995</v>
          </cell>
          <cell r="L30">
            <v>92.740600000000001</v>
          </cell>
          <cell r="M30">
            <v>113.17700000000001</v>
          </cell>
          <cell r="N30">
            <v>99.385599999999997</v>
          </cell>
          <cell r="O30">
            <v>112.0996</v>
          </cell>
          <cell r="P30">
            <v>115.78230000000001</v>
          </cell>
          <cell r="Q30">
            <v>113.971</v>
          </cell>
          <cell r="R30">
            <v>109.8065</v>
          </cell>
          <cell r="S30">
            <v>108.2924</v>
          </cell>
          <cell r="T30">
            <v>114.9423</v>
          </cell>
          <cell r="U30">
            <v>115.8556</v>
          </cell>
          <cell r="V30">
            <v>115.8556</v>
          </cell>
          <cell r="W30">
            <v>121.0933</v>
          </cell>
          <cell r="X30">
            <v>113.5484</v>
          </cell>
          <cell r="Y30">
            <v>125.837507850848</v>
          </cell>
          <cell r="Z30">
            <v>131.61636649586299</v>
          </cell>
          <cell r="AA30">
            <v>133.920397166561</v>
          </cell>
          <cell r="AB30">
            <v>148.32458652983999</v>
          </cell>
          <cell r="AC30">
            <v>141.81473681324201</v>
          </cell>
          <cell r="AD30">
            <v>142.51573060506001</v>
          </cell>
          <cell r="AE30">
            <v>152.561796891841</v>
          </cell>
          <cell r="AF30">
            <v>140.11248817791201</v>
          </cell>
          <cell r="AG30">
            <v>151.550191976089</v>
          </cell>
          <cell r="AH30">
            <v>138.11079530562699</v>
          </cell>
          <cell r="AI30">
            <v>138.11079530562699</v>
          </cell>
          <cell r="AJ30">
            <v>162.943628997258</v>
          </cell>
          <cell r="AK30">
            <v>149.952673269434</v>
          </cell>
          <cell r="AL30">
            <v>170.60200623728801</v>
          </cell>
          <cell r="AM30">
            <v>184.69030735960399</v>
          </cell>
          <cell r="AN30">
            <v>177.93827968228001</v>
          </cell>
          <cell r="AO30">
            <v>189.67315287829601</v>
          </cell>
          <cell r="AP30">
            <v>187.02757228117801</v>
          </cell>
          <cell r="AQ30">
            <v>198.052753225202</v>
          </cell>
          <cell r="AR30">
            <v>210.37461467324701</v>
          </cell>
          <cell r="AS30">
            <v>209.77789881050899</v>
          </cell>
          <cell r="AT30">
            <v>240.15070211414701</v>
          </cell>
          <cell r="AU30">
            <v>237.87485555762899</v>
          </cell>
        </row>
        <row r="31">
          <cell r="A31" t="str">
            <v xml:space="preserve">   SPNF</v>
          </cell>
          <cell r="C31">
            <v>1.8422000000000001</v>
          </cell>
          <cell r="D31">
            <v>3.2605</v>
          </cell>
          <cell r="E31">
            <v>3.2605000000000004</v>
          </cell>
          <cell r="F31">
            <v>3.3129</v>
          </cell>
          <cell r="G31">
            <v>3.3129</v>
          </cell>
          <cell r="H31">
            <v>4.0827999999999998</v>
          </cell>
          <cell r="I31">
            <v>4.0827999999999998</v>
          </cell>
          <cell r="J31">
            <v>4.2960000000000003</v>
          </cell>
          <cell r="K31">
            <v>5.0586000000000002</v>
          </cell>
          <cell r="L31">
            <v>5.2690999999999999</v>
          </cell>
          <cell r="M31">
            <v>4.6013999999999999</v>
          </cell>
          <cell r="N31">
            <v>3.3353999999999995</v>
          </cell>
          <cell r="O31">
            <v>3.8458000000000001</v>
          </cell>
          <cell r="P31">
            <v>5.8642000000000003</v>
          </cell>
          <cell r="Q31">
            <v>5.5279999999999996</v>
          </cell>
          <cell r="R31">
            <v>3.8763999999999998</v>
          </cell>
          <cell r="S31">
            <v>4.9207000000000001</v>
          </cell>
          <cell r="T31">
            <v>3.9060000000000001</v>
          </cell>
          <cell r="U31">
            <v>6.0523999999999996</v>
          </cell>
          <cell r="V31">
            <v>6.0523999999999996</v>
          </cell>
          <cell r="W31">
            <v>9.4436</v>
          </cell>
          <cell r="X31">
            <v>5.1988000000000003</v>
          </cell>
          <cell r="Y31">
            <v>5.7452759999999996</v>
          </cell>
          <cell r="Z31">
            <v>7.1342439999999998</v>
          </cell>
          <cell r="AA31">
            <v>2.9825460000000001</v>
          </cell>
          <cell r="AB31">
            <v>4.0777679999999998</v>
          </cell>
          <cell r="AC31">
            <v>4.3463440000000002</v>
          </cell>
          <cell r="AD31">
            <v>3.642849</v>
          </cell>
          <cell r="AE31">
            <v>3.715074</v>
          </cell>
          <cell r="AF31">
            <v>3.9719250000000001</v>
          </cell>
          <cell r="AG31">
            <v>5.7870530000000002</v>
          </cell>
          <cell r="AH31">
            <v>13.014499000000001</v>
          </cell>
          <cell r="AI31">
            <v>13.014499000000001</v>
          </cell>
          <cell r="AJ31">
            <v>7.219627</v>
          </cell>
          <cell r="AK31">
            <v>4.9703920000000004</v>
          </cell>
          <cell r="AL31">
            <v>4.1383049999999999</v>
          </cell>
          <cell r="AM31">
            <v>3.5765150000000001</v>
          </cell>
          <cell r="AN31">
            <v>4.5001540000000002</v>
          </cell>
          <cell r="AO31">
            <v>3.9777550000000002</v>
          </cell>
          <cell r="AP31">
            <v>4.3864999999999998</v>
          </cell>
          <cell r="AQ31">
            <v>5.8736759999999997</v>
          </cell>
          <cell r="AR31">
            <v>4.846006</v>
          </cell>
          <cell r="AS31">
            <v>4.1815610000000003</v>
          </cell>
          <cell r="AT31">
            <v>4.890676</v>
          </cell>
          <cell r="AU31">
            <v>5.2764959999999999</v>
          </cell>
        </row>
        <row r="32">
          <cell r="A32" t="str">
            <v xml:space="preserve">   SPFNB</v>
          </cell>
          <cell r="C32">
            <v>8.9200000000000002E-2</v>
          </cell>
          <cell r="D32">
            <v>8.9200000000000002E-2</v>
          </cell>
          <cell r="E32">
            <v>8.9200000000000002E-2</v>
          </cell>
          <cell r="F32">
            <v>0.72419999999999995</v>
          </cell>
          <cell r="G32">
            <v>0.72419999999999995</v>
          </cell>
          <cell r="H32">
            <v>0.76229999999999998</v>
          </cell>
          <cell r="I32">
            <v>0.76229999999999998</v>
          </cell>
          <cell r="J32">
            <v>0.62239999999999995</v>
          </cell>
          <cell r="K32">
            <v>0.70209999999999995</v>
          </cell>
          <cell r="L32">
            <v>0.65500000000000003</v>
          </cell>
          <cell r="M32">
            <v>0.59799999999999998</v>
          </cell>
          <cell r="N32">
            <v>0.65720000000000001</v>
          </cell>
          <cell r="O32">
            <v>0.71220000000000006</v>
          </cell>
          <cell r="P32">
            <v>1.2601</v>
          </cell>
          <cell r="Q32">
            <v>0.85970000000000002</v>
          </cell>
          <cell r="R32">
            <v>0.58989999999999998</v>
          </cell>
          <cell r="S32">
            <v>0.29370000000000002</v>
          </cell>
          <cell r="T32">
            <v>0.60229999999999995</v>
          </cell>
          <cell r="U32">
            <v>0.50549999999999995</v>
          </cell>
          <cell r="V32">
            <v>0.50549999999999995</v>
          </cell>
          <cell r="W32">
            <v>0.38479999999999998</v>
          </cell>
          <cell r="X32">
            <v>1.1702999999999999</v>
          </cell>
          <cell r="Y32">
            <v>1.1143670000000001</v>
          </cell>
          <cell r="Z32">
            <v>0.75619999999999998</v>
          </cell>
          <cell r="AA32">
            <v>2.8302</v>
          </cell>
          <cell r="AB32">
            <v>0.79079999999999995</v>
          </cell>
          <cell r="AC32">
            <v>0.67959999999999998</v>
          </cell>
          <cell r="AD32">
            <v>0.62641199999999997</v>
          </cell>
          <cell r="AE32">
            <v>1.22292</v>
          </cell>
          <cell r="AF32">
            <v>1.1228629999999999</v>
          </cell>
          <cell r="AG32">
            <v>0.96146699999999996</v>
          </cell>
          <cell r="AH32">
            <v>1.0940639999999999</v>
          </cell>
          <cell r="AI32">
            <v>1.0940639999999999</v>
          </cell>
          <cell r="AJ32">
            <v>0.73190699999999997</v>
          </cell>
          <cell r="AK32">
            <v>0.79060200000000003</v>
          </cell>
          <cell r="AL32">
            <v>0.72714599999999996</v>
          </cell>
          <cell r="AM32">
            <v>0.51205599999999996</v>
          </cell>
          <cell r="AN32">
            <v>0.33229300000000001</v>
          </cell>
          <cell r="AO32">
            <v>1.381319</v>
          </cell>
          <cell r="AP32">
            <v>0.40610400000000002</v>
          </cell>
          <cell r="AQ32">
            <v>0.54822899999999997</v>
          </cell>
          <cell r="AR32">
            <v>0.67006699999999997</v>
          </cell>
          <cell r="AS32">
            <v>0.44709300000000002</v>
          </cell>
          <cell r="AT32">
            <v>0.98084700000000002</v>
          </cell>
          <cell r="AU32">
            <v>0.30733100000000002</v>
          </cell>
        </row>
        <row r="33">
          <cell r="A33" t="str">
            <v>Dep. ahorro M/N</v>
          </cell>
          <cell r="C33">
            <v>27262.489479</v>
          </cell>
          <cell r="D33">
            <v>30785.842422000002</v>
          </cell>
          <cell r="E33">
            <v>30785.842422000002</v>
          </cell>
          <cell r="F33">
            <v>32339.513340000001</v>
          </cell>
          <cell r="G33">
            <v>32339.513340000001</v>
          </cell>
          <cell r="H33">
            <v>43816.402463999999</v>
          </cell>
          <cell r="I33">
            <v>43816.402463999999</v>
          </cell>
          <cell r="J33">
            <v>43417.393669999998</v>
          </cell>
          <cell r="K33">
            <v>44529.249748000002</v>
          </cell>
          <cell r="L33">
            <v>44156.561363000001</v>
          </cell>
          <cell r="M33">
            <v>45044.303444000005</v>
          </cell>
          <cell r="N33">
            <v>44690.510058999993</v>
          </cell>
          <cell r="O33">
            <v>46974.475339999997</v>
          </cell>
          <cell r="P33">
            <v>46374.065996000005</v>
          </cell>
          <cell r="Q33">
            <v>46524.094428000004</v>
          </cell>
          <cell r="R33">
            <v>47645.257223999994</v>
          </cell>
          <cell r="S33">
            <v>48429.796456000004</v>
          </cell>
          <cell r="T33">
            <v>57107.168544</v>
          </cell>
          <cell r="U33">
            <v>58475.836499999998</v>
          </cell>
          <cell r="V33">
            <v>58475.836499999998</v>
          </cell>
          <cell r="W33">
            <v>62483.218046000002</v>
          </cell>
          <cell r="X33">
            <v>60977.415307999989</v>
          </cell>
          <cell r="Y33">
            <v>59723.862518000002</v>
          </cell>
          <cell r="Z33">
            <v>60493.043205000002</v>
          </cell>
          <cell r="AA33">
            <v>60220.130806000001</v>
          </cell>
          <cell r="AB33">
            <v>59334.625917999998</v>
          </cell>
          <cell r="AC33">
            <v>61979.701161999998</v>
          </cell>
          <cell r="AD33">
            <v>59831.412427000003</v>
          </cell>
          <cell r="AE33">
            <v>63416.903158000001</v>
          </cell>
          <cell r="AF33">
            <v>62105.986735999999</v>
          </cell>
          <cell r="AG33">
            <v>73603.888053999995</v>
          </cell>
          <cell r="AH33">
            <v>72001.357690999997</v>
          </cell>
          <cell r="AI33">
            <v>72001.357690999997</v>
          </cell>
          <cell r="AJ33">
            <v>77708.979976999995</v>
          </cell>
          <cell r="AK33">
            <v>77976.817586000005</v>
          </cell>
          <cell r="AL33">
            <v>75256.182558999993</v>
          </cell>
          <cell r="AM33">
            <v>73668.444304999997</v>
          </cell>
          <cell r="AN33">
            <v>70537.912788999995</v>
          </cell>
          <cell r="AO33">
            <v>72887.28082</v>
          </cell>
          <cell r="AP33">
            <v>73724.466696000003</v>
          </cell>
          <cell r="AQ33">
            <v>70257.929420999993</v>
          </cell>
          <cell r="AR33">
            <v>74653.697035999998</v>
          </cell>
          <cell r="AS33">
            <v>75134.295956000002</v>
          </cell>
          <cell r="AT33">
            <v>88881.839504000003</v>
          </cell>
          <cell r="AU33">
            <v>79037.088033000007</v>
          </cell>
        </row>
        <row r="34">
          <cell r="A34" t="str">
            <v>Dep. ahorro (en $)</v>
          </cell>
          <cell r="C34">
            <v>136.4151</v>
          </cell>
          <cell r="D34">
            <v>138.67779999999999</v>
          </cell>
          <cell r="E34">
            <v>138.67779999999999</v>
          </cell>
          <cell r="F34">
            <v>156.83199999999999</v>
          </cell>
          <cell r="G34">
            <v>156.83199999999999</v>
          </cell>
          <cell r="H34">
            <v>180.58959999999999</v>
          </cell>
          <cell r="I34">
            <v>180.58959999999999</v>
          </cell>
          <cell r="J34">
            <v>184.3065</v>
          </cell>
          <cell r="K34">
            <v>186.36519999999999</v>
          </cell>
          <cell r="L34">
            <v>190.49369999999999</v>
          </cell>
          <cell r="M34">
            <v>188.72540000000001</v>
          </cell>
          <cell r="N34">
            <v>189.52770000000001</v>
          </cell>
          <cell r="O34">
            <v>192.0052</v>
          </cell>
          <cell r="P34">
            <v>192.95079999999999</v>
          </cell>
          <cell r="Q34">
            <v>195.3672</v>
          </cell>
          <cell r="R34">
            <v>197.97720000000001</v>
          </cell>
          <cell r="S34">
            <v>199.3329</v>
          </cell>
          <cell r="T34">
            <v>202.15270000000001</v>
          </cell>
          <cell r="U34">
            <v>211.18</v>
          </cell>
          <cell r="V34">
            <v>211.18</v>
          </cell>
          <cell r="W34">
            <v>218.69409999999999</v>
          </cell>
          <cell r="X34">
            <v>222.5522</v>
          </cell>
          <cell r="Y34">
            <v>225.83732728728</v>
          </cell>
          <cell r="Z34">
            <v>223.98963252878099</v>
          </cell>
          <cell r="AA34">
            <v>224.335855435296</v>
          </cell>
          <cell r="AB34">
            <v>227.00406693969799</v>
          </cell>
          <cell r="AC34">
            <v>229.78656822184399</v>
          </cell>
          <cell r="AD34">
            <v>228.639588779143</v>
          </cell>
          <cell r="AE34">
            <v>230.58685418263201</v>
          </cell>
          <cell r="AF34">
            <v>235.308372502628</v>
          </cell>
          <cell r="AG34">
            <v>236.621286184822</v>
          </cell>
          <cell r="AH34">
            <v>245.78405825067199</v>
          </cell>
          <cell r="AI34">
            <v>245.78405825067199</v>
          </cell>
          <cell r="AJ34">
            <v>250.255723215003</v>
          </cell>
          <cell r="AK34">
            <v>255.80835636732601</v>
          </cell>
          <cell r="AL34">
            <v>258.33985296736398</v>
          </cell>
          <cell r="AM34">
            <v>253.754630397808</v>
          </cell>
          <cell r="AN34">
            <v>253.07487864978299</v>
          </cell>
          <cell r="AO34">
            <v>249.306437527524</v>
          </cell>
          <cell r="AP34">
            <v>251.90743549415799</v>
          </cell>
          <cell r="AQ34">
            <v>249.58977446339301</v>
          </cell>
          <cell r="AR34">
            <v>246.586536805175</v>
          </cell>
          <cell r="AS34">
            <v>249.43074899173601</v>
          </cell>
          <cell r="AT34">
            <v>251.25725545006</v>
          </cell>
          <cell r="AU34">
            <v>246.24695768223901</v>
          </cell>
        </row>
        <row r="35">
          <cell r="A35" t="str">
            <v>Dep. plazo M/N</v>
          </cell>
          <cell r="C35">
            <v>161120.53995099998</v>
          </cell>
          <cell r="D35">
            <v>172239.97008100004</v>
          </cell>
          <cell r="E35">
            <v>172239.97008100004</v>
          </cell>
          <cell r="F35">
            <v>199937.04590399997</v>
          </cell>
          <cell r="G35">
            <v>199937.08870399997</v>
          </cell>
          <cell r="H35">
            <v>270122.42241300002</v>
          </cell>
          <cell r="I35">
            <v>270122.42241300002</v>
          </cell>
          <cell r="J35">
            <v>269673.06397800002</v>
          </cell>
          <cell r="K35">
            <v>247981.204042</v>
          </cell>
          <cell r="L35">
            <v>251416.73070099996</v>
          </cell>
          <cell r="M35">
            <v>257305.296952</v>
          </cell>
          <cell r="N35">
            <v>259454.88891200002</v>
          </cell>
          <cell r="O35">
            <v>255738.14194000003</v>
          </cell>
          <cell r="P35">
            <v>261184.40782600001</v>
          </cell>
          <cell r="Q35">
            <v>261958.26845200002</v>
          </cell>
          <cell r="R35">
            <v>265133.900471</v>
          </cell>
          <cell r="S35">
            <v>265606.89222799998</v>
          </cell>
          <cell r="T35">
            <v>259695.44563999999</v>
          </cell>
          <cell r="U35">
            <v>247894.24144400001</v>
          </cell>
          <cell r="V35">
            <v>247894.24144400001</v>
          </cell>
          <cell r="W35">
            <v>251095.25640000001</v>
          </cell>
          <cell r="X35">
            <v>245830.04494399999</v>
          </cell>
          <cell r="Y35">
            <v>241969.61255200001</v>
          </cell>
          <cell r="Z35">
            <v>244616.95621899999</v>
          </cell>
          <cell r="AA35">
            <v>257436.83055499999</v>
          </cell>
          <cell r="AB35">
            <v>269735.06704400002</v>
          </cell>
          <cell r="AC35">
            <v>273464.87777700002</v>
          </cell>
          <cell r="AD35">
            <v>280591.36987811001</v>
          </cell>
          <cell r="AE35">
            <v>279979.67195800005</v>
          </cell>
          <cell r="AF35">
            <v>294537.12403500004</v>
          </cell>
          <cell r="AG35">
            <v>280221.60889099998</v>
          </cell>
          <cell r="AH35">
            <v>285414.92069100001</v>
          </cell>
          <cell r="AI35">
            <v>285414.92069100001</v>
          </cell>
          <cell r="AJ35">
            <v>289605.46724500001</v>
          </cell>
          <cell r="AK35">
            <v>303552.35879899998</v>
          </cell>
          <cell r="AL35">
            <v>317068.37918400002</v>
          </cell>
          <cell r="AM35">
            <v>328908.53425100003</v>
          </cell>
          <cell r="AN35">
            <v>326828.34722399997</v>
          </cell>
          <cell r="AO35">
            <v>329825.30561899999</v>
          </cell>
          <cell r="AP35">
            <v>325170.06157200004</v>
          </cell>
          <cell r="AQ35">
            <v>339441.45476300002</v>
          </cell>
          <cell r="AR35">
            <v>341442.27319399995</v>
          </cell>
          <cell r="AS35">
            <v>346013.10541100003</v>
          </cell>
          <cell r="AT35">
            <v>327170.18433899997</v>
          </cell>
          <cell r="AU35">
            <v>334295.61034800002</v>
          </cell>
        </row>
        <row r="36">
          <cell r="A36" t="str">
            <v xml:space="preserve">   Sector Privado</v>
          </cell>
          <cell r="C36">
            <v>143984.25344599999</v>
          </cell>
          <cell r="D36">
            <v>158374.69574000002</v>
          </cell>
          <cell r="E36">
            <v>158374.69574000002</v>
          </cell>
          <cell r="F36">
            <v>179009.83820399997</v>
          </cell>
          <cell r="G36">
            <v>179009.88100399997</v>
          </cell>
          <cell r="H36">
            <v>219512.60365800001</v>
          </cell>
          <cell r="I36">
            <v>219512.60365800001</v>
          </cell>
          <cell r="J36">
            <v>218824.90396200001</v>
          </cell>
          <cell r="K36">
            <v>194935.127335</v>
          </cell>
          <cell r="L36">
            <v>194476.47100099997</v>
          </cell>
          <cell r="M36">
            <v>198048.20494</v>
          </cell>
          <cell r="N36">
            <v>199263.10496500001</v>
          </cell>
          <cell r="O36">
            <v>198609.428885</v>
          </cell>
          <cell r="P36">
            <v>202079.04142600001</v>
          </cell>
          <cell r="Q36">
            <v>199526.04600600002</v>
          </cell>
          <cell r="R36">
            <v>195662.89162599997</v>
          </cell>
          <cell r="S36">
            <v>199521.34561599998</v>
          </cell>
          <cell r="T36">
            <v>200852.12779599999</v>
          </cell>
          <cell r="U36">
            <v>197279.23844399999</v>
          </cell>
          <cell r="V36">
            <v>197279.23844399999</v>
          </cell>
          <cell r="W36">
            <v>207019.36720000001</v>
          </cell>
          <cell r="X36">
            <v>202524.85636799998</v>
          </cell>
          <cell r="Y36">
            <v>198684.67806599999</v>
          </cell>
          <cell r="Z36">
            <v>199170.034334</v>
          </cell>
          <cell r="AA36">
            <v>207845.21330899998</v>
          </cell>
          <cell r="AB36">
            <v>213097.63994600001</v>
          </cell>
          <cell r="AC36">
            <v>210854.61595099999</v>
          </cell>
          <cell r="AD36">
            <v>215540.55467811</v>
          </cell>
          <cell r="AE36">
            <v>206278.913218</v>
          </cell>
          <cell r="AF36">
            <v>215331.32912000001</v>
          </cell>
          <cell r="AG36">
            <v>225257.28385199999</v>
          </cell>
          <cell r="AH36">
            <v>231373.25339600001</v>
          </cell>
          <cell r="AI36">
            <v>231373.25339600001</v>
          </cell>
          <cell r="AJ36">
            <v>242480.638466</v>
          </cell>
          <cell r="AK36">
            <v>253146.55879299997</v>
          </cell>
          <cell r="AL36">
            <v>265719.69406499999</v>
          </cell>
          <cell r="AM36">
            <v>270589.71053400001</v>
          </cell>
          <cell r="AN36">
            <v>265692.44359399995</v>
          </cell>
          <cell r="AO36">
            <v>266782.88270200003</v>
          </cell>
          <cell r="AP36">
            <v>267258.29638300004</v>
          </cell>
          <cell r="AQ36">
            <v>278599.92233199999</v>
          </cell>
          <cell r="AR36">
            <v>276291.16151999997</v>
          </cell>
          <cell r="AS36">
            <v>283011.96626000002</v>
          </cell>
          <cell r="AT36">
            <v>277503.04418999999</v>
          </cell>
          <cell r="AU36">
            <v>288092.78949125001</v>
          </cell>
        </row>
        <row r="37">
          <cell r="A37" t="str">
            <v xml:space="preserve">   SPNF</v>
          </cell>
          <cell r="C37">
            <v>16662.553036999998</v>
          </cell>
          <cell r="D37">
            <v>13558.515445000001</v>
          </cell>
          <cell r="E37">
            <v>13558.515445000001</v>
          </cell>
          <cell r="F37">
            <v>20601.021652000003</v>
          </cell>
          <cell r="G37">
            <v>20601.021652000003</v>
          </cell>
          <cell r="H37">
            <v>50597.775065000002</v>
          </cell>
          <cell r="I37">
            <v>50597.775065000002</v>
          </cell>
          <cell r="J37">
            <v>50800.123291999997</v>
          </cell>
          <cell r="K37">
            <v>52998.031486</v>
          </cell>
          <cell r="L37">
            <v>56928.222136999997</v>
          </cell>
          <cell r="M37">
            <v>59243.338620000002</v>
          </cell>
          <cell r="N37">
            <v>60178.030323000006</v>
          </cell>
          <cell r="O37">
            <v>57114.059215000001</v>
          </cell>
          <cell r="P37">
            <v>59091.612456000003</v>
          </cell>
          <cell r="Q37">
            <v>62418.497476000004</v>
          </cell>
          <cell r="R37">
            <v>69457.273935000005</v>
          </cell>
          <cell r="S37">
            <v>66071.230671999991</v>
          </cell>
          <cell r="T37">
            <v>58782.581224000001</v>
          </cell>
          <cell r="U37">
            <v>50554.466339999999</v>
          </cell>
          <cell r="V37">
            <v>50554.466339999999</v>
          </cell>
          <cell r="W37">
            <v>44056.595880000001</v>
          </cell>
          <cell r="X37">
            <v>43288.983595999998</v>
          </cell>
          <cell r="Y37">
            <v>43268.529485999999</v>
          </cell>
          <cell r="Z37">
            <v>45430.516884999997</v>
          </cell>
          <cell r="AA37">
            <v>49575.212246000003</v>
          </cell>
          <cell r="AB37">
            <v>56621.222097999998</v>
          </cell>
          <cell r="AC37">
            <v>62592.098826000001</v>
          </cell>
          <cell r="AD37">
            <v>65034.410199999998</v>
          </cell>
          <cell r="AE37">
            <v>73685.353740000006</v>
          </cell>
          <cell r="AF37">
            <v>79189.389915000007</v>
          </cell>
          <cell r="AG37">
            <v>54944.460038999998</v>
          </cell>
          <cell r="AH37">
            <v>54019.302295000001</v>
          </cell>
          <cell r="AI37">
            <v>54019.302295000001</v>
          </cell>
          <cell r="AJ37">
            <v>47101.313778999996</v>
          </cell>
          <cell r="AK37">
            <v>50389.285005999998</v>
          </cell>
          <cell r="AL37">
            <v>51245.370118999999</v>
          </cell>
          <cell r="AM37">
            <v>58204.958717000001</v>
          </cell>
          <cell r="AN37">
            <v>61035.353629999998</v>
          </cell>
          <cell r="AO37">
            <v>62933.572916999998</v>
          </cell>
          <cell r="AP37">
            <v>57911.765188999998</v>
          </cell>
          <cell r="AQ37">
            <v>60841.532431</v>
          </cell>
          <cell r="AR37">
            <v>65151.111674</v>
          </cell>
          <cell r="AS37">
            <v>63001.139151000003</v>
          </cell>
          <cell r="AT37">
            <v>49667.140148999999</v>
          </cell>
          <cell r="AU37">
            <v>46202.820856749997</v>
          </cell>
        </row>
        <row r="38">
          <cell r="A38" t="str">
            <v xml:space="preserve">   SPFNB</v>
          </cell>
          <cell r="C38">
            <v>473.73346800000002</v>
          </cell>
          <cell r="D38">
            <v>306.75889600000005</v>
          </cell>
          <cell r="E38">
            <v>306.75889600000005</v>
          </cell>
          <cell r="F38">
            <v>326.18604799999991</v>
          </cell>
          <cell r="G38">
            <v>326.18604799999991</v>
          </cell>
          <cell r="H38">
            <v>12.043689999999998</v>
          </cell>
          <cell r="I38">
            <v>12.043689999999998</v>
          </cell>
          <cell r="J38">
            <v>48.036723999999992</v>
          </cell>
          <cell r="K38">
            <v>48.045220999999998</v>
          </cell>
          <cell r="L38">
            <v>12.037563000000006</v>
          </cell>
          <cell r="M38">
            <v>13.753391999999991</v>
          </cell>
          <cell r="N38">
            <v>13.753623999999974</v>
          </cell>
          <cell r="O38">
            <v>14.653839999999988</v>
          </cell>
          <cell r="P38">
            <v>13.753944000000004</v>
          </cell>
          <cell r="Q38">
            <v>13.724969999999999</v>
          </cell>
          <cell r="R38">
            <v>13.734909999999999</v>
          </cell>
          <cell r="S38">
            <v>14.315939999999955</v>
          </cell>
          <cell r="T38">
            <v>60.736620000000016</v>
          </cell>
          <cell r="U38">
            <v>60.53666000000004</v>
          </cell>
          <cell r="V38">
            <v>60.53666000000004</v>
          </cell>
          <cell r="W38">
            <v>19.293319999999994</v>
          </cell>
          <cell r="X38">
            <v>16.204980000000006</v>
          </cell>
          <cell r="Y38">
            <v>16.405000000000001</v>
          </cell>
          <cell r="Z38">
            <v>16.405000000000001</v>
          </cell>
          <cell r="AA38">
            <v>16.405000000000001</v>
          </cell>
          <cell r="AB38">
            <v>16.204999999999998</v>
          </cell>
          <cell r="AC38">
            <v>18.163</v>
          </cell>
          <cell r="AD38">
            <v>16.405000000000001</v>
          </cell>
          <cell r="AE38">
            <v>15.404999999999999</v>
          </cell>
          <cell r="AF38">
            <v>16.405000000000001</v>
          </cell>
          <cell r="AG38">
            <v>19.864999999999998</v>
          </cell>
          <cell r="AH38">
            <v>22.364999999999998</v>
          </cell>
          <cell r="AI38">
            <v>22.364999999999998</v>
          </cell>
          <cell r="AJ38">
            <v>23.515000000000001</v>
          </cell>
          <cell r="AK38">
            <v>16.515000000000001</v>
          </cell>
          <cell r="AL38">
            <v>103.315</v>
          </cell>
          <cell r="AM38">
            <v>113.86499999999999</v>
          </cell>
          <cell r="AN38">
            <v>100.55</v>
          </cell>
          <cell r="AO38">
            <v>108.85</v>
          </cell>
          <cell r="AP38">
            <v>0</v>
          </cell>
          <cell r="AQ38">
            <v>0</v>
          </cell>
          <cell r="AR38">
            <v>0</v>
          </cell>
          <cell r="AS38">
            <v>0</v>
          </cell>
          <cell r="AT38">
            <v>0</v>
          </cell>
          <cell r="AU38">
            <v>0</v>
          </cell>
        </row>
        <row r="39">
          <cell r="A39" t="str">
            <v>Dep. plazo (en $)</v>
          </cell>
          <cell r="C39">
            <v>525.05190000000005</v>
          </cell>
          <cell r="D39">
            <v>621.05689999999993</v>
          </cell>
          <cell r="E39">
            <v>621.05689999999993</v>
          </cell>
          <cell r="F39">
            <v>730.35720000000003</v>
          </cell>
          <cell r="G39">
            <v>730.35720000000003</v>
          </cell>
          <cell r="H39">
            <v>864.62570000000005</v>
          </cell>
          <cell r="I39">
            <v>864.62570000000005</v>
          </cell>
          <cell r="J39">
            <v>880.80109999999991</v>
          </cell>
          <cell r="K39">
            <v>840.63580000000002</v>
          </cell>
          <cell r="L39">
            <v>857.21990000000005</v>
          </cell>
          <cell r="M39">
            <v>872.41320000000007</v>
          </cell>
          <cell r="N39">
            <v>894.19359999999995</v>
          </cell>
          <cell r="O39">
            <v>875.47320000000002</v>
          </cell>
          <cell r="P39">
            <v>900.50979999999993</v>
          </cell>
          <cell r="Q39">
            <v>923.66480000000013</v>
          </cell>
          <cell r="R39">
            <v>913.43130000000008</v>
          </cell>
          <cell r="S39">
            <v>945.56020000000001</v>
          </cell>
          <cell r="T39">
            <v>946.0619999999999</v>
          </cell>
          <cell r="U39">
            <v>976.47889999999995</v>
          </cell>
          <cell r="V39">
            <v>976.47889999999995</v>
          </cell>
          <cell r="W39">
            <v>1003.665</v>
          </cell>
          <cell r="X39">
            <v>1006.6596</v>
          </cell>
          <cell r="Y39">
            <v>1052.36069613</v>
          </cell>
          <cell r="Z39">
            <v>1043.8614191499998</v>
          </cell>
          <cell r="AA39">
            <v>1069.2583509999999</v>
          </cell>
          <cell r="AB39">
            <v>1092.793809</v>
          </cell>
          <cell r="AC39">
            <v>1170.5039690000001</v>
          </cell>
          <cell r="AD39">
            <v>1186.7476616900001</v>
          </cell>
          <cell r="AE39">
            <v>1226.0858125899999</v>
          </cell>
          <cell r="AF39">
            <v>1260.66886116</v>
          </cell>
          <cell r="AG39">
            <v>1238.3872006400002</v>
          </cell>
          <cell r="AH39">
            <v>1226.02849406</v>
          </cell>
          <cell r="AI39">
            <v>1226.02849406</v>
          </cell>
          <cell r="AJ39">
            <v>1247.45751999</v>
          </cell>
          <cell r="AK39">
            <v>1243.5294759899998</v>
          </cell>
          <cell r="AL39">
            <v>1266.2745795300002</v>
          </cell>
          <cell r="AM39">
            <v>1418.3935770300002</v>
          </cell>
          <cell r="AN39">
            <v>1427.5334672800002</v>
          </cell>
          <cell r="AO39">
            <v>1271.41293733</v>
          </cell>
          <cell r="AP39">
            <v>1314.64150892</v>
          </cell>
          <cell r="AQ39">
            <v>1296.9072142699999</v>
          </cell>
          <cell r="AR39">
            <v>1335.45561881</v>
          </cell>
          <cell r="AS39">
            <v>1332.7033976900002</v>
          </cell>
          <cell r="AT39">
            <v>1282.2272933400002</v>
          </cell>
          <cell r="AU39">
            <v>1294.1522325499998</v>
          </cell>
        </row>
        <row r="40">
          <cell r="A40" t="str">
            <v xml:space="preserve">   Sector Privado</v>
          </cell>
          <cell r="C40">
            <v>522.43740000000003</v>
          </cell>
          <cell r="D40">
            <v>602.74599999999998</v>
          </cell>
          <cell r="E40">
            <v>602.74599999999998</v>
          </cell>
          <cell r="F40">
            <v>720.33720000000005</v>
          </cell>
          <cell r="G40">
            <v>720.33720000000005</v>
          </cell>
          <cell r="H40">
            <v>854.36620000000005</v>
          </cell>
          <cell r="I40">
            <v>854.36620000000005</v>
          </cell>
          <cell r="J40">
            <v>871.52189999999996</v>
          </cell>
          <cell r="K40">
            <v>828.84649999999999</v>
          </cell>
          <cell r="L40">
            <v>848.49990000000003</v>
          </cell>
          <cell r="M40">
            <v>864.62400000000002</v>
          </cell>
          <cell r="N40">
            <v>890.14949999999999</v>
          </cell>
          <cell r="O40">
            <v>869.61929999999995</v>
          </cell>
          <cell r="P40">
            <v>895.33979999999997</v>
          </cell>
          <cell r="Q40">
            <v>915.73940000000005</v>
          </cell>
          <cell r="R40">
            <v>907.95780000000002</v>
          </cell>
          <cell r="S40">
            <v>928.69690000000003</v>
          </cell>
          <cell r="T40">
            <v>927.41679999999997</v>
          </cell>
          <cell r="U40">
            <v>957.55889999999999</v>
          </cell>
          <cell r="V40">
            <v>957.55889999999999</v>
          </cell>
          <cell r="W40">
            <v>987.82</v>
          </cell>
          <cell r="X40">
            <v>990.26120000000003</v>
          </cell>
          <cell r="Y40">
            <v>1035.1071531299999</v>
          </cell>
          <cell r="Z40">
            <v>1026.23988315</v>
          </cell>
          <cell r="AA40">
            <v>1050.495504</v>
          </cell>
          <cell r="AB40">
            <v>1072.8008729999999</v>
          </cell>
          <cell r="AC40">
            <v>1150.3987320000001</v>
          </cell>
          <cell r="AD40">
            <v>1164.45070369</v>
          </cell>
          <cell r="AE40">
            <v>1196.3248215900001</v>
          </cell>
          <cell r="AF40">
            <v>1228.39310116</v>
          </cell>
          <cell r="AG40">
            <v>1205.3583306400001</v>
          </cell>
          <cell r="AH40">
            <v>1193.02117206</v>
          </cell>
          <cell r="AI40">
            <v>1193.02117206</v>
          </cell>
          <cell r="AJ40">
            <v>1212.10683599</v>
          </cell>
          <cell r="AK40">
            <v>1208.0540259899999</v>
          </cell>
          <cell r="AL40">
            <v>1229.64113253</v>
          </cell>
          <cell r="AM40">
            <v>1384.8538950300001</v>
          </cell>
          <cell r="AN40">
            <v>1398.50382128</v>
          </cell>
          <cell r="AO40">
            <v>1242.5807493299999</v>
          </cell>
          <cell r="AP40">
            <v>1290.3850196000001</v>
          </cell>
          <cell r="AQ40">
            <v>1272.7999518399999</v>
          </cell>
          <cell r="AR40">
            <v>1311.23824139</v>
          </cell>
          <cell r="AS40">
            <v>1309.3305673100001</v>
          </cell>
          <cell r="AT40">
            <v>1257.8018126300001</v>
          </cell>
          <cell r="AU40">
            <v>1268.5483816399999</v>
          </cell>
        </row>
        <row r="41">
          <cell r="A41" t="str">
            <v xml:space="preserve">   SPNF</v>
          </cell>
          <cell r="C41">
            <v>2.2953000000000001</v>
          </cell>
          <cell r="D41">
            <v>6.6505000000000001</v>
          </cell>
          <cell r="E41">
            <v>6.6505000000000001</v>
          </cell>
          <cell r="F41">
            <v>6.1036000000000001</v>
          </cell>
          <cell r="G41">
            <v>6.1036000000000001</v>
          </cell>
          <cell r="H41">
            <v>9.5685000000000002</v>
          </cell>
          <cell r="I41">
            <v>9.5684999999999985</v>
          </cell>
          <cell r="J41">
            <v>8.5153999999999996</v>
          </cell>
          <cell r="K41">
            <v>11.1014</v>
          </cell>
          <cell r="L41">
            <v>7.6662999999999997</v>
          </cell>
          <cell r="M41">
            <v>7.202</v>
          </cell>
          <cell r="N41">
            <v>3.3569</v>
          </cell>
          <cell r="O41">
            <v>5.3666999999999998</v>
          </cell>
          <cell r="P41">
            <v>5.0087999999999999</v>
          </cell>
          <cell r="Q41">
            <v>7.9223999999999997</v>
          </cell>
          <cell r="R41">
            <v>5.4705000000000004</v>
          </cell>
          <cell r="S41">
            <v>15.4223</v>
          </cell>
          <cell r="T41">
            <v>16.124199999999998</v>
          </cell>
          <cell r="U41">
            <v>17.088999999999999</v>
          </cell>
          <cell r="V41">
            <v>17.088999999999999</v>
          </cell>
          <cell r="W41">
            <v>14.468</v>
          </cell>
          <cell r="X41">
            <v>15.7714</v>
          </cell>
          <cell r="Y41">
            <v>16.626543000000002</v>
          </cell>
          <cell r="Z41">
            <v>16.994536</v>
          </cell>
          <cell r="AA41">
            <v>18.135846999999998</v>
          </cell>
          <cell r="AB41">
            <v>19.367936</v>
          </cell>
          <cell r="AC41">
            <v>19.469436999999999</v>
          </cell>
          <cell r="AD41">
            <v>21.659167</v>
          </cell>
          <cell r="AE41">
            <v>21.8752</v>
          </cell>
          <cell r="AF41">
            <v>21.79476</v>
          </cell>
          <cell r="AG41">
            <v>22.07687</v>
          </cell>
          <cell r="AH41">
            <v>22.207322000000001</v>
          </cell>
          <cell r="AI41">
            <v>22.207322000000001</v>
          </cell>
          <cell r="AJ41">
            <v>23.993683999999998</v>
          </cell>
          <cell r="AK41">
            <v>24.185449999999999</v>
          </cell>
          <cell r="AL41">
            <v>23.876446999999999</v>
          </cell>
          <cell r="AM41">
            <v>23.031682</v>
          </cell>
          <cell r="AN41">
            <v>24.379646000000001</v>
          </cell>
          <cell r="AO41">
            <v>24.182188</v>
          </cell>
          <cell r="AP41">
            <v>24.25648932</v>
          </cell>
          <cell r="AQ41">
            <v>24.107262429999999</v>
          </cell>
          <cell r="AR41">
            <v>24.217377419999998</v>
          </cell>
          <cell r="AS41">
            <v>23.37283038</v>
          </cell>
          <cell r="AT41">
            <v>24.425480709999999</v>
          </cell>
          <cell r="AU41">
            <v>25.603850909999998</v>
          </cell>
        </row>
        <row r="42">
          <cell r="A42" t="str">
            <v xml:space="preserve">   SPFNB</v>
          </cell>
          <cell r="C42">
            <v>0.31919999999999998</v>
          </cell>
          <cell r="D42">
            <v>11.660399999999999</v>
          </cell>
          <cell r="E42">
            <v>11.660400000000001</v>
          </cell>
          <cell r="F42">
            <v>3.9163999999999999</v>
          </cell>
          <cell r="G42">
            <v>3.9163999999999999</v>
          </cell>
          <cell r="H42">
            <v>0.69099999999999995</v>
          </cell>
          <cell r="I42">
            <v>0.69099999999999995</v>
          </cell>
          <cell r="J42">
            <v>0.76380000000000003</v>
          </cell>
          <cell r="K42">
            <v>0.68789999999999996</v>
          </cell>
          <cell r="L42">
            <v>1.0537000000000001</v>
          </cell>
          <cell r="M42">
            <v>0.58720000000000006</v>
          </cell>
          <cell r="N42">
            <v>0.68720000000000003</v>
          </cell>
          <cell r="O42">
            <v>0.48720000000000002</v>
          </cell>
          <cell r="P42">
            <v>0.16120000000000001</v>
          </cell>
          <cell r="Q42">
            <v>3.0000000000000001E-3</v>
          </cell>
          <cell r="R42">
            <v>3.0000000000000001E-3</v>
          </cell>
          <cell r="S42">
            <v>1.4410000000000001</v>
          </cell>
          <cell r="T42">
            <v>2.5209999999999999</v>
          </cell>
          <cell r="U42">
            <v>1.831</v>
          </cell>
          <cell r="V42">
            <v>1.831</v>
          </cell>
          <cell r="W42">
            <v>1.377</v>
          </cell>
          <cell r="X42">
            <v>0.627</v>
          </cell>
          <cell r="Y42">
            <v>0.627</v>
          </cell>
          <cell r="Z42">
            <v>0.627</v>
          </cell>
          <cell r="AA42">
            <v>0.627</v>
          </cell>
          <cell r="AB42">
            <v>0.625</v>
          </cell>
          <cell r="AC42">
            <v>0.63580000000000003</v>
          </cell>
          <cell r="AD42">
            <v>0.637791</v>
          </cell>
          <cell r="AE42">
            <v>7.8857910000000002</v>
          </cell>
          <cell r="AF42">
            <v>10.481</v>
          </cell>
          <cell r="AG42">
            <v>10.952</v>
          </cell>
          <cell r="AH42">
            <v>10.8</v>
          </cell>
          <cell r="AI42">
            <v>10.8</v>
          </cell>
          <cell r="AJ42">
            <v>11.356999999999999</v>
          </cell>
          <cell r="AK42">
            <v>11.29</v>
          </cell>
          <cell r="AL42">
            <v>12.757</v>
          </cell>
          <cell r="AM42">
            <v>10.507999999999999</v>
          </cell>
          <cell r="AN42">
            <v>4.6500000000000004</v>
          </cell>
          <cell r="AO42">
            <v>4.6500000000000004</v>
          </cell>
          <cell r="AP42">
            <v>0</v>
          </cell>
          <cell r="AQ42">
            <v>0</v>
          </cell>
          <cell r="AR42">
            <v>0</v>
          </cell>
          <cell r="AS42">
            <v>0</v>
          </cell>
          <cell r="AT42">
            <v>0</v>
          </cell>
          <cell r="AU42">
            <v>0</v>
          </cell>
        </row>
        <row r="43">
          <cell r="A43" t="str">
            <v>OTROS DEPOSITOS M/N</v>
          </cell>
          <cell r="C43">
            <v>13587.156024000004</v>
          </cell>
          <cell r="D43">
            <v>19157.981017000002</v>
          </cell>
          <cell r="E43">
            <v>19157.981017000002</v>
          </cell>
          <cell r="F43">
            <v>19773.338262000001</v>
          </cell>
          <cell r="G43">
            <v>19773.338262000001</v>
          </cell>
          <cell r="H43">
            <v>24858.969652</v>
          </cell>
          <cell r="I43">
            <v>24858.969652</v>
          </cell>
          <cell r="J43">
            <v>35716.815090000004</v>
          </cell>
          <cell r="K43">
            <v>50424.332870000006</v>
          </cell>
          <cell r="L43">
            <v>41268.718660000006</v>
          </cell>
          <cell r="M43">
            <v>36173.71271</v>
          </cell>
          <cell r="N43">
            <v>25356.155323999999</v>
          </cell>
          <cell r="O43">
            <v>41262.433379999995</v>
          </cell>
          <cell r="P43">
            <v>35983.676845000002</v>
          </cell>
          <cell r="Q43">
            <v>33968.681751999997</v>
          </cell>
          <cell r="R43">
            <v>39414.410816999996</v>
          </cell>
          <cell r="S43">
            <v>38751.278680000003</v>
          </cell>
          <cell r="T43">
            <v>41704.690512000008</v>
          </cell>
          <cell r="U43">
            <v>30233.99366</v>
          </cell>
          <cell r="V43">
            <v>30233.99366</v>
          </cell>
          <cell r="W43">
            <v>42312.078689999995</v>
          </cell>
          <cell r="X43">
            <v>44351.841639999999</v>
          </cell>
          <cell r="Y43">
            <v>59415.91633953042</v>
          </cell>
          <cell r="Z43">
            <v>51592.625517427783</v>
          </cell>
          <cell r="AA43">
            <v>49576.00220852944</v>
          </cell>
          <cell r="AB43">
            <v>55270.500591751319</v>
          </cell>
          <cell r="AC43">
            <v>55146.722375663048</v>
          </cell>
          <cell r="AD43">
            <v>54799.921337249274</v>
          </cell>
          <cell r="AE43">
            <v>74919.550014130087</v>
          </cell>
          <cell r="AF43">
            <v>56029.250953307674</v>
          </cell>
          <cell r="AG43">
            <v>65482.090591788226</v>
          </cell>
          <cell r="AH43">
            <v>53170.31164896366</v>
          </cell>
          <cell r="AI43">
            <v>53170.31164896366</v>
          </cell>
          <cell r="AJ43">
            <v>60704.213323513424</v>
          </cell>
          <cell r="AK43">
            <v>60262.3688422181</v>
          </cell>
          <cell r="AL43">
            <v>61280.222219197458</v>
          </cell>
          <cell r="AM43">
            <v>63597.042131410388</v>
          </cell>
          <cell r="AN43">
            <v>71361.057738512871</v>
          </cell>
          <cell r="AO43">
            <v>67828.061573016996</v>
          </cell>
          <cell r="AP43">
            <v>63591.249776982426</v>
          </cell>
          <cell r="AQ43">
            <v>67039.48360857481</v>
          </cell>
          <cell r="AR43">
            <v>68464.25817367353</v>
          </cell>
          <cell r="AS43">
            <v>58721.61479266519</v>
          </cell>
          <cell r="AT43">
            <v>71349.968724101986</v>
          </cell>
          <cell r="AU43">
            <v>51540.905713888496</v>
          </cell>
        </row>
        <row r="44">
          <cell r="A44" t="str">
            <v xml:space="preserve">   Cheques de gerencia</v>
          </cell>
          <cell r="C44">
            <v>5976.5652410000002</v>
          </cell>
          <cell r="D44">
            <v>3930.7954490000002</v>
          </cell>
          <cell r="E44">
            <v>3930.7954490000002</v>
          </cell>
          <cell r="F44">
            <v>4644.5097390000001</v>
          </cell>
          <cell r="G44">
            <v>4644.5097390000001</v>
          </cell>
          <cell r="H44">
            <v>2961.388504</v>
          </cell>
          <cell r="I44">
            <v>2961.388504</v>
          </cell>
          <cell r="J44">
            <v>3448.575374</v>
          </cell>
          <cell r="K44">
            <v>13326.083369</v>
          </cell>
          <cell r="L44">
            <v>5086.2476910000005</v>
          </cell>
          <cell r="M44">
            <v>5158.1771079999999</v>
          </cell>
          <cell r="N44">
            <v>4090.5793180000001</v>
          </cell>
          <cell r="O44">
            <v>5041.992765</v>
          </cell>
          <cell r="P44">
            <v>4532.4274160000004</v>
          </cell>
          <cell r="Q44">
            <v>4161.823206</v>
          </cell>
          <cell r="R44">
            <v>4363.886724</v>
          </cell>
          <cell r="S44">
            <v>5096.0459119999996</v>
          </cell>
          <cell r="T44">
            <v>5553.7696160000005</v>
          </cell>
          <cell r="U44">
            <v>4281.9852640000008</v>
          </cell>
          <cell r="V44">
            <v>4281.9852640000008</v>
          </cell>
          <cell r="W44">
            <v>4147.448128</v>
          </cell>
          <cell r="X44">
            <v>7483.2350239999996</v>
          </cell>
          <cell r="Y44">
            <v>7767.8453090000003</v>
          </cell>
          <cell r="Z44">
            <v>6735.7249030000003</v>
          </cell>
          <cell r="AA44">
            <v>7847.4880540000004</v>
          </cell>
          <cell r="AB44">
            <v>5739.6176869999999</v>
          </cell>
          <cell r="AC44">
            <v>4510.1514850000003</v>
          </cell>
          <cell r="AD44">
            <v>6156.9148409999998</v>
          </cell>
          <cell r="AE44">
            <v>5696.1751629999999</v>
          </cell>
          <cell r="AF44">
            <v>4364.2990790000003</v>
          </cell>
          <cell r="AG44">
            <v>5181.2944669999997</v>
          </cell>
          <cell r="AH44">
            <v>3482.4804549999999</v>
          </cell>
          <cell r="AI44">
            <v>3482.4804549999999</v>
          </cell>
          <cell r="AJ44">
            <v>4310.0934470000002</v>
          </cell>
          <cell r="AK44">
            <v>4845.5332740000003</v>
          </cell>
          <cell r="AL44">
            <v>4613.7203330000002</v>
          </cell>
          <cell r="AM44">
            <v>5838.5077760000004</v>
          </cell>
          <cell r="AN44">
            <v>4987.5125509999998</v>
          </cell>
          <cell r="AO44">
            <v>4860.3508389999997</v>
          </cell>
          <cell r="AP44">
            <v>5211.9597899999999</v>
          </cell>
          <cell r="AQ44">
            <v>3976.0026320000002</v>
          </cell>
          <cell r="AR44">
            <v>5169.53676</v>
          </cell>
          <cell r="AS44">
            <v>4182.5717549999999</v>
          </cell>
          <cell r="AT44">
            <v>5547.5896739999998</v>
          </cell>
          <cell r="AU44">
            <v>3919.3830739999999</v>
          </cell>
        </row>
        <row r="45">
          <cell r="A45" t="str">
            <v xml:space="preserve">   Cheques certificados </v>
          </cell>
          <cell r="C45">
            <v>406.89058799999998</v>
          </cell>
          <cell r="D45">
            <v>739.48567300000002</v>
          </cell>
          <cell r="E45">
            <v>739.48567300000002</v>
          </cell>
          <cell r="F45">
            <v>612.08453599999996</v>
          </cell>
          <cell r="G45">
            <v>612.08453599999996</v>
          </cell>
          <cell r="H45">
            <v>564.66497100000004</v>
          </cell>
          <cell r="I45">
            <v>564.66497100000004</v>
          </cell>
          <cell r="J45">
            <v>867.97493399999996</v>
          </cell>
          <cell r="K45">
            <v>996.80853599999989</v>
          </cell>
          <cell r="L45">
            <v>1103.5870580000001</v>
          </cell>
          <cell r="M45">
            <v>1141.678848</v>
          </cell>
          <cell r="N45">
            <v>1324.2189780000001</v>
          </cell>
          <cell r="O45">
            <v>1336.911715</v>
          </cell>
          <cell r="P45">
            <v>1071.6377660000001</v>
          </cell>
          <cell r="Q45">
            <v>947.359059</v>
          </cell>
          <cell r="R45">
            <v>1349.9434249999999</v>
          </cell>
          <cell r="S45">
            <v>1316.1462840000002</v>
          </cell>
          <cell r="T45">
            <v>1189.849876</v>
          </cell>
          <cell r="U45">
            <v>1260.213084</v>
          </cell>
          <cell r="V45">
            <v>1260.213084</v>
          </cell>
          <cell r="W45">
            <v>1283.062608</v>
          </cell>
          <cell r="X45">
            <v>712.27207799999996</v>
          </cell>
          <cell r="Y45">
            <v>646.40993300000002</v>
          </cell>
          <cell r="Z45">
            <v>771.45247300000005</v>
          </cell>
          <cell r="AA45">
            <v>606.63582199999996</v>
          </cell>
          <cell r="AB45">
            <v>723.45191599999998</v>
          </cell>
          <cell r="AC45">
            <v>814.02986299999998</v>
          </cell>
          <cell r="AD45">
            <v>632.90989000000002</v>
          </cell>
          <cell r="AE45">
            <v>703.22605999999996</v>
          </cell>
          <cell r="AF45">
            <v>530.36008300000003</v>
          </cell>
          <cell r="AG45">
            <v>832.20656299999996</v>
          </cell>
          <cell r="AH45">
            <v>714.17735300000004</v>
          </cell>
          <cell r="AI45">
            <v>714.17735300000004</v>
          </cell>
          <cell r="AJ45">
            <v>629.35847200000001</v>
          </cell>
          <cell r="AK45">
            <v>698.68371100000002</v>
          </cell>
          <cell r="AL45">
            <v>499.08724100000001</v>
          </cell>
          <cell r="AM45">
            <v>623.49719000000005</v>
          </cell>
          <cell r="AN45">
            <v>444.69758300000001</v>
          </cell>
          <cell r="AO45">
            <v>609.97292000000004</v>
          </cell>
          <cell r="AP45">
            <v>538.70790199999999</v>
          </cell>
          <cell r="AQ45">
            <v>408.07775800000002</v>
          </cell>
          <cell r="AR45">
            <v>540.54492900000002</v>
          </cell>
          <cell r="AS45">
            <v>392.224401</v>
          </cell>
          <cell r="AT45">
            <v>559.698712</v>
          </cell>
          <cell r="AU45">
            <v>358.601066</v>
          </cell>
        </row>
        <row r="46">
          <cell r="A46" t="str">
            <v xml:space="preserve">   Plazo vencido </v>
          </cell>
          <cell r="C46">
            <v>2252.8651350000009</v>
          </cell>
          <cell r="D46">
            <v>3184.2984800000013</v>
          </cell>
          <cell r="E46">
            <v>3184.2984800000013</v>
          </cell>
          <cell r="F46">
            <v>3120.6817740000015</v>
          </cell>
          <cell r="G46">
            <v>3120.6817740000015</v>
          </cell>
          <cell r="H46">
            <v>4896.2460679999995</v>
          </cell>
          <cell r="I46">
            <v>4896.2460679999995</v>
          </cell>
          <cell r="J46">
            <v>3039.054924</v>
          </cell>
          <cell r="K46">
            <v>3656.4175660000001</v>
          </cell>
          <cell r="L46">
            <v>4631.8358509999998</v>
          </cell>
          <cell r="M46">
            <v>3933.3691340000005</v>
          </cell>
          <cell r="N46">
            <v>3353.4125789999989</v>
          </cell>
          <cell r="O46">
            <v>3824.6427999999996</v>
          </cell>
          <cell r="P46">
            <v>2978.2808349999996</v>
          </cell>
          <cell r="Q46">
            <v>2684.582171</v>
          </cell>
          <cell r="R46">
            <v>3140.2559359999996</v>
          </cell>
          <cell r="S46">
            <v>2966.3328000000001</v>
          </cell>
          <cell r="T46">
            <v>3997.4547080000011</v>
          </cell>
          <cell r="U46">
            <v>3865.2587640000002</v>
          </cell>
          <cell r="V46">
            <v>3865.2587640000002</v>
          </cell>
          <cell r="W46">
            <v>4520.783543999999</v>
          </cell>
          <cell r="X46">
            <v>4849.6061040000004</v>
          </cell>
          <cell r="Y46">
            <v>4225.5500510000002</v>
          </cell>
          <cell r="Z46">
            <v>4305.8147179999996</v>
          </cell>
          <cell r="AA46">
            <v>3133.757607</v>
          </cell>
          <cell r="AB46">
            <v>4357.5470679999999</v>
          </cell>
          <cell r="AC46">
            <v>3648.6391100000001</v>
          </cell>
          <cell r="AD46">
            <v>3649.0082790000001</v>
          </cell>
          <cell r="AE46">
            <v>5486.7028920000002</v>
          </cell>
          <cell r="AF46">
            <v>4873.8657160000002</v>
          </cell>
          <cell r="AG46">
            <v>9459.6145109999998</v>
          </cell>
          <cell r="AH46">
            <v>6460.5439159999996</v>
          </cell>
          <cell r="AI46">
            <v>6460.5439159999996</v>
          </cell>
          <cell r="AJ46">
            <v>6357.574404</v>
          </cell>
          <cell r="AK46">
            <v>5088.5711259999998</v>
          </cell>
          <cell r="AL46">
            <v>5027.174129</v>
          </cell>
          <cell r="AM46">
            <v>5552.0882780000002</v>
          </cell>
          <cell r="AN46">
            <v>5572.2583690000001</v>
          </cell>
          <cell r="AO46">
            <v>7163.708106</v>
          </cell>
          <cell r="AP46">
            <v>5605.2611420000003</v>
          </cell>
          <cell r="AQ46">
            <v>4537.4520320000001</v>
          </cell>
          <cell r="AR46">
            <v>5026.6489510000001</v>
          </cell>
          <cell r="AS46">
            <v>6344.18498</v>
          </cell>
          <cell r="AT46">
            <v>5609.9817590000002</v>
          </cell>
          <cell r="AU46">
            <v>8596.4308359999995</v>
          </cell>
        </row>
        <row r="47">
          <cell r="A47" t="str">
            <v xml:space="preserve">   Dep judiciales</v>
          </cell>
          <cell r="C47">
            <v>0</v>
          </cell>
          <cell r="D47">
            <v>4963.7838350000002</v>
          </cell>
          <cell r="E47">
            <v>4963.7838350000002</v>
          </cell>
          <cell r="F47">
            <v>6298.4559810000001</v>
          </cell>
          <cell r="G47">
            <v>6298.4559810000001</v>
          </cell>
          <cell r="H47">
            <v>7768.1054130000011</v>
          </cell>
          <cell r="I47">
            <v>7768.1054130000011</v>
          </cell>
          <cell r="J47">
            <v>7984.6327979999996</v>
          </cell>
          <cell r="K47">
            <v>8142.2435000000005</v>
          </cell>
          <cell r="L47">
            <v>8120.7335659999999</v>
          </cell>
          <cell r="M47">
            <v>8264.0598520000003</v>
          </cell>
          <cell r="N47">
            <v>8301.0754940000006</v>
          </cell>
          <cell r="O47">
            <v>8617.796049999999</v>
          </cell>
          <cell r="P47">
            <v>8705.2180520000002</v>
          </cell>
          <cell r="Q47">
            <v>8417.8006189999996</v>
          </cell>
          <cell r="R47">
            <v>8456.7597059999989</v>
          </cell>
          <cell r="S47">
            <v>8519.6672440000002</v>
          </cell>
          <cell r="T47">
            <v>8939.5513360000004</v>
          </cell>
          <cell r="U47">
            <v>9067.5262000000002</v>
          </cell>
          <cell r="V47">
            <v>9067.5262000000002</v>
          </cell>
          <cell r="W47">
            <v>9071.7851799999989</v>
          </cell>
          <cell r="X47">
            <v>9089.2830539999995</v>
          </cell>
          <cell r="Y47">
            <v>9237.1243759999998</v>
          </cell>
          <cell r="Z47">
            <v>9419.2369629999994</v>
          </cell>
          <cell r="AA47">
            <v>9572.5974160000005</v>
          </cell>
          <cell r="AB47">
            <v>9738.9352450000006</v>
          </cell>
          <cell r="AC47">
            <v>9609.9257105699999</v>
          </cell>
          <cell r="AD47">
            <v>9709.8488340000004</v>
          </cell>
          <cell r="AE47">
            <v>10103.547895</v>
          </cell>
          <cell r="AF47">
            <v>10227.879960050001</v>
          </cell>
          <cell r="AG47">
            <v>10472.68491733</v>
          </cell>
          <cell r="AH47">
            <v>10307.6040333</v>
          </cell>
          <cell r="AI47">
            <v>10307.6040333</v>
          </cell>
          <cell r="AJ47">
            <v>10283.14960024</v>
          </cell>
          <cell r="AK47">
            <v>10515.82895601</v>
          </cell>
          <cell r="AL47">
            <v>10415.11791271</v>
          </cell>
          <cell r="AM47">
            <v>10611.038048439999</v>
          </cell>
          <cell r="AN47">
            <v>10686.403398</v>
          </cell>
          <cell r="AO47">
            <v>10738.139067</v>
          </cell>
          <cell r="AP47">
            <v>10970.553539</v>
          </cell>
          <cell r="AQ47">
            <v>13018.08642562</v>
          </cell>
          <cell r="AR47">
            <v>14632.996112000001</v>
          </cell>
          <cell r="AS47">
            <v>13202.423269000001</v>
          </cell>
          <cell r="AT47">
            <v>12948.8179473</v>
          </cell>
          <cell r="AU47">
            <v>12872.025991</v>
          </cell>
        </row>
        <row r="48">
          <cell r="A48" t="str">
            <v xml:space="preserve">   Otras exigibilidades de bancos</v>
          </cell>
          <cell r="C48">
            <v>1205.1300000000001</v>
          </cell>
          <cell r="D48">
            <v>2557.9299999999998</v>
          </cell>
          <cell r="E48">
            <v>2557.9299999999998</v>
          </cell>
          <cell r="F48">
            <v>3135.5043019999994</v>
          </cell>
          <cell r="G48">
            <v>3135.5043019999994</v>
          </cell>
          <cell r="H48">
            <v>6447.0077460000002</v>
          </cell>
          <cell r="I48">
            <v>6447.0077460000002</v>
          </cell>
          <cell r="J48">
            <v>18313.09016</v>
          </cell>
          <cell r="K48">
            <v>21500.043979000002</v>
          </cell>
          <cell r="L48">
            <v>19715.401554</v>
          </cell>
          <cell r="M48">
            <v>14145.880848000001</v>
          </cell>
          <cell r="N48">
            <v>4952.5450349999992</v>
          </cell>
          <cell r="O48">
            <v>18946.706749999998</v>
          </cell>
          <cell r="P48">
            <v>14676.967865999999</v>
          </cell>
          <cell r="Q48">
            <v>13545.794776999999</v>
          </cell>
          <cell r="R48">
            <v>17282.511075999999</v>
          </cell>
          <cell r="S48">
            <v>15468.78954</v>
          </cell>
          <cell r="T48">
            <v>16428.434076000001</v>
          </cell>
          <cell r="U48">
            <v>6154.1814279999999</v>
          </cell>
          <cell r="V48">
            <v>6154.1814279999999</v>
          </cell>
          <cell r="W48">
            <v>17311.046310000002</v>
          </cell>
          <cell r="X48">
            <v>15294.536479999999</v>
          </cell>
          <cell r="Y48">
            <v>21914.269629999999</v>
          </cell>
          <cell r="Z48">
            <v>19005.408711</v>
          </cell>
          <cell r="AA48">
            <v>16108.230086</v>
          </cell>
          <cell r="AB48">
            <v>23214.33224</v>
          </cell>
          <cell r="AC48">
            <v>24026.453635000002</v>
          </cell>
          <cell r="AD48">
            <v>21843.02015</v>
          </cell>
          <cell r="AE48">
            <v>33199.093078999998</v>
          </cell>
          <cell r="AF48">
            <v>21754.449246</v>
          </cell>
          <cell r="AG48">
            <v>24761.448848</v>
          </cell>
          <cell r="AH48">
            <v>16500.422719999999</v>
          </cell>
          <cell r="AI48">
            <v>16500.422719999999</v>
          </cell>
          <cell r="AJ48">
            <v>21761.275839000002</v>
          </cell>
          <cell r="AK48">
            <v>21538.392522999999</v>
          </cell>
          <cell r="AL48">
            <v>23037.665473000001</v>
          </cell>
          <cell r="AM48">
            <v>23209.576688000001</v>
          </cell>
          <cell r="AN48">
            <v>29160.241529999999</v>
          </cell>
          <cell r="AO48">
            <v>24615.097224000001</v>
          </cell>
          <cell r="AP48">
            <v>20828.392789000001</v>
          </cell>
          <cell r="AQ48">
            <v>23473.633043000002</v>
          </cell>
          <cell r="AR48">
            <v>23390.931452000001</v>
          </cell>
          <cell r="AS48">
            <v>16493.012658</v>
          </cell>
          <cell r="AT48">
            <v>27083.786905000001</v>
          </cell>
          <cell r="AU48">
            <v>8703.4420969999992</v>
          </cell>
        </row>
        <row r="49">
          <cell r="A49" t="str">
            <v xml:space="preserve">   Otras obligaciones</v>
          </cell>
          <cell r="C49">
            <v>3745.7050600000002</v>
          </cell>
          <cell r="D49">
            <v>3781.6875800000003</v>
          </cell>
          <cell r="E49">
            <v>3781.6875800000003</v>
          </cell>
          <cell r="F49">
            <v>1962.1019299999998</v>
          </cell>
          <cell r="G49">
            <v>1962.1019299999998</v>
          </cell>
          <cell r="H49">
            <v>2221.5569500000001</v>
          </cell>
          <cell r="I49">
            <v>2221.5569500000001</v>
          </cell>
          <cell r="J49">
            <v>2063.4868999999999</v>
          </cell>
          <cell r="K49">
            <v>2802.7359199999996</v>
          </cell>
          <cell r="L49">
            <v>2610.9129399999997</v>
          </cell>
          <cell r="M49">
            <v>3530.5469199999993</v>
          </cell>
          <cell r="N49">
            <v>3334.3239199999998</v>
          </cell>
          <cell r="O49">
            <v>3494.3833000000004</v>
          </cell>
          <cell r="P49">
            <v>4019.14491</v>
          </cell>
          <cell r="Q49">
            <v>4211.3219200000003</v>
          </cell>
          <cell r="R49">
            <v>4821.0539499999995</v>
          </cell>
          <cell r="S49">
            <v>5384.2969000000003</v>
          </cell>
          <cell r="T49">
            <v>5595.630900000001</v>
          </cell>
          <cell r="U49">
            <v>5604.8289200000008</v>
          </cell>
          <cell r="V49">
            <v>5604.8289200000008</v>
          </cell>
          <cell r="W49">
            <v>5977.9529199999997</v>
          </cell>
          <cell r="X49">
            <v>6922.9088999999985</v>
          </cell>
          <cell r="Y49">
            <v>15624.717040530417</v>
          </cell>
          <cell r="Z49">
            <v>11354.987749427783</v>
          </cell>
          <cell r="AA49">
            <v>12307.293223529437</v>
          </cell>
          <cell r="AB49">
            <v>11496.616435751319</v>
          </cell>
          <cell r="AC49">
            <v>12537.522572093045</v>
          </cell>
          <cell r="AD49">
            <v>12808.21934324927</v>
          </cell>
          <cell r="AE49">
            <v>19730.804925130087</v>
          </cell>
          <cell r="AF49">
            <v>14278.396869257665</v>
          </cell>
          <cell r="AG49">
            <v>14774.841285458229</v>
          </cell>
          <cell r="AH49">
            <v>15705.083171663662</v>
          </cell>
          <cell r="AI49">
            <v>15705.083171663662</v>
          </cell>
          <cell r="AJ49">
            <v>17362.761561273426</v>
          </cell>
          <cell r="AK49">
            <v>17575.359252208098</v>
          </cell>
          <cell r="AL49">
            <v>17687.457130487455</v>
          </cell>
          <cell r="AM49">
            <v>17762.33415097039</v>
          </cell>
          <cell r="AN49">
            <v>20509.944307512869</v>
          </cell>
          <cell r="AO49">
            <v>19840.79341701699</v>
          </cell>
          <cell r="AP49">
            <v>20436.374614982429</v>
          </cell>
          <cell r="AQ49">
            <v>21626.231717954808</v>
          </cell>
          <cell r="AR49">
            <v>19703.599969673523</v>
          </cell>
          <cell r="AS49">
            <v>18107.197729665186</v>
          </cell>
          <cell r="AT49">
            <v>19600.093726801977</v>
          </cell>
          <cell r="AU49">
            <v>17091.022649888491</v>
          </cell>
        </row>
        <row r="50">
          <cell r="A50" t="str">
            <v>OTROS DEPOSITOS (en $)</v>
          </cell>
          <cell r="C50">
            <v>91.749599999999987</v>
          </cell>
          <cell r="D50">
            <v>90.659300000000002</v>
          </cell>
          <cell r="E50">
            <v>90.659300000000002</v>
          </cell>
          <cell r="F50">
            <v>72.622600000000006</v>
          </cell>
          <cell r="G50">
            <v>72.622600000000006</v>
          </cell>
          <cell r="H50">
            <v>66.528800000000004</v>
          </cell>
          <cell r="I50">
            <v>66.528800000000004</v>
          </cell>
          <cell r="J50">
            <v>79.621500000000012</v>
          </cell>
          <cell r="K50">
            <v>92.629000000000005</v>
          </cell>
          <cell r="L50">
            <v>97.710000000000008</v>
          </cell>
          <cell r="M50">
            <v>80.469499999999996</v>
          </cell>
          <cell r="N50">
            <v>66.523200000000003</v>
          </cell>
          <cell r="O50">
            <v>77.4084</v>
          </cell>
          <cell r="P50">
            <v>69.754500000000007</v>
          </cell>
          <cell r="Q50">
            <v>80.800799999999995</v>
          </cell>
          <cell r="R50">
            <v>81.4011</v>
          </cell>
          <cell r="S50">
            <v>74.843000000000004</v>
          </cell>
          <cell r="T50">
            <v>70.025599999999997</v>
          </cell>
          <cell r="U50">
            <v>49.044499999999999</v>
          </cell>
          <cell r="V50">
            <v>49.044499999999999</v>
          </cell>
          <cell r="W50">
            <v>75.497500000000002</v>
          </cell>
          <cell r="X50">
            <v>81.981999999999999</v>
          </cell>
          <cell r="Y50">
            <v>63.363848267514463</v>
          </cell>
          <cell r="Z50">
            <v>84.000934438725636</v>
          </cell>
          <cell r="AA50">
            <v>74.268396424502455</v>
          </cell>
          <cell r="AB50">
            <v>86.425724254410511</v>
          </cell>
          <cell r="AC50">
            <v>84.882614593865227</v>
          </cell>
          <cell r="AD50">
            <v>81.730469752520108</v>
          </cell>
          <cell r="AE50">
            <v>114.17025168169943</v>
          </cell>
          <cell r="AF50">
            <v>82.22419932635853</v>
          </cell>
          <cell r="AG50">
            <v>93.462806137294976</v>
          </cell>
          <cell r="AH50">
            <v>67.665441816717333</v>
          </cell>
          <cell r="AI50">
            <v>67.665441816717333</v>
          </cell>
          <cell r="AJ50">
            <v>87.710263675857718</v>
          </cell>
          <cell r="AK50">
            <v>85.45994874814518</v>
          </cell>
          <cell r="AL50">
            <v>83.278076385923512</v>
          </cell>
          <cell r="AM50">
            <v>103.77221009185587</v>
          </cell>
          <cell r="AN50">
            <v>97.379525014104161</v>
          </cell>
          <cell r="AO50">
            <v>92.517626682805428</v>
          </cell>
          <cell r="AP50">
            <v>100.29902782892869</v>
          </cell>
          <cell r="AQ50">
            <v>99.221705142015367</v>
          </cell>
          <cell r="AR50">
            <v>100.56666354636896</v>
          </cell>
          <cell r="AS50">
            <v>95.569230582873288</v>
          </cell>
          <cell r="AT50">
            <v>115.21132371706972</v>
          </cell>
          <cell r="AU50">
            <v>95.685018737912372</v>
          </cell>
        </row>
        <row r="51">
          <cell r="A51" t="str">
            <v xml:space="preserve">   Cheques de gerencia</v>
          </cell>
          <cell r="C51">
            <v>1.9729000000000001</v>
          </cell>
          <cell r="D51">
            <v>5.3300999999999998</v>
          </cell>
          <cell r="E51">
            <v>5.3300999999999998</v>
          </cell>
          <cell r="F51">
            <v>2.1627000000000001</v>
          </cell>
          <cell r="G51">
            <v>2.1627000000000001</v>
          </cell>
          <cell r="H51">
            <v>3.1156000000000001</v>
          </cell>
          <cell r="I51">
            <v>3.1156000000000001</v>
          </cell>
          <cell r="J51">
            <v>3.4413</v>
          </cell>
          <cell r="K51">
            <v>2.9531000000000001</v>
          </cell>
          <cell r="L51">
            <v>8.5208999999999993</v>
          </cell>
          <cell r="M51">
            <v>5.2077999999999998</v>
          </cell>
          <cell r="N51">
            <v>3.2753999999999999</v>
          </cell>
          <cell r="O51">
            <v>5.4436999999999998</v>
          </cell>
          <cell r="P51">
            <v>4.9968000000000004</v>
          </cell>
          <cell r="Q51">
            <v>5.3293999999999997</v>
          </cell>
          <cell r="R51">
            <v>5.7671999999999999</v>
          </cell>
          <cell r="S51">
            <v>9.0083000000000002</v>
          </cell>
          <cell r="T51">
            <v>7.5877999999999997</v>
          </cell>
          <cell r="U51">
            <v>4.7858999999999998</v>
          </cell>
          <cell r="V51">
            <v>4.7858999999999998</v>
          </cell>
          <cell r="W51">
            <v>6.4787999999999997</v>
          </cell>
          <cell r="X51">
            <v>8.9266000000000005</v>
          </cell>
          <cell r="Y51">
            <v>7.2362754702633403</v>
          </cell>
          <cell r="Z51">
            <v>7.9272791583961801</v>
          </cell>
          <cell r="AA51">
            <v>9.1366714578085606</v>
          </cell>
          <cell r="AB51">
            <v>8.9782364927061291</v>
          </cell>
          <cell r="AC51">
            <v>8.7669349953653608</v>
          </cell>
          <cell r="AD51">
            <v>7.7655286168217099</v>
          </cell>
          <cell r="AE51">
            <v>11.5816188664213</v>
          </cell>
          <cell r="AF51">
            <v>10.139734227129299</v>
          </cell>
          <cell r="AG51">
            <v>9.6090430049499407</v>
          </cell>
          <cell r="AH51">
            <v>8.0356825841660804</v>
          </cell>
          <cell r="AI51">
            <v>8.0356825841660804</v>
          </cell>
          <cell r="AJ51">
            <v>8.7537810148795305</v>
          </cell>
          <cell r="AK51">
            <v>7.4752598825831598</v>
          </cell>
          <cell r="AL51">
            <v>5.50636955085628</v>
          </cell>
          <cell r="AM51">
            <v>9.7297639873327597</v>
          </cell>
          <cell r="AN51">
            <v>9.6254490458890292</v>
          </cell>
          <cell r="AO51">
            <v>10.344224480095001</v>
          </cell>
          <cell r="AP51">
            <v>8.44170364682636</v>
          </cell>
          <cell r="AQ51">
            <v>9.8438399448750999</v>
          </cell>
          <cell r="AR51">
            <v>12.650730585980201</v>
          </cell>
          <cell r="AS51">
            <v>12.435436154656999</v>
          </cell>
          <cell r="AT51">
            <v>13.337417117177999</v>
          </cell>
          <cell r="AU51">
            <v>11.026526553899799</v>
          </cell>
        </row>
        <row r="52">
          <cell r="A52" t="str">
            <v xml:space="preserve">   Cheques certificados </v>
          </cell>
          <cell r="C52">
            <v>0.13719999999999999</v>
          </cell>
          <cell r="D52">
            <v>0.34769999999999995</v>
          </cell>
          <cell r="E52">
            <v>0.34769999999999995</v>
          </cell>
          <cell r="F52">
            <v>0.43480000000000002</v>
          </cell>
          <cell r="G52">
            <v>0.43480000000000002</v>
          </cell>
          <cell r="H52">
            <v>0.2319</v>
          </cell>
          <cell r="I52">
            <v>0.2319</v>
          </cell>
          <cell r="J52">
            <v>0.37830000000000003</v>
          </cell>
          <cell r="K52">
            <v>0.28639999999999999</v>
          </cell>
          <cell r="L52">
            <v>0.5242</v>
          </cell>
          <cell r="M52">
            <v>0.44180000000000003</v>
          </cell>
          <cell r="N52">
            <v>0.75339999999999996</v>
          </cell>
          <cell r="O52">
            <v>0.35870000000000002</v>
          </cell>
          <cell r="P52">
            <v>0.26179999999999998</v>
          </cell>
          <cell r="Q52">
            <v>0.51910000000000001</v>
          </cell>
          <cell r="R52">
            <v>0.8075</v>
          </cell>
          <cell r="S52">
            <v>0.36809999999999998</v>
          </cell>
          <cell r="T52">
            <v>0.4158</v>
          </cell>
          <cell r="U52">
            <v>0.26040000000000002</v>
          </cell>
          <cell r="V52">
            <v>0.26040000000000002</v>
          </cell>
          <cell r="W52">
            <v>0.36680000000000001</v>
          </cell>
          <cell r="X52">
            <v>0.56769999999999998</v>
          </cell>
          <cell r="Y52">
            <v>0.39183120147282002</v>
          </cell>
          <cell r="Z52">
            <v>0.50399846367606005</v>
          </cell>
          <cell r="AA52">
            <v>0.47743764955918999</v>
          </cell>
          <cell r="AB52">
            <v>0.57584963725718996</v>
          </cell>
          <cell r="AC52">
            <v>0.49844726556465002</v>
          </cell>
          <cell r="AD52">
            <v>0.29662993759810002</v>
          </cell>
          <cell r="AE52">
            <v>0.29805318487044002</v>
          </cell>
          <cell r="AF52">
            <v>0.35703936457863</v>
          </cell>
          <cell r="AG52">
            <v>0.52346559604003995</v>
          </cell>
          <cell r="AH52">
            <v>0.33474087171354999</v>
          </cell>
          <cell r="AI52">
            <v>0.33474087171354999</v>
          </cell>
          <cell r="AJ52">
            <v>0.50961184513581004</v>
          </cell>
          <cell r="AK52">
            <v>0.71756949336812004</v>
          </cell>
          <cell r="AL52">
            <v>0.60892619466483999</v>
          </cell>
          <cell r="AM52">
            <v>0.76019165243381004</v>
          </cell>
          <cell r="AN52">
            <v>0.58518668830023002</v>
          </cell>
          <cell r="AO52">
            <v>0.62813737024220995</v>
          </cell>
          <cell r="AP52">
            <v>0.48045498665372</v>
          </cell>
          <cell r="AQ52">
            <v>0.42235305081826002</v>
          </cell>
          <cell r="AR52">
            <v>0.82017841935924996</v>
          </cell>
          <cell r="AS52">
            <v>0.48873264868908001</v>
          </cell>
          <cell r="AT52">
            <v>0.37941526557642002</v>
          </cell>
          <cell r="AU52">
            <v>0.26884037790307003</v>
          </cell>
        </row>
        <row r="53">
          <cell r="A53" t="str">
            <v xml:space="preserve">   Plazo vencido </v>
          </cell>
          <cell r="C53">
            <v>34.561499999999995</v>
          </cell>
          <cell r="D53">
            <v>37.241999999999997</v>
          </cell>
          <cell r="E53">
            <v>37.241999999999997</v>
          </cell>
          <cell r="F53">
            <v>33.108199999999997</v>
          </cell>
          <cell r="G53">
            <v>33.108199999999997</v>
          </cell>
          <cell r="H53">
            <v>37.045200000000001</v>
          </cell>
          <cell r="I53">
            <v>37.045200000000001</v>
          </cell>
          <cell r="J53">
            <v>28.343800000000002</v>
          </cell>
          <cell r="K53">
            <v>43.633400000000002</v>
          </cell>
          <cell r="L53">
            <v>42.494900000000001</v>
          </cell>
          <cell r="M53">
            <v>40.126899999999999</v>
          </cell>
          <cell r="N53">
            <v>33.1937</v>
          </cell>
          <cell r="O53">
            <v>40.548000000000002</v>
          </cell>
          <cell r="P53">
            <v>37.285499999999999</v>
          </cell>
          <cell r="Q53">
            <v>36.857900000000001</v>
          </cell>
          <cell r="R53">
            <v>40.690800000000003</v>
          </cell>
          <cell r="S53">
            <v>30.01</v>
          </cell>
          <cell r="T53">
            <v>35.351399999999998</v>
          </cell>
          <cell r="U53">
            <v>24.743400000000001</v>
          </cell>
          <cell r="V53">
            <v>24.743400000000001</v>
          </cell>
          <cell r="W53">
            <v>31.397400000000001</v>
          </cell>
          <cell r="X53">
            <v>36.028599999999997</v>
          </cell>
          <cell r="Y53">
            <v>23.143426422796701</v>
          </cell>
          <cell r="Z53">
            <v>29.474487090115101</v>
          </cell>
          <cell r="AA53">
            <v>33.875240983154903</v>
          </cell>
          <cell r="AB53">
            <v>37.377031753646897</v>
          </cell>
          <cell r="AC53">
            <v>26.673410713733901</v>
          </cell>
          <cell r="AD53">
            <v>45.112262555032302</v>
          </cell>
          <cell r="AE53">
            <v>53.963595511969302</v>
          </cell>
          <cell r="AF53">
            <v>37.8824644734865</v>
          </cell>
          <cell r="AG53">
            <v>47.058825460567903</v>
          </cell>
          <cell r="AH53">
            <v>30.239353102990499</v>
          </cell>
          <cell r="AI53">
            <v>30.239353102990499</v>
          </cell>
          <cell r="AJ53">
            <v>39.224067981574201</v>
          </cell>
          <cell r="AK53">
            <v>28.0579542835399</v>
          </cell>
          <cell r="AL53">
            <v>33.424631662657497</v>
          </cell>
          <cell r="AM53">
            <v>35.207974377312802</v>
          </cell>
          <cell r="AN53">
            <v>40.283172381926498</v>
          </cell>
          <cell r="AO53">
            <v>44.853705780993302</v>
          </cell>
          <cell r="AP53">
            <v>39.484084490588202</v>
          </cell>
          <cell r="AQ53">
            <v>43.526063448751003</v>
          </cell>
          <cell r="AR53">
            <v>46.649259956872903</v>
          </cell>
          <cell r="AS53">
            <v>43.292661788009603</v>
          </cell>
          <cell r="AT53">
            <v>45.685660778483502</v>
          </cell>
          <cell r="AU53">
            <v>40.783246650557103</v>
          </cell>
        </row>
        <row r="54">
          <cell r="A54" t="str">
            <v xml:space="preserve">   Dep judiciales</v>
          </cell>
          <cell r="C54">
            <v>0</v>
          </cell>
          <cell r="D54">
            <v>3.2214999999999998</v>
          </cell>
          <cell r="E54">
            <v>3.2214999999999998</v>
          </cell>
          <cell r="F54">
            <v>4.0732999999999997</v>
          </cell>
          <cell r="G54">
            <v>4.0732999999999997</v>
          </cell>
          <cell r="H54">
            <v>5.0757000000000003</v>
          </cell>
          <cell r="I54">
            <v>5.0757000000000003</v>
          </cell>
          <cell r="J54">
            <v>4.6001000000000003</v>
          </cell>
          <cell r="K54">
            <v>4.5999999999999996</v>
          </cell>
          <cell r="L54">
            <v>4.3634000000000004</v>
          </cell>
          <cell r="M54">
            <v>3.4982000000000002</v>
          </cell>
          <cell r="N54">
            <v>3.5781999999999998</v>
          </cell>
          <cell r="O54">
            <v>4.3029999999999999</v>
          </cell>
          <cell r="P54">
            <v>4.0595999999999997</v>
          </cell>
          <cell r="Q54">
            <v>4.1830999999999996</v>
          </cell>
          <cell r="R54">
            <v>4.0518000000000001</v>
          </cell>
          <cell r="S54">
            <v>4.1970999999999998</v>
          </cell>
          <cell r="T54">
            <v>4.3288000000000002</v>
          </cell>
          <cell r="U54">
            <v>4.59</v>
          </cell>
          <cell r="V54">
            <v>4.59</v>
          </cell>
          <cell r="W54">
            <v>4.5430000000000001</v>
          </cell>
          <cell r="X54">
            <v>4.5610999999999997</v>
          </cell>
          <cell r="Y54">
            <v>4.6411800000000003</v>
          </cell>
          <cell r="Z54">
            <v>4.9330420000000004</v>
          </cell>
          <cell r="AA54">
            <v>4.757727</v>
          </cell>
          <cell r="AB54">
            <v>4.9308690000000004</v>
          </cell>
          <cell r="AC54">
            <v>5.0621529799999996</v>
          </cell>
          <cell r="AD54">
            <v>4.8789729299999998</v>
          </cell>
          <cell r="AE54">
            <v>5.00325518</v>
          </cell>
          <cell r="AF54">
            <v>4.9659242900000002</v>
          </cell>
          <cell r="AG54">
            <v>5.1361161299999996</v>
          </cell>
          <cell r="AH54">
            <v>4.6011804200000004</v>
          </cell>
          <cell r="AI54">
            <v>4.6011804200000004</v>
          </cell>
          <cell r="AJ54">
            <v>4.6561527399999996</v>
          </cell>
          <cell r="AK54">
            <v>4.7076371200000002</v>
          </cell>
          <cell r="AL54">
            <v>6.6598820700000001</v>
          </cell>
          <cell r="AM54">
            <v>7.0878033699999996</v>
          </cell>
          <cell r="AN54">
            <v>6.8299949099999999</v>
          </cell>
          <cell r="AO54">
            <v>6.98024092</v>
          </cell>
          <cell r="AP54">
            <v>7.0075857900000003</v>
          </cell>
          <cell r="AQ54">
            <v>6.9382599599999999</v>
          </cell>
          <cell r="AR54">
            <v>5.5748620000000004</v>
          </cell>
          <cell r="AS54">
            <v>6.4348792499999998</v>
          </cell>
          <cell r="AT54">
            <v>6.59704464</v>
          </cell>
          <cell r="AU54">
            <v>6.4815855100000004</v>
          </cell>
        </row>
        <row r="55">
          <cell r="A55" t="str">
            <v xml:space="preserve">   Otras exigibilidades</v>
          </cell>
          <cell r="C55">
            <v>21.52</v>
          </cell>
          <cell r="D55">
            <v>21.44</v>
          </cell>
          <cell r="E55">
            <v>21.44</v>
          </cell>
          <cell r="F55">
            <v>27.458600000000001</v>
          </cell>
          <cell r="G55">
            <v>27.458600000000001</v>
          </cell>
          <cell r="H55">
            <v>20.1294</v>
          </cell>
          <cell r="I55">
            <v>20.1294</v>
          </cell>
          <cell r="J55">
            <v>40.932000000000002</v>
          </cell>
          <cell r="K55">
            <v>38.242100000000001</v>
          </cell>
          <cell r="L55">
            <v>39.754600000000003</v>
          </cell>
          <cell r="M55">
            <v>28.726800000000001</v>
          </cell>
          <cell r="N55">
            <v>24.5505</v>
          </cell>
          <cell r="O55">
            <v>25.690999999999999</v>
          </cell>
          <cell r="P55">
            <v>22.271799999999999</v>
          </cell>
          <cell r="Q55">
            <v>32.3673</v>
          </cell>
          <cell r="R55">
            <v>27.652799999999999</v>
          </cell>
          <cell r="S55">
            <v>30.293500000000002</v>
          </cell>
          <cell r="T55">
            <v>21.4358</v>
          </cell>
          <cell r="U55">
            <v>13.3718</v>
          </cell>
          <cell r="V55">
            <v>13.3718</v>
          </cell>
          <cell r="W55">
            <v>31.758500000000002</v>
          </cell>
          <cell r="X55">
            <v>30.771999999999998</v>
          </cell>
          <cell r="Y55">
            <v>26.652851752981601</v>
          </cell>
          <cell r="Z55">
            <v>39.739828876538297</v>
          </cell>
          <cell r="AA55">
            <v>24.497988113979801</v>
          </cell>
          <cell r="AB55">
            <v>33.017447460800298</v>
          </cell>
          <cell r="AC55">
            <v>42.145761289201303</v>
          </cell>
          <cell r="AD55">
            <v>22.456580663067999</v>
          </cell>
          <cell r="AE55">
            <v>42.093685238438397</v>
          </cell>
          <cell r="AF55">
            <v>27.501004251164101</v>
          </cell>
          <cell r="AG55">
            <v>28.944249655737099</v>
          </cell>
          <cell r="AH55">
            <v>23.152764017847201</v>
          </cell>
          <cell r="AI55">
            <v>23.152764017847201</v>
          </cell>
          <cell r="AJ55">
            <v>33.399365254268197</v>
          </cell>
          <cell r="AK55">
            <v>42.897269808654002</v>
          </cell>
          <cell r="AL55">
            <v>35.729572767744898</v>
          </cell>
          <cell r="AM55">
            <v>49.793962944776503</v>
          </cell>
          <cell r="AN55">
            <v>37.703881527988401</v>
          </cell>
          <cell r="AO55">
            <v>28.258879801474901</v>
          </cell>
          <cell r="AP55">
            <v>43.180211574860401</v>
          </cell>
          <cell r="AQ55">
            <v>36.362615617571002</v>
          </cell>
          <cell r="AR55">
            <v>31.492744164156601</v>
          </cell>
          <cell r="AS55">
            <v>28.930285911517601</v>
          </cell>
          <cell r="AT55">
            <v>45.398703155831797</v>
          </cell>
          <cell r="AU55">
            <v>33.598098365552403</v>
          </cell>
        </row>
        <row r="56">
          <cell r="A56" t="str">
            <v xml:space="preserve">   Cuasimonetarios no clasificados</v>
          </cell>
          <cell r="C56">
            <v>33.558</v>
          </cell>
          <cell r="D56">
            <v>23.077999999999999</v>
          </cell>
          <cell r="E56">
            <v>23.077999999999999</v>
          </cell>
          <cell r="F56">
            <v>5.3849999999999998</v>
          </cell>
          <cell r="G56">
            <v>5.3849999999999989</v>
          </cell>
          <cell r="H56">
            <v>0.93100000000000005</v>
          </cell>
          <cell r="I56">
            <v>0.93100000000000005</v>
          </cell>
          <cell r="J56">
            <v>1.9259999999999999</v>
          </cell>
          <cell r="K56">
            <v>2.9140000000000001</v>
          </cell>
          <cell r="L56">
            <v>2.052</v>
          </cell>
          <cell r="M56">
            <v>2.468</v>
          </cell>
          <cell r="N56">
            <v>1.1719999999999999</v>
          </cell>
          <cell r="O56">
            <v>1.0640000000000001</v>
          </cell>
          <cell r="P56">
            <v>0.879</v>
          </cell>
          <cell r="Q56">
            <v>1.544</v>
          </cell>
          <cell r="R56">
            <v>2.431</v>
          </cell>
          <cell r="S56">
            <v>0.96599999999999997</v>
          </cell>
          <cell r="T56">
            <v>0.90600000000000003</v>
          </cell>
          <cell r="U56">
            <v>1.2929999999999999</v>
          </cell>
          <cell r="V56">
            <v>1.2929999999999999</v>
          </cell>
          <cell r="W56">
            <v>0.95299999999999996</v>
          </cell>
          <cell r="X56">
            <v>1.1259999999999999</v>
          </cell>
          <cell r="Y56">
            <v>1.29828342</v>
          </cell>
          <cell r="Z56">
            <v>1.42229885</v>
          </cell>
          <cell r="AA56">
            <v>1.52333122</v>
          </cell>
          <cell r="AB56">
            <v>1.54628991</v>
          </cell>
          <cell r="AC56">
            <v>1.73590735</v>
          </cell>
          <cell r="AD56">
            <v>1.22049505</v>
          </cell>
          <cell r="AE56">
            <v>1.2300437</v>
          </cell>
          <cell r="AF56">
            <v>1.37803272</v>
          </cell>
          <cell r="AG56">
            <v>2.19110629</v>
          </cell>
          <cell r="AH56">
            <v>1.3017208199999999</v>
          </cell>
          <cell r="AI56">
            <v>1.3017208199999999</v>
          </cell>
          <cell r="AJ56">
            <v>1.16728484</v>
          </cell>
          <cell r="AK56">
            <v>1.6042581600000001</v>
          </cell>
          <cell r="AL56">
            <v>1.3486941400000001</v>
          </cell>
          <cell r="AM56">
            <v>1.19251376</v>
          </cell>
          <cell r="AN56">
            <v>2.35184046</v>
          </cell>
          <cell r="AO56">
            <v>1.4524383300000001</v>
          </cell>
          <cell r="AP56">
            <v>1.70498734</v>
          </cell>
          <cell r="AQ56">
            <v>2.12857312</v>
          </cell>
          <cell r="AR56">
            <v>3.37888842</v>
          </cell>
          <cell r="AS56">
            <v>3.9872348300000002</v>
          </cell>
          <cell r="AT56">
            <v>3.8130827600000003</v>
          </cell>
          <cell r="AU56">
            <v>3.5267212799999998</v>
          </cell>
        </row>
        <row r="58">
          <cell r="A58" t="str">
            <v>VALORES</v>
          </cell>
          <cell r="C58">
            <v>96590.075060000003</v>
          </cell>
          <cell r="D58">
            <v>260249.35862000001</v>
          </cell>
          <cell r="E58">
            <v>364328.30868000002</v>
          </cell>
          <cell r="F58">
            <v>382809.22086000006</v>
          </cell>
          <cell r="G58">
            <v>521009.28306400002</v>
          </cell>
          <cell r="H58">
            <v>449286.21906400006</v>
          </cell>
          <cell r="I58">
            <v>453747.37482000003</v>
          </cell>
          <cell r="J58" t="e">
            <v>#DIV/0!</v>
          </cell>
          <cell r="K58" t="e">
            <v>#DIV/0!</v>
          </cell>
          <cell r="L58" t="e">
            <v>#DIV/0!</v>
          </cell>
          <cell r="M58">
            <v>518283.56910000002</v>
          </cell>
          <cell r="N58" t="e">
            <v>#DIV/0!</v>
          </cell>
          <cell r="O58" t="e">
            <v>#DIV/0!</v>
          </cell>
          <cell r="P58">
            <v>536798.785286</v>
          </cell>
          <cell r="Q58">
            <v>553179.34970100003</v>
          </cell>
          <cell r="R58">
            <v>552077.19191300008</v>
          </cell>
          <cell r="S58">
            <v>550319.33156000008</v>
          </cell>
          <cell r="T58">
            <v>551272.40987600002</v>
          </cell>
          <cell r="U58">
            <v>583979.82851199992</v>
          </cell>
          <cell r="V58">
            <v>589563.27669999993</v>
          </cell>
          <cell r="W58">
            <v>650150.68252800009</v>
          </cell>
          <cell r="X58">
            <v>673815.08426799998</v>
          </cell>
          <cell r="Y58">
            <v>713262.2349667066</v>
          </cell>
          <cell r="Z58">
            <v>717598.97100104042</v>
          </cell>
          <cell r="AA58">
            <v>710651.71795389394</v>
          </cell>
          <cell r="AB58">
            <v>718769.13599315693</v>
          </cell>
          <cell r="AC58">
            <v>696882.55934172927</v>
          </cell>
          <cell r="AD58">
            <v>701415.06584020774</v>
          </cell>
          <cell r="AE58">
            <v>691402.59128528857</v>
          </cell>
          <cell r="AF58">
            <v>725216.83092034038</v>
          </cell>
          <cell r="AG58">
            <v>759850.40495551145</v>
          </cell>
          <cell r="AH58">
            <v>757296.13658920745</v>
          </cell>
          <cell r="AI58">
            <v>761494.39789971011</v>
          </cell>
          <cell r="AJ58">
            <v>807765.52285126923</v>
          </cell>
          <cell r="AK58">
            <v>852181.65679934935</v>
          </cell>
          <cell r="AL58">
            <v>891906.38896721962</v>
          </cell>
          <cell r="AM58">
            <v>909602.73892111925</v>
          </cell>
          <cell r="AN58">
            <v>922990.68384240009</v>
          </cell>
          <cell r="AO58">
            <v>945560.92239589943</v>
          </cell>
          <cell r="AP58">
            <v>953265.87824844965</v>
          </cell>
          <cell r="AQ58">
            <v>966293.18377917004</v>
          </cell>
          <cell r="AR58">
            <v>953903.24898794922</v>
          </cell>
          <cell r="AS58">
            <v>948359.69556341972</v>
          </cell>
          <cell r="AT58">
            <v>958815.64386604924</v>
          </cell>
          <cell r="AU58">
            <v>957527.21072469943</v>
          </cell>
        </row>
        <row r="59">
          <cell r="A59" t="str">
            <v xml:space="preserve">   En moneda nacional:</v>
          </cell>
          <cell r="C59">
            <v>93587.770980000001</v>
          </cell>
          <cell r="D59">
            <v>257256.16576</v>
          </cell>
          <cell r="E59">
            <v>345962.56576000003</v>
          </cell>
          <cell r="F59">
            <v>364477.99954000005</v>
          </cell>
          <cell r="G59">
            <v>493315.69954</v>
          </cell>
          <cell r="H59">
            <v>421666.16842000006</v>
          </cell>
          <cell r="I59">
            <v>422898.86842000001</v>
          </cell>
          <cell r="J59" t="e">
            <v>#DIV/0!</v>
          </cell>
          <cell r="K59" t="e">
            <v>#DIV/0!</v>
          </cell>
          <cell r="L59" t="e">
            <v>#DIV/0!</v>
          </cell>
          <cell r="M59">
            <v>481609.4731</v>
          </cell>
          <cell r="N59" t="e">
            <v>#DIV/0!</v>
          </cell>
          <cell r="O59" t="e">
            <v>#DIV/0!</v>
          </cell>
          <cell r="P59">
            <v>490580.90528599999</v>
          </cell>
          <cell r="Q59">
            <v>506804.17370099999</v>
          </cell>
          <cell r="R59">
            <v>507568.45591300004</v>
          </cell>
          <cell r="S59">
            <v>504581.87716000003</v>
          </cell>
          <cell r="T59">
            <v>505950.46747600002</v>
          </cell>
          <cell r="U59">
            <v>532453.97411199997</v>
          </cell>
          <cell r="V59">
            <v>532453.97411199997</v>
          </cell>
          <cell r="W59">
            <v>596812.85232000006</v>
          </cell>
          <cell r="X59">
            <v>621091.56151999999</v>
          </cell>
          <cell r="Y59">
            <v>660776.86754164984</v>
          </cell>
          <cell r="Z59">
            <v>666958.61759959999</v>
          </cell>
          <cell r="AA59">
            <v>672997.47319903993</v>
          </cell>
          <cell r="AB59">
            <v>681338.48553817999</v>
          </cell>
          <cell r="AC59">
            <v>662462.24693618005</v>
          </cell>
          <cell r="AD59">
            <v>666180.33764410915</v>
          </cell>
          <cell r="AE59">
            <v>655848.60655080993</v>
          </cell>
          <cell r="AF59">
            <v>685882.09508895979</v>
          </cell>
          <cell r="AG59">
            <v>719771.59607112966</v>
          </cell>
          <cell r="AH59">
            <v>713871.32108709007</v>
          </cell>
          <cell r="AI59">
            <v>713871.32108709007</v>
          </cell>
          <cell r="AJ59">
            <v>748200.84654646926</v>
          </cell>
          <cell r="AK59">
            <v>776355.74372378935</v>
          </cell>
          <cell r="AL59">
            <v>810002.04006047966</v>
          </cell>
          <cell r="AM59">
            <v>828862.53661645926</v>
          </cell>
          <cell r="AN59">
            <v>839108.68490250001</v>
          </cell>
          <cell r="AO59">
            <v>861298.42737865937</v>
          </cell>
          <cell r="AP59">
            <v>871860.9852663097</v>
          </cell>
          <cell r="AQ59">
            <v>880088.11352217011</v>
          </cell>
          <cell r="AR59">
            <v>874314.96115184925</v>
          </cell>
          <cell r="AS59">
            <v>867697.42542515974</v>
          </cell>
          <cell r="AT59">
            <v>880702.03157938924</v>
          </cell>
          <cell r="AU59">
            <v>882265.41483705945</v>
          </cell>
        </row>
        <row r="60">
          <cell r="A60" t="str">
            <v xml:space="preserve">   En moneda extranjera (en $):</v>
          </cell>
          <cell r="C60">
            <v>19.111999999999998</v>
          </cell>
          <cell r="D60">
            <v>19.053999999999998</v>
          </cell>
          <cell r="E60">
            <v>102.1454</v>
          </cell>
          <cell r="F60">
            <v>101.95339999999999</v>
          </cell>
          <cell r="G60">
            <v>133.32169999999996</v>
          </cell>
          <cell r="H60">
            <v>132.96769999999998</v>
          </cell>
          <cell r="I60">
            <v>132.96769999999998</v>
          </cell>
          <cell r="J60">
            <v>132.96569999999997</v>
          </cell>
          <cell r="K60">
            <v>140.10570000000001</v>
          </cell>
          <cell r="L60">
            <v>143.08670000000001</v>
          </cell>
          <cell r="M60">
            <v>158.078</v>
          </cell>
          <cell r="N60">
            <v>173.815</v>
          </cell>
          <cell r="O60">
            <v>183.69799999999995</v>
          </cell>
          <cell r="P60">
            <v>199.21499999999997</v>
          </cell>
          <cell r="Q60">
            <v>199.89299999999997</v>
          </cell>
          <cell r="R60">
            <v>191.84800000000001</v>
          </cell>
          <cell r="S60">
            <v>197.14419999999996</v>
          </cell>
          <cell r="T60">
            <v>195.35319999999999</v>
          </cell>
          <cell r="U60">
            <v>222.09419999999992</v>
          </cell>
          <cell r="V60">
            <v>222.09419999999992</v>
          </cell>
          <cell r="W60">
            <v>207.4272</v>
          </cell>
          <cell r="X60">
            <v>205.03819999999999</v>
          </cell>
          <cell r="Y60">
            <v>204.11203011999996</v>
          </cell>
          <cell r="Z60">
            <v>196.93689586000002</v>
          </cell>
          <cell r="AA60">
            <v>146.43480110000002</v>
          </cell>
          <cell r="AB60">
            <v>145.56525804999995</v>
          </cell>
          <cell r="AC60">
            <v>133.85825778000003</v>
          </cell>
          <cell r="AD60">
            <v>137.02546548999999</v>
          </cell>
          <cell r="AE60">
            <v>138.26703248999996</v>
          </cell>
          <cell r="AF60">
            <v>152.97011679000002</v>
          </cell>
          <cell r="AG60">
            <v>155.86376637000001</v>
          </cell>
          <cell r="AH60">
            <v>168.87615891000004</v>
          </cell>
          <cell r="AI60">
            <v>168.87615891000004</v>
          </cell>
          <cell r="AJ60">
            <v>211.22225639999999</v>
          </cell>
          <cell r="AK60">
            <v>268.88621658</v>
          </cell>
          <cell r="AL60">
            <v>290.44095356999998</v>
          </cell>
          <cell r="AM60">
            <v>286.31277412999998</v>
          </cell>
          <cell r="AN60">
            <v>297.45389695000006</v>
          </cell>
          <cell r="AO60">
            <v>298.80317381999998</v>
          </cell>
          <cell r="AP60">
            <v>288.66983327000003</v>
          </cell>
          <cell r="AQ60">
            <v>305.69173849999993</v>
          </cell>
          <cell r="AR60">
            <v>282.22797105000001</v>
          </cell>
          <cell r="AS60">
            <v>286.03641892999997</v>
          </cell>
          <cell r="AT60">
            <v>276.99862512999999</v>
          </cell>
          <cell r="AU60">
            <v>266.88580102000003</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row>
        <row r="62">
          <cell r="A62" t="str">
            <v xml:space="preserve">ICP </v>
          </cell>
          <cell r="C62">
            <v>9358.7079999999987</v>
          </cell>
          <cell r="D62">
            <v>4027.5</v>
          </cell>
          <cell r="E62">
            <v>4027.5</v>
          </cell>
          <cell r="F62">
            <v>3548.76</v>
          </cell>
          <cell r="G62">
            <v>3548.76</v>
          </cell>
          <cell r="H62">
            <v>7589.4000000000015</v>
          </cell>
          <cell r="I62">
            <v>7589.4000000000015</v>
          </cell>
          <cell r="J62">
            <v>8133.7574999999979</v>
          </cell>
          <cell r="K62">
            <v>15198.800000000003</v>
          </cell>
          <cell r="L62">
            <v>6695.0999999999967</v>
          </cell>
          <cell r="M62">
            <v>697.49300000000073</v>
          </cell>
          <cell r="N62">
            <v>4257.4000000000015</v>
          </cell>
          <cell r="O62">
            <v>1043.5999999999999</v>
          </cell>
          <cell r="P62">
            <v>3147.7500000000014</v>
          </cell>
          <cell r="Q62">
            <v>5424.9500000000007</v>
          </cell>
          <cell r="R62">
            <v>4395.6000000000004</v>
          </cell>
          <cell r="S62">
            <v>7909.5000000000018</v>
          </cell>
          <cell r="T62">
            <v>10474.85</v>
          </cell>
          <cell r="U62">
            <v>7362.7500000000018</v>
          </cell>
          <cell r="V62">
            <v>7362.7500000000018</v>
          </cell>
          <cell r="W62">
            <v>591.49999999999966</v>
          </cell>
          <cell r="X62">
            <v>7188.6000000000013</v>
          </cell>
          <cell r="Y62">
            <v>1071.5999999999992</v>
          </cell>
          <cell r="Z62">
            <v>6841.4500000000007</v>
          </cell>
          <cell r="AA62">
            <v>361.69999999999965</v>
          </cell>
          <cell r="AB62">
            <v>2326.75</v>
          </cell>
          <cell r="AC62">
            <v>1998.4500000000014</v>
          </cell>
          <cell r="AD62">
            <v>4606.0999999999995</v>
          </cell>
          <cell r="AE62">
            <v>1529.0499999999997</v>
          </cell>
          <cell r="AF62">
            <v>5591.05</v>
          </cell>
          <cell r="AG62">
            <v>12194.3</v>
          </cell>
          <cell r="AH62">
            <v>11260.3</v>
          </cell>
          <cell r="AI62">
            <v>11260.3</v>
          </cell>
          <cell r="AJ62">
            <v>14143.05</v>
          </cell>
          <cell r="AK62">
            <v>4289.9895833299997</v>
          </cell>
          <cell r="AL62">
            <v>5546.5</v>
          </cell>
          <cell r="AM62">
            <v>5513.05</v>
          </cell>
          <cell r="AN62">
            <v>3815.2458329999999</v>
          </cell>
          <cell r="AO62">
            <v>4063.5479169999999</v>
          </cell>
          <cell r="AP62">
            <v>3969.0395829999998</v>
          </cell>
          <cell r="AQ62">
            <v>5509.8</v>
          </cell>
          <cell r="AR62">
            <v>6534.5499999999993</v>
          </cell>
          <cell r="AS62">
            <v>5711.05</v>
          </cell>
          <cell r="AT62">
            <v>8419.5499999999975</v>
          </cell>
          <cell r="AU62">
            <v>9551.0999999999985</v>
          </cell>
        </row>
        <row r="63">
          <cell r="A63" t="str">
            <v xml:space="preserve">   Sector Privado</v>
          </cell>
          <cell r="C63">
            <v>9296.9579999999987</v>
          </cell>
          <cell r="D63">
            <v>4027.5</v>
          </cell>
          <cell r="E63">
            <v>4027.5</v>
          </cell>
          <cell r="F63">
            <v>3548.76</v>
          </cell>
          <cell r="G63">
            <v>3548.76</v>
          </cell>
          <cell r="H63">
            <v>7589.4000000000015</v>
          </cell>
          <cell r="I63">
            <v>7589.4000000000015</v>
          </cell>
          <cell r="J63">
            <v>8133.7574999999979</v>
          </cell>
          <cell r="K63">
            <v>15198.800000000003</v>
          </cell>
          <cell r="L63">
            <v>6695.0999999999967</v>
          </cell>
          <cell r="M63">
            <v>697.49300000000073</v>
          </cell>
          <cell r="N63">
            <v>4257.4000000000015</v>
          </cell>
          <cell r="O63">
            <v>1043.5999999999999</v>
          </cell>
          <cell r="P63">
            <v>3147.7500000000014</v>
          </cell>
          <cell r="Q63">
            <v>5424.9500000000007</v>
          </cell>
          <cell r="R63">
            <v>4395.6000000000004</v>
          </cell>
          <cell r="S63">
            <v>7909.5000000000018</v>
          </cell>
          <cell r="T63">
            <v>10474.85</v>
          </cell>
          <cell r="U63">
            <v>7362.7500000000018</v>
          </cell>
          <cell r="V63">
            <v>7362.7500000000018</v>
          </cell>
          <cell r="W63">
            <v>591.49999999999966</v>
          </cell>
          <cell r="X63">
            <v>7188.6000000000013</v>
          </cell>
          <cell r="Y63">
            <v>1071.5999999999992</v>
          </cell>
          <cell r="Z63">
            <v>6841.4500000000007</v>
          </cell>
          <cell r="AA63">
            <v>361.69999999999965</v>
          </cell>
          <cell r="AB63">
            <v>2326.75</v>
          </cell>
          <cell r="AC63">
            <v>1998.4500000000014</v>
          </cell>
          <cell r="AD63">
            <v>4606.0999999999995</v>
          </cell>
          <cell r="AE63">
            <v>55.749999999999815</v>
          </cell>
          <cell r="AF63">
            <v>19.05</v>
          </cell>
          <cell r="AG63">
            <v>5009.2999999999993</v>
          </cell>
          <cell r="AH63">
            <v>2126.8000000000002</v>
          </cell>
          <cell r="AI63">
            <v>2126.8000000000002</v>
          </cell>
          <cell r="AJ63">
            <v>8.8000000000000007</v>
          </cell>
          <cell r="AK63">
            <v>8.7895833299997328</v>
          </cell>
          <cell r="AL63">
            <v>608.79999999999995</v>
          </cell>
          <cell r="AM63">
            <v>8.8000000000000007</v>
          </cell>
          <cell r="AN63">
            <v>8.6958329999995847</v>
          </cell>
          <cell r="AO63">
            <v>8.7479169999995072</v>
          </cell>
          <cell r="AP63">
            <v>8.7895829999995847</v>
          </cell>
          <cell r="AQ63">
            <v>1384.9499999999996</v>
          </cell>
          <cell r="AR63">
            <v>1068.3999999999994</v>
          </cell>
          <cell r="AS63">
            <v>73.8</v>
          </cell>
          <cell r="AT63">
            <v>144.89999999999856</v>
          </cell>
          <cell r="AU63">
            <v>2474.4999999999973</v>
          </cell>
        </row>
        <row r="64">
          <cell r="A64" t="str">
            <v xml:space="preserve">   SPNF</v>
          </cell>
          <cell r="C64">
            <v>61.75</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1473.3</v>
          </cell>
          <cell r="AF64">
            <v>5572</v>
          </cell>
          <cell r="AG64">
            <v>7185</v>
          </cell>
          <cell r="AH64">
            <v>9133.5</v>
          </cell>
          <cell r="AI64">
            <v>9133.5</v>
          </cell>
          <cell r="AJ64">
            <v>14134.25</v>
          </cell>
          <cell r="AK64">
            <v>4281.2</v>
          </cell>
          <cell r="AL64">
            <v>4937.7</v>
          </cell>
          <cell r="AM64">
            <v>5504.25</v>
          </cell>
          <cell r="AN64">
            <v>3806.55</v>
          </cell>
          <cell r="AO64">
            <v>4054.8</v>
          </cell>
          <cell r="AP64">
            <v>3960.25</v>
          </cell>
          <cell r="AQ64">
            <v>4124.8500000000004</v>
          </cell>
          <cell r="AR64">
            <v>5466.15</v>
          </cell>
          <cell r="AS64">
            <v>5637.25</v>
          </cell>
          <cell r="AT64">
            <v>8274.65</v>
          </cell>
          <cell r="AU64">
            <v>7076.6</v>
          </cell>
        </row>
        <row r="65">
          <cell r="A65" t="str">
            <v xml:space="preserve">   SPFNB</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row>
        <row r="66">
          <cell r="A66" t="str">
            <v>BEM M/N</v>
          </cell>
          <cell r="C66">
            <v>41098.062980000002</v>
          </cell>
          <cell r="D66">
            <v>67530.665760000004</v>
          </cell>
          <cell r="E66">
            <v>67530.665760000004</v>
          </cell>
          <cell r="F66">
            <v>86524.839540000015</v>
          </cell>
          <cell r="G66">
            <v>86524.839540000015</v>
          </cell>
          <cell r="H66">
            <v>12067.36842000001</v>
          </cell>
          <cell r="I66">
            <v>12067.36842000001</v>
          </cell>
          <cell r="J66">
            <v>9084.1588460000003</v>
          </cell>
          <cell r="K66">
            <v>11053.042868</v>
          </cell>
          <cell r="L66">
            <v>10949.512319999998</v>
          </cell>
          <cell r="M66">
            <v>47940.280099999989</v>
          </cell>
          <cell r="N66">
            <v>56804.412473999982</v>
          </cell>
          <cell r="O66">
            <v>78216.49424</v>
          </cell>
          <cell r="P66">
            <v>113340.455286</v>
          </cell>
          <cell r="Q66">
            <v>145061.123701</v>
          </cell>
          <cell r="R66">
            <v>151096.155913</v>
          </cell>
          <cell r="S66">
            <v>149098.37716</v>
          </cell>
          <cell r="T66">
            <v>128595.417476</v>
          </cell>
          <cell r="U66">
            <v>118707.02411199998</v>
          </cell>
          <cell r="V66">
            <v>118707.02411199998</v>
          </cell>
          <cell r="W66">
            <v>126714.55232000002</v>
          </cell>
          <cell r="X66">
            <v>143415.06151999999</v>
          </cell>
          <cell r="Y66">
            <v>159910.16754164983</v>
          </cell>
          <cell r="Z66">
            <v>161974.16759959998</v>
          </cell>
          <cell r="AA66">
            <v>182885.67319903997</v>
          </cell>
          <cell r="AB66">
            <v>174818.13553818001</v>
          </cell>
          <cell r="AC66">
            <v>147497.79693618001</v>
          </cell>
          <cell r="AD66">
            <v>143644.33764410909</v>
          </cell>
          <cell r="AE66">
            <v>130932.45655080989</v>
          </cell>
          <cell r="AF66">
            <v>138719.34508895982</v>
          </cell>
          <cell r="AG66">
            <v>132328.89607112971</v>
          </cell>
          <cell r="AH66">
            <v>141038.9210870901</v>
          </cell>
          <cell r="AI66">
            <v>141038.9210870901</v>
          </cell>
          <cell r="AJ66">
            <v>154276.59654646926</v>
          </cell>
          <cell r="AK66">
            <v>172120.1541404594</v>
          </cell>
          <cell r="AL66">
            <v>191215.74006047967</v>
          </cell>
          <cell r="AM66">
            <v>205122.58661645922</v>
          </cell>
          <cell r="AN66">
            <v>227946.43906949999</v>
          </cell>
          <cell r="AO66">
            <v>244185.47946165942</v>
          </cell>
          <cell r="AP66">
            <v>237770.7456833098</v>
          </cell>
          <cell r="AQ66">
            <v>266451.81352217006</v>
          </cell>
          <cell r="AR66">
            <v>279141.11115184927</v>
          </cell>
          <cell r="AS66">
            <v>263176.67542515986</v>
          </cell>
          <cell r="AT66">
            <v>251602.88157938921</v>
          </cell>
          <cell r="AU66">
            <v>247365.61483705949</v>
          </cell>
        </row>
        <row r="67">
          <cell r="A67" t="str">
            <v xml:space="preserve">   Sector Privado</v>
          </cell>
          <cell r="C67">
            <v>40490.062980000002</v>
          </cell>
          <cell r="D67">
            <v>61175.665760000004</v>
          </cell>
          <cell r="E67">
            <v>61175.665760000004</v>
          </cell>
          <cell r="F67">
            <v>78892.839540000015</v>
          </cell>
          <cell r="G67">
            <v>78892.839540000015</v>
          </cell>
          <cell r="H67">
            <v>11000.36842000001</v>
          </cell>
          <cell r="I67">
            <v>11000.36842000001</v>
          </cell>
          <cell r="J67">
            <v>8715.1588460000003</v>
          </cell>
          <cell r="K67">
            <v>10558.042868</v>
          </cell>
          <cell r="L67">
            <v>10454.512319999998</v>
          </cell>
          <cell r="M67">
            <v>46393.280099999989</v>
          </cell>
          <cell r="N67">
            <v>52056.412473999982</v>
          </cell>
          <cell r="O67">
            <v>72271.49424</v>
          </cell>
          <cell r="P67">
            <v>100174.455286</v>
          </cell>
          <cell r="Q67">
            <v>124490.12370100002</v>
          </cell>
          <cell r="R67">
            <v>125981.15591300001</v>
          </cell>
          <cell r="S67">
            <v>115416.37716</v>
          </cell>
          <cell r="T67">
            <v>99028.417476000002</v>
          </cell>
          <cell r="U67">
            <v>87678.024111999985</v>
          </cell>
          <cell r="V67">
            <v>87678.024111999985</v>
          </cell>
          <cell r="W67">
            <v>98310.552320000017</v>
          </cell>
          <cell r="X67">
            <v>113380.06152</v>
          </cell>
          <cell r="Y67">
            <v>124907.16754164982</v>
          </cell>
          <cell r="Z67">
            <v>123432.1675996</v>
          </cell>
          <cell r="AA67">
            <v>137130.67319903997</v>
          </cell>
          <cell r="AB67">
            <v>125573.13553818001</v>
          </cell>
          <cell r="AC67">
            <v>102364.79693618001</v>
          </cell>
          <cell r="AD67">
            <v>104048.33764410908</v>
          </cell>
          <cell r="AE67">
            <v>101970.45655080989</v>
          </cell>
          <cell r="AF67">
            <v>84271.345088959817</v>
          </cell>
          <cell r="AG67">
            <v>84409.896071129697</v>
          </cell>
          <cell r="AH67">
            <v>88747.921087090101</v>
          </cell>
          <cell r="AI67">
            <v>88747.921087090101</v>
          </cell>
          <cell r="AJ67">
            <v>93290.596546469271</v>
          </cell>
          <cell r="AK67">
            <v>112941.1541404594</v>
          </cell>
          <cell r="AL67">
            <v>130719.74006047967</v>
          </cell>
          <cell r="AM67">
            <v>144337.58661645922</v>
          </cell>
          <cell r="AN67">
            <v>166988.43906949999</v>
          </cell>
          <cell r="AO67">
            <v>182984.47946165942</v>
          </cell>
          <cell r="AP67">
            <v>172951.7456833098</v>
          </cell>
          <cell r="AQ67">
            <v>186544.81352217006</v>
          </cell>
          <cell r="AR67">
            <v>196807.11115184924</v>
          </cell>
          <cell r="AS67">
            <v>181895.67542515983</v>
          </cell>
          <cell r="AT67">
            <v>168287.88157938921</v>
          </cell>
          <cell r="AU67">
            <v>170128.61483705949</v>
          </cell>
        </row>
        <row r="68">
          <cell r="A68" t="str">
            <v xml:space="preserve">   SPNF</v>
          </cell>
          <cell r="C68">
            <v>420</v>
          </cell>
          <cell r="D68">
            <v>1556</v>
          </cell>
          <cell r="E68">
            <v>1556</v>
          </cell>
          <cell r="F68">
            <v>5073</v>
          </cell>
          <cell r="G68">
            <v>5073</v>
          </cell>
          <cell r="H68">
            <v>489</v>
          </cell>
          <cell r="I68">
            <v>489</v>
          </cell>
          <cell r="J68">
            <v>364</v>
          </cell>
          <cell r="K68">
            <v>490</v>
          </cell>
          <cell r="L68">
            <v>490</v>
          </cell>
          <cell r="M68">
            <v>365</v>
          </cell>
          <cell r="N68">
            <v>365</v>
          </cell>
          <cell r="O68">
            <v>365</v>
          </cell>
          <cell r="P68">
            <v>975</v>
          </cell>
          <cell r="Q68">
            <v>551</v>
          </cell>
          <cell r="R68">
            <v>551</v>
          </cell>
          <cell r="S68">
            <v>570</v>
          </cell>
          <cell r="T68">
            <v>610</v>
          </cell>
          <cell r="U68">
            <v>390</v>
          </cell>
          <cell r="V68">
            <v>390</v>
          </cell>
          <cell r="W68">
            <v>389</v>
          </cell>
          <cell r="X68">
            <v>703</v>
          </cell>
          <cell r="Y68">
            <v>660</v>
          </cell>
          <cell r="Z68">
            <v>950</v>
          </cell>
          <cell r="AA68">
            <v>541</v>
          </cell>
          <cell r="AB68">
            <v>541</v>
          </cell>
          <cell r="AC68">
            <v>595</v>
          </cell>
          <cell r="AD68">
            <v>595</v>
          </cell>
          <cell r="AE68">
            <v>345</v>
          </cell>
          <cell r="AF68">
            <v>25345</v>
          </cell>
          <cell r="AG68">
            <v>25360</v>
          </cell>
          <cell r="AH68">
            <v>24389</v>
          </cell>
          <cell r="AI68">
            <v>24389</v>
          </cell>
          <cell r="AJ68">
            <v>23381</v>
          </cell>
          <cell r="AK68">
            <v>23252</v>
          </cell>
          <cell r="AL68">
            <v>23253</v>
          </cell>
          <cell r="AM68">
            <v>24427</v>
          </cell>
          <cell r="AN68">
            <v>24426</v>
          </cell>
          <cell r="AO68">
            <v>24427</v>
          </cell>
          <cell r="AP68">
            <v>25664</v>
          </cell>
          <cell r="AQ68">
            <v>25664</v>
          </cell>
          <cell r="AR68">
            <v>25449</v>
          </cell>
          <cell r="AS68">
            <v>26502</v>
          </cell>
          <cell r="AT68">
            <v>26502</v>
          </cell>
          <cell r="AU68">
            <v>26502</v>
          </cell>
        </row>
        <row r="69">
          <cell r="A69" t="str">
            <v xml:space="preserve">   SPFNB</v>
          </cell>
          <cell r="C69">
            <v>188</v>
          </cell>
          <cell r="D69">
            <v>4799</v>
          </cell>
          <cell r="E69">
            <v>4799</v>
          </cell>
          <cell r="F69">
            <v>2559</v>
          </cell>
          <cell r="G69">
            <v>2559</v>
          </cell>
          <cell r="H69">
            <v>578</v>
          </cell>
          <cell r="I69">
            <v>578</v>
          </cell>
          <cell r="J69">
            <v>5</v>
          </cell>
          <cell r="K69">
            <v>5</v>
          </cell>
          <cell r="L69">
            <v>5</v>
          </cell>
          <cell r="M69">
            <v>1182</v>
          </cell>
          <cell r="N69">
            <v>4383</v>
          </cell>
          <cell r="O69">
            <v>5580</v>
          </cell>
          <cell r="P69">
            <v>12191</v>
          </cell>
          <cell r="Q69">
            <v>20020</v>
          </cell>
          <cell r="R69">
            <v>24564</v>
          </cell>
          <cell r="S69">
            <v>33112</v>
          </cell>
          <cell r="T69">
            <v>28957</v>
          </cell>
          <cell r="U69">
            <v>30639</v>
          </cell>
          <cell r="V69">
            <v>30639</v>
          </cell>
          <cell r="W69">
            <v>28015</v>
          </cell>
          <cell r="X69">
            <v>29332</v>
          </cell>
          <cell r="Y69">
            <v>34343</v>
          </cell>
          <cell r="Z69">
            <v>37592</v>
          </cell>
          <cell r="AA69">
            <v>45214</v>
          </cell>
          <cell r="AB69">
            <v>48704</v>
          </cell>
          <cell r="AC69">
            <v>44538</v>
          </cell>
          <cell r="AD69">
            <v>39001</v>
          </cell>
          <cell r="AE69">
            <v>28617</v>
          </cell>
          <cell r="AF69">
            <v>29103</v>
          </cell>
          <cell r="AG69">
            <v>22559</v>
          </cell>
          <cell r="AH69">
            <v>27902</v>
          </cell>
          <cell r="AI69">
            <v>27902</v>
          </cell>
          <cell r="AJ69">
            <v>37605</v>
          </cell>
          <cell r="AK69">
            <v>35927</v>
          </cell>
          <cell r="AL69">
            <v>37243</v>
          </cell>
          <cell r="AM69">
            <v>36358</v>
          </cell>
          <cell r="AN69">
            <v>36532</v>
          </cell>
          <cell r="AO69">
            <v>36774</v>
          </cell>
          <cell r="AP69">
            <v>39155</v>
          </cell>
          <cell r="AQ69">
            <v>54243</v>
          </cell>
          <cell r="AR69">
            <v>56885</v>
          </cell>
          <cell r="AS69">
            <v>54779</v>
          </cell>
          <cell r="AT69">
            <v>56813</v>
          </cell>
          <cell r="AU69">
            <v>50735</v>
          </cell>
        </row>
        <row r="70">
          <cell r="A70" t="str">
            <v>BEM (en $)</v>
          </cell>
          <cell r="C70">
            <v>19.111999999999998</v>
          </cell>
          <cell r="D70">
            <v>19.053999999999998</v>
          </cell>
          <cell r="E70">
            <v>19.053999999999998</v>
          </cell>
          <cell r="F70">
            <v>18.861999999999998</v>
          </cell>
          <cell r="G70">
            <v>18.861999999999998</v>
          </cell>
          <cell r="H70">
            <v>18.507999999999999</v>
          </cell>
          <cell r="I70">
            <v>18.507999999999999</v>
          </cell>
          <cell r="J70">
            <v>18.506</v>
          </cell>
          <cell r="K70">
            <v>18.414000000000001</v>
          </cell>
          <cell r="L70">
            <v>18.411999999999999</v>
          </cell>
          <cell r="M70">
            <v>18.411999999999999</v>
          </cell>
          <cell r="N70">
            <v>18.32</v>
          </cell>
          <cell r="O70">
            <v>18.318999999999999</v>
          </cell>
          <cell r="P70">
            <v>18.315999999999999</v>
          </cell>
          <cell r="Q70">
            <v>18.257999999999999</v>
          </cell>
          <cell r="R70">
            <v>18.216999999999999</v>
          </cell>
          <cell r="S70">
            <v>18.216999999999999</v>
          </cell>
          <cell r="T70">
            <v>18.119</v>
          </cell>
          <cell r="U70">
            <v>18.117000000000001</v>
          </cell>
          <cell r="V70">
            <v>18.117000000000001</v>
          </cell>
          <cell r="W70">
            <v>18.117000000000001</v>
          </cell>
          <cell r="X70">
            <v>18.018000000000001</v>
          </cell>
          <cell r="Y70">
            <v>18.014030120000001</v>
          </cell>
          <cell r="Z70">
            <v>17.972795860000002</v>
          </cell>
          <cell r="AA70">
            <v>17.911701100000002</v>
          </cell>
          <cell r="AB70">
            <v>17.86715805</v>
          </cell>
          <cell r="AC70">
            <v>17.867157779999999</v>
          </cell>
          <cell r="AD70">
            <v>17.80236549</v>
          </cell>
          <cell r="AE70">
            <v>17.765932490000001</v>
          </cell>
          <cell r="AF70">
            <v>31.54101679</v>
          </cell>
          <cell r="AG70">
            <v>43.422666370000002</v>
          </cell>
          <cell r="AH70">
            <v>54.816058910000002</v>
          </cell>
          <cell r="AI70">
            <v>54.816058910000002</v>
          </cell>
          <cell r="AJ70">
            <v>108.30615640000001</v>
          </cell>
          <cell r="AK70">
            <v>163.37511658</v>
          </cell>
          <cell r="AL70">
            <v>170.83085356999999</v>
          </cell>
          <cell r="AM70">
            <v>173.85677412999999</v>
          </cell>
          <cell r="AN70">
            <v>179.18089695</v>
          </cell>
          <cell r="AO70">
            <v>179.15217382</v>
          </cell>
          <cell r="AP70">
            <v>174.10683327000001</v>
          </cell>
          <cell r="AQ70">
            <v>180.2187385</v>
          </cell>
          <cell r="AR70">
            <v>180.62267105000001</v>
          </cell>
          <cell r="AS70">
            <v>176.50011892999999</v>
          </cell>
          <cell r="AT70">
            <v>178.53132512999997</v>
          </cell>
          <cell r="AU70">
            <v>177.09280102</v>
          </cell>
        </row>
        <row r="71">
          <cell r="A71" t="str">
            <v>Tìtulos fiscales M/N</v>
          </cell>
          <cell r="C71">
            <v>43131</v>
          </cell>
          <cell r="D71">
            <v>185698</v>
          </cell>
          <cell r="E71">
            <v>274404.40000000002</v>
          </cell>
          <cell r="F71">
            <v>274404.40000000002</v>
          </cell>
          <cell r="G71">
            <v>403242.1</v>
          </cell>
          <cell r="H71">
            <v>402009.4</v>
          </cell>
          <cell r="I71">
            <v>403242.1</v>
          </cell>
          <cell r="J71">
            <v>403242.1</v>
          </cell>
          <cell r="K71">
            <v>432842.4</v>
          </cell>
          <cell r="L71">
            <v>449221.1</v>
          </cell>
          <cell r="M71">
            <v>432971.7</v>
          </cell>
          <cell r="N71">
            <v>419515.4</v>
          </cell>
          <cell r="O71">
            <v>411935.3</v>
          </cell>
          <cell r="P71">
            <v>374092.7</v>
          </cell>
          <cell r="Q71">
            <v>356318.1</v>
          </cell>
          <cell r="R71">
            <v>352076.7</v>
          </cell>
          <cell r="S71">
            <v>347574</v>
          </cell>
          <cell r="T71">
            <v>366880.2</v>
          </cell>
          <cell r="U71">
            <v>406384.2</v>
          </cell>
          <cell r="V71">
            <v>406384.2</v>
          </cell>
          <cell r="W71">
            <v>469506.8</v>
          </cell>
          <cell r="X71">
            <v>470487.9</v>
          </cell>
          <cell r="Y71">
            <v>499795.1</v>
          </cell>
          <cell r="Z71">
            <v>498143</v>
          </cell>
          <cell r="AA71">
            <v>489750.1</v>
          </cell>
          <cell r="AB71">
            <v>504193.6</v>
          </cell>
          <cell r="AC71">
            <v>512966</v>
          </cell>
          <cell r="AD71">
            <v>517929.9</v>
          </cell>
          <cell r="AE71">
            <v>523387.1</v>
          </cell>
          <cell r="AF71">
            <v>541571.69999999995</v>
          </cell>
          <cell r="AG71">
            <v>575248.4</v>
          </cell>
          <cell r="AH71">
            <v>561572.1</v>
          </cell>
          <cell r="AI71">
            <v>561572.1</v>
          </cell>
          <cell r="AJ71">
            <v>579781.19999999995</v>
          </cell>
          <cell r="AK71">
            <v>599945.6</v>
          </cell>
          <cell r="AL71">
            <v>613239.80000000005</v>
          </cell>
          <cell r="AM71">
            <v>618226.9</v>
          </cell>
          <cell r="AN71">
            <v>607347</v>
          </cell>
          <cell r="AO71">
            <v>613049.4</v>
          </cell>
          <cell r="AP71">
            <v>630121.19999999995</v>
          </cell>
          <cell r="AQ71">
            <v>608126.5</v>
          </cell>
          <cell r="AR71">
            <v>588639.30000000005</v>
          </cell>
          <cell r="AS71">
            <v>598809.69999999995</v>
          </cell>
          <cell r="AT71">
            <v>620679.6</v>
          </cell>
          <cell r="AU71">
            <v>625348.69999999995</v>
          </cell>
        </row>
        <row r="72">
          <cell r="A72" t="str">
            <v xml:space="preserve">   Sector Privado</v>
          </cell>
          <cell r="C72">
            <v>43131</v>
          </cell>
          <cell r="D72">
            <v>65540</v>
          </cell>
          <cell r="E72">
            <v>124934.39999999999</v>
          </cell>
          <cell r="F72">
            <v>124934.39999999999</v>
          </cell>
          <cell r="G72">
            <v>227364.1</v>
          </cell>
          <cell r="H72">
            <v>226131.4</v>
          </cell>
          <cell r="I72">
            <v>227364.1</v>
          </cell>
          <cell r="J72">
            <v>227364.1</v>
          </cell>
          <cell r="K72">
            <v>251301.4</v>
          </cell>
          <cell r="L72">
            <v>259502.1</v>
          </cell>
          <cell r="M72">
            <v>239308.7</v>
          </cell>
          <cell r="N72">
            <v>221044.4</v>
          </cell>
          <cell r="O72">
            <v>213856.3</v>
          </cell>
          <cell r="P72">
            <v>186004.7</v>
          </cell>
          <cell r="Q72">
            <v>164572.1</v>
          </cell>
          <cell r="R72">
            <v>160095.70000000001</v>
          </cell>
          <cell r="S72">
            <v>159519</v>
          </cell>
          <cell r="T72">
            <v>172506.2</v>
          </cell>
          <cell r="U72">
            <v>171564.2</v>
          </cell>
          <cell r="V72">
            <v>171564.2</v>
          </cell>
          <cell r="W72">
            <v>182186.8</v>
          </cell>
          <cell r="X72">
            <v>188264.9</v>
          </cell>
          <cell r="Y72">
            <v>218900.09999999998</v>
          </cell>
          <cell r="Z72">
            <v>216901</v>
          </cell>
          <cell r="AA72">
            <v>201537.1</v>
          </cell>
          <cell r="AB72">
            <v>216007.6</v>
          </cell>
          <cell r="AC72">
            <v>218762</v>
          </cell>
          <cell r="AD72">
            <v>204984.90000000002</v>
          </cell>
          <cell r="AE72">
            <v>194319.1</v>
          </cell>
          <cell r="AF72">
            <v>205160.7</v>
          </cell>
          <cell r="AG72">
            <v>205993.40000000002</v>
          </cell>
          <cell r="AH72">
            <v>200179.1</v>
          </cell>
          <cell r="AI72">
            <v>200179.1</v>
          </cell>
          <cell r="AJ72">
            <v>226382.2</v>
          </cell>
          <cell r="AK72">
            <v>226724.59999999998</v>
          </cell>
          <cell r="AL72">
            <v>237395.8</v>
          </cell>
          <cell r="AM72">
            <v>227669.9</v>
          </cell>
          <cell r="AN72">
            <v>215306</v>
          </cell>
          <cell r="AO72">
            <v>221477.4</v>
          </cell>
          <cell r="AP72">
            <v>235375.2</v>
          </cell>
          <cell r="AQ72">
            <v>227739.5</v>
          </cell>
          <cell r="AR72">
            <v>208664.3</v>
          </cell>
          <cell r="AS72">
            <v>214866.7</v>
          </cell>
          <cell r="AT72">
            <v>235504.59999999998</v>
          </cell>
          <cell r="AU72">
            <v>235152.7</v>
          </cell>
        </row>
        <row r="73">
          <cell r="A73" t="str">
            <v xml:space="preserve">   SPNF</v>
          </cell>
          <cell r="C73">
            <v>0</v>
          </cell>
          <cell r="D73">
            <v>92823</v>
          </cell>
          <cell r="E73">
            <v>107555</v>
          </cell>
          <cell r="F73">
            <v>107555</v>
          </cell>
          <cell r="G73">
            <v>116551</v>
          </cell>
          <cell r="H73">
            <v>116551</v>
          </cell>
          <cell r="I73">
            <v>116551</v>
          </cell>
          <cell r="J73">
            <v>116551</v>
          </cell>
          <cell r="K73">
            <v>113570</v>
          </cell>
          <cell r="L73">
            <v>113217</v>
          </cell>
          <cell r="M73">
            <v>115380</v>
          </cell>
          <cell r="N73">
            <v>118199</v>
          </cell>
          <cell r="O73">
            <v>118235</v>
          </cell>
          <cell r="P73">
            <v>111680</v>
          </cell>
          <cell r="Q73">
            <v>122049</v>
          </cell>
          <cell r="R73">
            <v>121776</v>
          </cell>
          <cell r="S73">
            <v>120995</v>
          </cell>
          <cell r="T73">
            <v>124765</v>
          </cell>
          <cell r="U73">
            <v>163481</v>
          </cell>
          <cell r="V73">
            <v>163481</v>
          </cell>
          <cell r="W73">
            <v>203672</v>
          </cell>
          <cell r="X73">
            <v>200939</v>
          </cell>
          <cell r="Y73">
            <v>201860</v>
          </cell>
          <cell r="Z73">
            <v>201944</v>
          </cell>
          <cell r="AA73">
            <v>214001</v>
          </cell>
          <cell r="AB73">
            <v>213283</v>
          </cell>
          <cell r="AC73">
            <v>211514</v>
          </cell>
          <cell r="AD73">
            <v>222226</v>
          </cell>
          <cell r="AE73">
            <v>229262</v>
          </cell>
          <cell r="AF73">
            <v>235342</v>
          </cell>
          <cell r="AG73">
            <v>262876</v>
          </cell>
          <cell r="AH73">
            <v>273060</v>
          </cell>
          <cell r="AI73">
            <v>273060</v>
          </cell>
          <cell r="AJ73">
            <v>259444</v>
          </cell>
          <cell r="AK73">
            <v>273803</v>
          </cell>
          <cell r="AL73">
            <v>274744</v>
          </cell>
          <cell r="AM73">
            <v>280612</v>
          </cell>
          <cell r="AN73">
            <v>278740</v>
          </cell>
          <cell r="AO73">
            <v>282964</v>
          </cell>
          <cell r="AP73">
            <v>288073</v>
          </cell>
          <cell r="AQ73">
            <v>288009</v>
          </cell>
          <cell r="AR73">
            <v>289831</v>
          </cell>
          <cell r="AS73">
            <v>294904</v>
          </cell>
          <cell r="AT73">
            <v>299820</v>
          </cell>
          <cell r="AU73">
            <v>296677</v>
          </cell>
        </row>
        <row r="74">
          <cell r="A74" t="str">
            <v xml:space="preserve">   SPFNB</v>
          </cell>
          <cell r="C74">
            <v>0</v>
          </cell>
          <cell r="D74">
            <v>27335</v>
          </cell>
          <cell r="E74">
            <v>41915</v>
          </cell>
          <cell r="F74">
            <v>41915</v>
          </cell>
          <cell r="G74">
            <v>59327</v>
          </cell>
          <cell r="H74">
            <v>59327</v>
          </cell>
          <cell r="I74">
            <v>59327</v>
          </cell>
          <cell r="J74">
            <v>59327</v>
          </cell>
          <cell r="K74">
            <v>67971</v>
          </cell>
          <cell r="L74">
            <v>76502</v>
          </cell>
          <cell r="M74">
            <v>78283</v>
          </cell>
          <cell r="N74">
            <v>80272</v>
          </cell>
          <cell r="O74">
            <v>79844</v>
          </cell>
          <cell r="P74">
            <v>76408</v>
          </cell>
          <cell r="Q74">
            <v>69697</v>
          </cell>
          <cell r="R74">
            <v>70205</v>
          </cell>
          <cell r="S74">
            <v>67060</v>
          </cell>
          <cell r="T74">
            <v>69609</v>
          </cell>
          <cell r="U74">
            <v>71339</v>
          </cell>
          <cell r="V74">
            <v>71339</v>
          </cell>
          <cell r="W74">
            <v>83648</v>
          </cell>
          <cell r="X74">
            <v>81284</v>
          </cell>
          <cell r="Y74">
            <v>79035</v>
          </cell>
          <cell r="Z74">
            <v>79298</v>
          </cell>
          <cell r="AA74">
            <v>74212</v>
          </cell>
          <cell r="AB74">
            <v>74903</v>
          </cell>
          <cell r="AC74">
            <v>82690</v>
          </cell>
          <cell r="AD74">
            <v>90719</v>
          </cell>
          <cell r="AE74">
            <v>99806</v>
          </cell>
          <cell r="AF74">
            <v>101069</v>
          </cell>
          <cell r="AG74">
            <v>106379</v>
          </cell>
          <cell r="AH74">
            <v>88333</v>
          </cell>
          <cell r="AI74">
            <v>88333</v>
          </cell>
          <cell r="AJ74">
            <v>93955</v>
          </cell>
          <cell r="AK74">
            <v>99418</v>
          </cell>
          <cell r="AL74">
            <v>101100</v>
          </cell>
          <cell r="AM74">
            <v>109945</v>
          </cell>
          <cell r="AN74">
            <v>113301</v>
          </cell>
          <cell r="AO74">
            <v>108608</v>
          </cell>
          <cell r="AP74">
            <v>106673</v>
          </cell>
          <cell r="AQ74">
            <v>92378</v>
          </cell>
          <cell r="AR74">
            <v>90144</v>
          </cell>
          <cell r="AS74">
            <v>89039</v>
          </cell>
          <cell r="AT74">
            <v>85355</v>
          </cell>
          <cell r="AU74">
            <v>93519</v>
          </cell>
        </row>
        <row r="75">
          <cell r="A75" t="str">
            <v>Tìtulos fiscales (en $)</v>
          </cell>
          <cell r="C75">
            <v>0</v>
          </cell>
          <cell r="D75">
            <v>0</v>
          </cell>
          <cell r="E75">
            <v>83.091399999999993</v>
          </cell>
          <cell r="F75">
            <v>83.091399999999993</v>
          </cell>
          <cell r="G75">
            <v>114.45969999999997</v>
          </cell>
          <cell r="H75">
            <v>114.45969999999997</v>
          </cell>
          <cell r="I75">
            <v>114.45969999999997</v>
          </cell>
          <cell r="J75">
            <v>114.45969999999997</v>
          </cell>
          <cell r="K75">
            <v>121.6917</v>
          </cell>
          <cell r="L75">
            <v>124.6747</v>
          </cell>
          <cell r="M75">
            <v>139.666</v>
          </cell>
          <cell r="N75">
            <v>155.495</v>
          </cell>
          <cell r="O75">
            <v>165.37899999999996</v>
          </cell>
          <cell r="P75">
            <v>180.89899999999997</v>
          </cell>
          <cell r="Q75">
            <v>181.63499999999996</v>
          </cell>
          <cell r="R75">
            <v>173.631</v>
          </cell>
          <cell r="S75">
            <v>178.92719999999997</v>
          </cell>
          <cell r="T75">
            <v>177.23419999999999</v>
          </cell>
          <cell r="U75">
            <v>203.97719999999993</v>
          </cell>
          <cell r="V75">
            <v>203.97719999999993</v>
          </cell>
          <cell r="W75">
            <v>189.31020000000001</v>
          </cell>
          <cell r="X75">
            <v>187.02019999999999</v>
          </cell>
          <cell r="Y75">
            <v>186.09799999999996</v>
          </cell>
          <cell r="Z75">
            <v>178.96410000000003</v>
          </cell>
          <cell r="AA75">
            <v>128.5231</v>
          </cell>
          <cell r="AB75">
            <v>127.69809999999995</v>
          </cell>
          <cell r="AC75">
            <v>115.99110000000002</v>
          </cell>
          <cell r="AD75">
            <v>119.22309999999999</v>
          </cell>
          <cell r="AE75">
            <v>120.50109999999995</v>
          </cell>
          <cell r="AF75">
            <v>121.42910000000001</v>
          </cell>
          <cell r="AG75">
            <v>112.44110000000001</v>
          </cell>
          <cell r="AH75">
            <v>114.06010000000003</v>
          </cell>
          <cell r="AI75">
            <v>114.06010000000003</v>
          </cell>
          <cell r="AJ75">
            <v>102.91609999999997</v>
          </cell>
          <cell r="AK75">
            <v>105.5111</v>
          </cell>
          <cell r="AL75">
            <v>119.61009999999999</v>
          </cell>
          <cell r="AM75">
            <v>112.45599999999996</v>
          </cell>
          <cell r="AN75">
            <v>118.27300000000002</v>
          </cell>
          <cell r="AO75">
            <v>119.65100000000001</v>
          </cell>
          <cell r="AP75">
            <v>114.56299999999999</v>
          </cell>
          <cell r="AQ75">
            <v>125.47299999999996</v>
          </cell>
          <cell r="AR75">
            <v>101.6053</v>
          </cell>
          <cell r="AS75">
            <v>109.53629999999998</v>
          </cell>
          <cell r="AT75">
            <v>98.467300000000023</v>
          </cell>
          <cell r="AU75">
            <v>89.793000000000006</v>
          </cell>
        </row>
        <row r="76">
          <cell r="A76" t="str">
            <v>Bonos Banco Popular</v>
          </cell>
          <cell r="C76">
            <v>0</v>
          </cell>
          <cell r="D76">
            <v>0</v>
          </cell>
          <cell r="E76">
            <v>0</v>
          </cell>
          <cell r="F76">
            <v>0</v>
          </cell>
          <cell r="G76">
            <v>0</v>
          </cell>
          <cell r="H76">
            <v>0</v>
          </cell>
          <cell r="I76">
            <v>0</v>
          </cell>
          <cell r="J76" t="e">
            <v>#DIV/0!</v>
          </cell>
          <cell r="K76" t="e">
            <v>#DIV/0!</v>
          </cell>
          <cell r="L76" t="e">
            <v>#DIV/0!</v>
          </cell>
          <cell r="M76">
            <v>0</v>
          </cell>
          <cell r="N76" t="e">
            <v>#DIV/0!</v>
          </cell>
          <cell r="O76" t="e">
            <v>#DIV/0!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9">
          <cell r="A79" t="str">
            <v>CUASIDINERO</v>
          </cell>
          <cell r="C79">
            <v>387755.31015199999</v>
          </cell>
          <cell r="D79">
            <v>443646.37991800008</v>
          </cell>
          <cell r="E79">
            <v>465317.58364000008</v>
          </cell>
          <cell r="F79">
            <v>533055.05888599996</v>
          </cell>
          <cell r="G79">
            <v>562703.65122200001</v>
          </cell>
          <cell r="H79">
            <v>617241.75638500007</v>
          </cell>
          <cell r="I79">
            <v>647490.90454900009</v>
          </cell>
          <cell r="J79">
            <v>655949.719484</v>
          </cell>
          <cell r="K79">
            <v>654142.46232799999</v>
          </cell>
          <cell r="L79">
            <v>647386.69264400005</v>
          </cell>
          <cell r="M79">
            <v>683749.07420599996</v>
          </cell>
          <cell r="N79">
            <v>685654.07316899998</v>
          </cell>
          <cell r="O79">
            <v>720163.45369999995</v>
          </cell>
          <cell r="P79">
            <v>762659.90235300001</v>
          </cell>
          <cell r="Q79">
            <v>803457.40233300009</v>
          </cell>
          <cell r="R79">
            <v>815154.785225</v>
          </cell>
          <cell r="S79">
            <v>823334.54132399999</v>
          </cell>
          <cell r="T79">
            <v>812125.46897199983</v>
          </cell>
          <cell r="U79">
            <v>782192.11051599996</v>
          </cell>
          <cell r="V79">
            <v>816815.770762</v>
          </cell>
          <cell r="W79">
            <v>855251.26289799996</v>
          </cell>
          <cell r="X79">
            <v>874392.0716139999</v>
          </cell>
          <cell r="Y79">
            <v>905814.25171105203</v>
          </cell>
          <cell r="Z79">
            <v>913627.76822962984</v>
          </cell>
          <cell r="AA79">
            <v>942749.32172264147</v>
          </cell>
          <cell r="AB79">
            <v>967067.86442262447</v>
          </cell>
          <cell r="AC79">
            <v>964337.94612460071</v>
          </cell>
          <cell r="AD79">
            <v>970763.9848676906</v>
          </cell>
          <cell r="AE79">
            <v>999772.00784269325</v>
          </cell>
          <cell r="AF79">
            <v>1008250.5293458244</v>
          </cell>
          <cell r="AG79">
            <v>1019018.1271081099</v>
          </cell>
          <cell r="AH79">
            <v>1011984.2697107969</v>
          </cell>
          <cell r="AI79">
            <v>1055402.5931167845</v>
          </cell>
          <cell r="AJ79">
            <v>1122262.5081024119</v>
          </cell>
          <cell r="AK79">
            <v>1155097.7002682907</v>
          </cell>
          <cell r="AL79">
            <v>1201448.8351754197</v>
          </cell>
          <cell r="AM79">
            <v>1279882.4690464833</v>
          </cell>
          <cell r="AN79">
            <v>1303951.9401244922</v>
          </cell>
          <cell r="AO79">
            <v>1279242.5108219688</v>
          </cell>
          <cell r="AP79">
            <v>1277468.1081772749</v>
          </cell>
          <cell r="AQ79">
            <v>1321276.6908641169</v>
          </cell>
          <cell r="AR79">
            <v>1356548.343719034</v>
          </cell>
          <cell r="AS79">
            <v>1332104.7754042684</v>
          </cell>
          <cell r="AT79">
            <v>1332080.7613623512</v>
          </cell>
          <cell r="AU79">
            <v>1301761.584230422</v>
          </cell>
        </row>
        <row r="80">
          <cell r="A80" t="str">
            <v xml:space="preserve">   M/N</v>
          </cell>
          <cell r="C80">
            <v>252426.95643399999</v>
          </cell>
          <cell r="D80">
            <v>293741.95928000007</v>
          </cell>
          <cell r="E80">
            <v>293741.95928000007</v>
          </cell>
          <cell r="F80">
            <v>342123.49704599997</v>
          </cell>
          <cell r="G80">
            <v>342123.53984600003</v>
          </cell>
          <cell r="H80">
            <v>358454.56294900004</v>
          </cell>
          <cell r="I80">
            <v>358454.56294900004</v>
          </cell>
          <cell r="J80">
            <v>366025.18908400001</v>
          </cell>
          <cell r="K80">
            <v>369186.62952799996</v>
          </cell>
          <cell r="L80">
            <v>354486.62304399995</v>
          </cell>
          <cell r="M80">
            <v>387161.08620600001</v>
          </cell>
          <cell r="N80">
            <v>390563.36676899996</v>
          </cell>
          <cell r="O80">
            <v>423235.14489999996</v>
          </cell>
          <cell r="P80">
            <v>460030.35595300002</v>
          </cell>
          <cell r="Q80">
            <v>492937.11833300005</v>
          </cell>
          <cell r="R80">
            <v>507685.324425</v>
          </cell>
          <cell r="S80">
            <v>509795.84452399996</v>
          </cell>
          <cell r="T80">
            <v>497577.57217199996</v>
          </cell>
          <cell r="U80">
            <v>462673.84571599995</v>
          </cell>
          <cell r="V80">
            <v>462673.84571599995</v>
          </cell>
          <cell r="W80">
            <v>483196.60545600002</v>
          </cell>
          <cell r="X80">
            <v>501762.96341199992</v>
          </cell>
          <cell r="Y80">
            <v>522091.15895118023</v>
          </cell>
          <cell r="Z80">
            <v>525518.24254102772</v>
          </cell>
          <cell r="AA80">
            <v>550480.33676856942</v>
          </cell>
          <cell r="AB80">
            <v>561485.07909193134</v>
          </cell>
          <cell r="AC80">
            <v>540087.54825084307</v>
          </cell>
          <cell r="AD80">
            <v>543473.14128646837</v>
          </cell>
          <cell r="AE80">
            <v>550777.63168093993</v>
          </cell>
          <cell r="AF80">
            <v>556982.75681326748</v>
          </cell>
          <cell r="AG80">
            <v>563830.78360791784</v>
          </cell>
          <cell r="AH80">
            <v>562885.81111805374</v>
          </cell>
          <cell r="AI80">
            <v>562885.81111805374</v>
          </cell>
          <cell r="AJ80">
            <v>596438.30709198257</v>
          </cell>
          <cell r="AK80">
            <v>618201.68895100744</v>
          </cell>
          <cell r="AL80">
            <v>650367.02402267721</v>
          </cell>
          <cell r="AM80">
            <v>676809.65730386961</v>
          </cell>
          <cell r="AN80">
            <v>700489.00265401287</v>
          </cell>
          <cell r="AO80">
            <v>718789.67539067636</v>
          </cell>
          <cell r="AP80">
            <v>704225.56331129232</v>
          </cell>
          <cell r="AQ80">
            <v>748700.4813147448</v>
          </cell>
          <cell r="AR80">
            <v>770235.88955552271</v>
          </cell>
          <cell r="AS80">
            <v>748756.7415848251</v>
          </cell>
          <cell r="AT80">
            <v>747424.4241464911</v>
          </cell>
          <cell r="AU80">
            <v>721790.31893194804</v>
          </cell>
        </row>
        <row r="81">
          <cell r="A81" t="str">
            <v xml:space="preserve">   M/E</v>
          </cell>
          <cell r="C81">
            <v>861.47019999999998</v>
          </cell>
          <cell r="D81">
            <v>954.25819999999987</v>
          </cell>
          <cell r="E81">
            <v>954.25819999999987</v>
          </cell>
          <cell r="F81">
            <v>1061.9108000000001</v>
          </cell>
          <cell r="G81">
            <v>1061.9108000000001</v>
          </cell>
          <cell r="H81">
            <v>1245.8463000000002</v>
          </cell>
          <cell r="I81">
            <v>1245.8463000000002</v>
          </cell>
          <cell r="J81">
            <v>1249.6747</v>
          </cell>
          <cell r="K81">
            <v>1228.2578999999998</v>
          </cell>
          <cell r="L81">
            <v>1262.5003000000002</v>
          </cell>
          <cell r="M81">
            <v>1278.3965000000001</v>
          </cell>
          <cell r="N81">
            <v>1271.9426999999998</v>
          </cell>
          <cell r="O81">
            <v>1279.8634</v>
          </cell>
          <cell r="P81">
            <v>1304.4376999999999</v>
          </cell>
          <cell r="Q81">
            <v>1338.4495000000002</v>
          </cell>
          <cell r="R81">
            <v>1325.2994000000003</v>
          </cell>
          <cell r="S81">
            <v>1351.4599000000001</v>
          </cell>
          <cell r="T81">
            <v>1355.8098999999997</v>
          </cell>
          <cell r="U81">
            <v>1377.2338999999999</v>
          </cell>
          <cell r="V81">
            <v>1377.2338999999999</v>
          </cell>
          <cell r="W81">
            <v>1446.8952999999999</v>
          </cell>
          <cell r="X81">
            <v>1449.1293000000001</v>
          </cell>
          <cell r="Y81">
            <v>1492.2730526556422</v>
          </cell>
          <cell r="Z81">
            <v>1509.3315924733693</v>
          </cell>
          <cell r="AA81">
            <v>1525.5074471263595</v>
          </cell>
          <cell r="AB81">
            <v>1577.2839127739485</v>
          </cell>
          <cell r="AC81">
            <v>1649.8809904089512</v>
          </cell>
          <cell r="AD81">
            <v>1661.7050773167232</v>
          </cell>
          <cell r="AE81">
            <v>1746.1086418361724</v>
          </cell>
          <cell r="AF81">
            <v>1754.9497259568986</v>
          </cell>
          <cell r="AG81">
            <v>1770.1926713082062</v>
          </cell>
          <cell r="AH81">
            <v>1746.5134113430163</v>
          </cell>
          <cell r="AI81">
            <v>1746.5134113430163</v>
          </cell>
          <cell r="AJ81">
            <v>1864.6248262781187</v>
          </cell>
          <cell r="AK81">
            <v>1903.886564954905</v>
          </cell>
          <cell r="AL81">
            <v>1954.1908196905756</v>
          </cell>
          <cell r="AM81">
            <v>2138.5560700092678</v>
          </cell>
          <cell r="AN81">
            <v>2139.9394945761674</v>
          </cell>
          <cell r="AO81">
            <v>1987.4214022386254</v>
          </cell>
          <cell r="AP81">
            <v>2032.7749817942647</v>
          </cell>
          <cell r="AQ81">
            <v>2030.4120906006103</v>
          </cell>
          <cell r="AR81">
            <v>2079.1221778847912</v>
          </cell>
          <cell r="AS81">
            <v>2068.6100490051185</v>
          </cell>
          <cell r="AT81">
            <v>2073.2494227512771</v>
          </cell>
          <cell r="AU81">
            <v>2056.6356925477799</v>
          </cell>
        </row>
        <row r="83">
          <cell r="A83" t="str">
            <v>LIQUIDEZ TOTAL (Sin BEM M/N)</v>
          </cell>
          <cell r="C83">
            <v>472890.668878</v>
          </cell>
          <cell r="D83">
            <v>541277.17731100006</v>
          </cell>
          <cell r="E83">
            <v>562948.38103300007</v>
          </cell>
          <cell r="F83">
            <v>613941.82079300005</v>
          </cell>
          <cell r="G83">
            <v>643590.34652900009</v>
          </cell>
          <cell r="H83">
            <v>801850.33802400017</v>
          </cell>
          <cell r="I83">
            <v>832099.48618800018</v>
          </cell>
          <cell r="J83">
            <v>802728.72087000008</v>
          </cell>
          <cell r="K83">
            <v>811281.22715299996</v>
          </cell>
          <cell r="L83">
            <v>810700.05538300006</v>
          </cell>
          <cell r="M83">
            <v>823391.64609000005</v>
          </cell>
          <cell r="N83">
            <v>825730.29273699992</v>
          </cell>
          <cell r="O83">
            <v>838229.85445999994</v>
          </cell>
          <cell r="P83">
            <v>850426.98335799994</v>
          </cell>
          <cell r="Q83">
            <v>862631.57330500009</v>
          </cell>
          <cell r="R83">
            <v>866565.59013300017</v>
          </cell>
          <cell r="S83">
            <v>885288.05397999997</v>
          </cell>
          <cell r="T83">
            <v>917862.50577199995</v>
          </cell>
          <cell r="U83">
            <v>945173.24378799996</v>
          </cell>
          <cell r="V83">
            <v>979796.90403399989</v>
          </cell>
          <cell r="W83">
            <v>984777.50658200006</v>
          </cell>
          <cell r="X83">
            <v>981363.25896799983</v>
          </cell>
          <cell r="Y83">
            <v>998281.28115525213</v>
          </cell>
          <cell r="Z83">
            <v>999249.92762166983</v>
          </cell>
          <cell r="AA83">
            <v>1007557.7014283715</v>
          </cell>
          <cell r="AB83">
            <v>1034918.8715431445</v>
          </cell>
          <cell r="AC83">
            <v>1060741.0139540008</v>
          </cell>
          <cell r="AD83">
            <v>1068026.0840552314</v>
          </cell>
          <cell r="AE83">
            <v>1115451.3107240333</v>
          </cell>
          <cell r="AF83">
            <v>1122422.1019307147</v>
          </cell>
          <cell r="AG83">
            <v>1159723.3844008602</v>
          </cell>
          <cell r="AH83">
            <v>1187255.5054233067</v>
          </cell>
          <cell r="AI83">
            <v>1230673.8288292941</v>
          </cell>
          <cell r="AJ83">
            <v>1261269.2927179625</v>
          </cell>
          <cell r="AK83">
            <v>1277980.3806212214</v>
          </cell>
          <cell r="AL83">
            <v>1292745.6777719897</v>
          </cell>
          <cell r="AM83">
            <v>1363376.8113114838</v>
          </cell>
          <cell r="AN83">
            <v>1362505.4237078922</v>
          </cell>
          <cell r="AO83">
            <v>1321322.4049177093</v>
          </cell>
          <cell r="AP83">
            <v>1334363.3444859651</v>
          </cell>
          <cell r="AQ83">
            <v>1351926.6618123269</v>
          </cell>
          <cell r="AR83">
            <v>1382246.1224861846</v>
          </cell>
          <cell r="AS83">
            <v>1392033.3677876086</v>
          </cell>
          <cell r="AT83">
            <v>1438615.6341006621</v>
          </cell>
          <cell r="AU83">
            <v>1435972.7740216125</v>
          </cell>
        </row>
        <row r="84">
          <cell r="A84" t="str">
            <v xml:space="preserve">   M/N</v>
          </cell>
          <cell r="C84">
            <v>337562.31516</v>
          </cell>
          <cell r="D84">
            <v>391372.75667300005</v>
          </cell>
          <cell r="E84">
            <v>391372.75667300005</v>
          </cell>
          <cell r="F84">
            <v>423010.25895299995</v>
          </cell>
          <cell r="G84">
            <v>423010.23515300005</v>
          </cell>
          <cell r="H84">
            <v>543063.14458800014</v>
          </cell>
          <cell r="I84">
            <v>543063.14458800014</v>
          </cell>
          <cell r="J84">
            <v>512804.19047000003</v>
          </cell>
          <cell r="K84">
            <v>526325.39435299998</v>
          </cell>
          <cell r="L84">
            <v>517799.98578300001</v>
          </cell>
          <cell r="M84">
            <v>526803.65809000004</v>
          </cell>
          <cell r="N84">
            <v>530639.58633700002</v>
          </cell>
          <cell r="O84">
            <v>541301.54565999995</v>
          </cell>
          <cell r="P84">
            <v>547797.43695799995</v>
          </cell>
          <cell r="Q84">
            <v>552111.28930499998</v>
          </cell>
          <cell r="R84">
            <v>559096.12933300005</v>
          </cell>
          <cell r="S84">
            <v>571749.35717999993</v>
          </cell>
          <cell r="T84">
            <v>603314.60897199996</v>
          </cell>
          <cell r="U84">
            <v>625654.97898799996</v>
          </cell>
          <cell r="V84">
            <v>625654.97898799996</v>
          </cell>
          <cell r="W84">
            <v>612722.84914000006</v>
          </cell>
          <cell r="X84">
            <v>608734.15076599992</v>
          </cell>
          <cell r="Y84">
            <v>614558.18839538028</v>
          </cell>
          <cell r="Z84">
            <v>611140.40193306771</v>
          </cell>
          <cell r="AA84">
            <v>615288.71647429944</v>
          </cell>
          <cell r="AB84">
            <v>629336.08621245134</v>
          </cell>
          <cell r="AC84">
            <v>636490.61608024314</v>
          </cell>
          <cell r="AD84">
            <v>640735.24047400919</v>
          </cell>
          <cell r="AE84">
            <v>666456.93456227996</v>
          </cell>
          <cell r="AF84">
            <v>671154.32939815766</v>
          </cell>
          <cell r="AG84">
            <v>704536.04090066813</v>
          </cell>
          <cell r="AH84">
            <v>738157.04683056357</v>
          </cell>
          <cell r="AI84">
            <v>738157.04683056357</v>
          </cell>
          <cell r="AJ84">
            <v>735445.09170753323</v>
          </cell>
          <cell r="AK84">
            <v>741084.36930393812</v>
          </cell>
          <cell r="AL84">
            <v>741663.86661924748</v>
          </cell>
          <cell r="AM84">
            <v>760303.99956887041</v>
          </cell>
          <cell r="AN84">
            <v>759042.48623741302</v>
          </cell>
          <cell r="AO84">
            <v>760869.56948641688</v>
          </cell>
          <cell r="AP84">
            <v>761120.79961998248</v>
          </cell>
          <cell r="AQ84">
            <v>779350.45226295479</v>
          </cell>
          <cell r="AR84">
            <v>795933.66832267342</v>
          </cell>
          <cell r="AS84">
            <v>808685.33396816521</v>
          </cell>
          <cell r="AT84">
            <v>853959.29688480182</v>
          </cell>
          <cell r="AU84">
            <v>856001.5087231386</v>
          </cell>
        </row>
        <row r="85">
          <cell r="A85" t="str">
            <v xml:space="preserve">   M/E</v>
          </cell>
          <cell r="C85">
            <v>861.47019999999998</v>
          </cell>
          <cell r="D85">
            <v>954.25819999999987</v>
          </cell>
          <cell r="E85">
            <v>954.25819999999987</v>
          </cell>
          <cell r="F85">
            <v>1061.9108000000001</v>
          </cell>
          <cell r="G85">
            <v>1061.9108000000001</v>
          </cell>
          <cell r="H85">
            <v>1245.8463000000002</v>
          </cell>
          <cell r="I85">
            <v>1245.8463000000002</v>
          </cell>
          <cell r="J85">
            <v>1249.6747</v>
          </cell>
          <cell r="K85">
            <v>1228.2578999999998</v>
          </cell>
          <cell r="L85">
            <v>1262.5003000000002</v>
          </cell>
          <cell r="M85">
            <v>1278.3965000000001</v>
          </cell>
          <cell r="N85">
            <v>1271.9426999999998</v>
          </cell>
          <cell r="O85">
            <v>1279.8634</v>
          </cell>
          <cell r="P85">
            <v>1304.4376999999999</v>
          </cell>
          <cell r="Q85">
            <v>1338.4495000000002</v>
          </cell>
          <cell r="R85">
            <v>1325.2994000000003</v>
          </cell>
          <cell r="S85">
            <v>1351.4599000000001</v>
          </cell>
          <cell r="T85">
            <v>1355.8098999999997</v>
          </cell>
          <cell r="U85">
            <v>1377.2338999999999</v>
          </cell>
          <cell r="V85">
            <v>1377.2338999999999</v>
          </cell>
          <cell r="W85">
            <v>1446.8952999999999</v>
          </cell>
          <cell r="X85">
            <v>1449.1293000000001</v>
          </cell>
          <cell r="Y85">
            <v>1492.2730526556422</v>
          </cell>
          <cell r="Z85">
            <v>1509.3315924733693</v>
          </cell>
          <cell r="AA85">
            <v>1525.5074471263595</v>
          </cell>
          <cell r="AB85">
            <v>1577.2839127739485</v>
          </cell>
          <cell r="AC85">
            <v>1649.8809904089512</v>
          </cell>
          <cell r="AD85">
            <v>1661.7050773167232</v>
          </cell>
          <cell r="AE85">
            <v>1746.1086418361724</v>
          </cell>
          <cell r="AF85">
            <v>1754.9497259568986</v>
          </cell>
          <cell r="AG85">
            <v>1770.1926713082062</v>
          </cell>
          <cell r="AH85">
            <v>1746.5134113430163</v>
          </cell>
          <cell r="AI85">
            <v>1746.5134113430163</v>
          </cell>
          <cell r="AJ85">
            <v>1864.6248262781187</v>
          </cell>
          <cell r="AK85">
            <v>1903.886564954905</v>
          </cell>
          <cell r="AL85">
            <v>1954.1908196905756</v>
          </cell>
          <cell r="AM85">
            <v>2138.5560700092678</v>
          </cell>
          <cell r="AN85">
            <v>2139.9394945761674</v>
          </cell>
          <cell r="AO85">
            <v>1987.4214022386254</v>
          </cell>
          <cell r="AP85">
            <v>2032.7749817942647</v>
          </cell>
          <cell r="AQ85">
            <v>2030.4120906006103</v>
          </cell>
          <cell r="AR85">
            <v>2079.1221778847912</v>
          </cell>
          <cell r="AS85">
            <v>2068.6100490051185</v>
          </cell>
          <cell r="AT85">
            <v>2073.2494227512771</v>
          </cell>
          <cell r="AU85">
            <v>2056.6356925477799</v>
          </cell>
        </row>
        <row r="87">
          <cell r="A87" t="str">
            <v xml:space="preserve">RIQUEZA FINANCIERA SECTOR PRIVADO </v>
          </cell>
          <cell r="C87">
            <v>514906.45303600002</v>
          </cell>
          <cell r="D87">
            <v>622085.58372300002</v>
          </cell>
          <cell r="E87">
            <v>717075.00755900005</v>
          </cell>
          <cell r="F87">
            <v>788507.46609600005</v>
          </cell>
          <cell r="G87">
            <v>928878.62456400006</v>
          </cell>
          <cell r="H87">
            <v>985342.31813200004</v>
          </cell>
          <cell r="I87">
            <v>1019213.9034440001</v>
          </cell>
          <cell r="J87" t="e">
            <v>#DIV/0!</v>
          </cell>
          <cell r="K87" t="e">
            <v>#DIV/0!</v>
          </cell>
          <cell r="L87" t="e">
            <v>#DIV/0!</v>
          </cell>
          <cell r="M87">
            <v>1053675.0325740001</v>
          </cell>
          <cell r="N87" t="e">
            <v>#DIV/0!</v>
          </cell>
          <cell r="O87" t="e">
            <v>#DIV/0!</v>
          </cell>
          <cell r="P87">
            <v>1093637.6504429998</v>
          </cell>
          <cell r="Q87">
            <v>1101488.890967</v>
          </cell>
          <cell r="R87">
            <v>1096929.3130299998</v>
          </cell>
          <cell r="S87">
            <v>1106286.7642120002</v>
          </cell>
          <cell r="T87">
            <v>1137479.8102279999</v>
          </cell>
          <cell r="U87">
            <v>1160082.185396</v>
          </cell>
          <cell r="V87">
            <v>1199160.8120240001</v>
          </cell>
          <cell r="W87">
            <v>1231081.8264100002</v>
          </cell>
          <cell r="X87">
            <v>1251823.6927759999</v>
          </cell>
          <cell r="Y87">
            <v>1295821.7683507127</v>
          </cell>
          <cell r="Z87">
            <v>1301250.9734503534</v>
          </cell>
          <cell r="AA87">
            <v>1287623.1517339512</v>
          </cell>
          <cell r="AB87">
            <v>1307165.8799155557</v>
          </cell>
          <cell r="AC87">
            <v>1303707.5242867686</v>
          </cell>
          <cell r="AD87">
            <v>1296763.1895862741</v>
          </cell>
          <cell r="AE87">
            <v>1311316.0575997951</v>
          </cell>
          <cell r="AF87">
            <v>1302324.8697620761</v>
          </cell>
          <cell r="AG87">
            <v>1360890.2245395212</v>
          </cell>
          <cell r="AH87">
            <v>1383510.0431181784</v>
          </cell>
          <cell r="AI87">
            <v>1428560.2389294808</v>
          </cell>
          <cell r="AJ87">
            <v>1491039.2864442789</v>
          </cell>
          <cell r="AK87">
            <v>1534909.9789803526</v>
          </cell>
          <cell r="AL87">
            <v>1578389.8788055019</v>
          </cell>
          <cell r="AM87">
            <v>1645437.4643286527</v>
          </cell>
          <cell r="AN87">
            <v>1652289.8920841592</v>
          </cell>
          <cell r="AO87">
            <v>1633032.1028392916</v>
          </cell>
          <cell r="AP87">
            <v>1655839.1830821726</v>
          </cell>
          <cell r="AQ87">
            <v>1678268.7420514422</v>
          </cell>
          <cell r="AR87">
            <v>1689740.8923614803</v>
          </cell>
          <cell r="AS87">
            <v>1691933.9294668832</v>
          </cell>
          <cell r="AT87">
            <v>1742582.3395837094</v>
          </cell>
          <cell r="AU87">
            <v>1744424.9444514536</v>
          </cell>
        </row>
        <row r="88">
          <cell r="A88" t="str">
            <v xml:space="preserve">   M/N</v>
          </cell>
          <cell r="C88">
            <v>385563.84096900001</v>
          </cell>
          <cell r="D88">
            <v>479209.14975900005</v>
          </cell>
          <cell r="E88">
            <v>538603.54975900007</v>
          </cell>
          <cell r="F88">
            <v>586131.76011599996</v>
          </cell>
          <cell r="G88">
            <v>688561.45731600001</v>
          </cell>
          <cell r="H88">
            <v>706110.47064399999</v>
          </cell>
          <cell r="I88">
            <v>707343.17064400006</v>
          </cell>
          <cell r="J88" t="e">
            <v>#DIV/0!</v>
          </cell>
          <cell r="K88" t="e">
            <v>#DIV/0!</v>
          </cell>
          <cell r="L88" t="e">
            <v>#DIV/0!</v>
          </cell>
          <cell r="M88">
            <v>728270.46377400006</v>
          </cell>
          <cell r="N88" t="e">
            <v>#DIV/0!</v>
          </cell>
          <cell r="O88" t="e">
            <v>#DIV/0!</v>
          </cell>
          <cell r="P88">
            <v>752095.74164299993</v>
          </cell>
          <cell r="Q88">
            <v>752508.13416700007</v>
          </cell>
          <cell r="R88">
            <v>752047.4858299999</v>
          </cell>
          <cell r="S88">
            <v>756583.09541200008</v>
          </cell>
          <cell r="T88">
            <v>787395.38302799989</v>
          </cell>
          <cell r="U88">
            <v>799452.05899600009</v>
          </cell>
          <cell r="V88">
            <v>799452.05899600009</v>
          </cell>
          <cell r="W88">
            <v>817194.65663600015</v>
          </cell>
          <cell r="X88">
            <v>837248.18493599992</v>
          </cell>
          <cell r="Y88">
            <v>870779.74111749977</v>
          </cell>
          <cell r="Z88">
            <v>874048.49955124001</v>
          </cell>
          <cell r="AA88">
            <v>869016.81421980995</v>
          </cell>
          <cell r="AB88">
            <v>875537.30527688004</v>
          </cell>
          <cell r="AC88">
            <v>856539.77805732994</v>
          </cell>
          <cell r="AD88">
            <v>845960.39372186898</v>
          </cell>
          <cell r="AE88">
            <v>840574.8190239598</v>
          </cell>
          <cell r="AF88">
            <v>829796.62850185996</v>
          </cell>
          <cell r="AG88">
            <v>887581.55572133977</v>
          </cell>
          <cell r="AH88">
            <v>917532.27357199008</v>
          </cell>
          <cell r="AI88">
            <v>917532.27357199008</v>
          </cell>
          <cell r="AJ88">
            <v>948733.14503472927</v>
          </cell>
          <cell r="AK88">
            <v>980340.91547218943</v>
          </cell>
          <cell r="AL88">
            <v>1005661.0404362397</v>
          </cell>
          <cell r="AM88">
            <v>1021599.5168123592</v>
          </cell>
          <cell r="AN88">
            <v>1025686.2978494</v>
          </cell>
          <cell r="AO88">
            <v>1048889.2089010593</v>
          </cell>
          <cell r="AP88">
            <v>1058962.5229623099</v>
          </cell>
          <cell r="AQ88">
            <v>1079518.6293371699</v>
          </cell>
          <cell r="AR88">
            <v>1084113.4231508493</v>
          </cell>
          <cell r="AS88">
            <v>1086717.4778646599</v>
          </cell>
          <cell r="AT88">
            <v>1139777.2681523892</v>
          </cell>
          <cell r="AU88">
            <v>1148921.5137245597</v>
          </cell>
        </row>
        <row r="89">
          <cell r="A89" t="str">
            <v xml:space="preserve">   M/E</v>
          </cell>
          <cell r="C89">
            <v>823.36629999999991</v>
          </cell>
          <cell r="D89">
            <v>909.51959999999997</v>
          </cell>
          <cell r="E89">
            <v>992.61099999999999</v>
          </cell>
          <cell r="F89">
            <v>1125.5601000000001</v>
          </cell>
          <cell r="G89">
            <v>1156.9284</v>
          </cell>
          <cell r="H89">
            <v>1344.2704000000001</v>
          </cell>
          <cell r="I89">
            <v>1344.2704000000001</v>
          </cell>
          <cell r="J89">
            <v>1348.0108</v>
          </cell>
          <cell r="K89">
            <v>1329.4856</v>
          </cell>
          <cell r="L89">
            <v>1370.4788999999998</v>
          </cell>
          <cell r="M89">
            <v>1402.6059</v>
          </cell>
          <cell r="N89">
            <v>1418.2289999999998</v>
          </cell>
          <cell r="O89">
            <v>1433.7664999999997</v>
          </cell>
          <cell r="P89">
            <v>1472.1633999999999</v>
          </cell>
          <cell r="Q89">
            <v>1504.2274000000002</v>
          </cell>
          <cell r="R89">
            <v>1486.5596000000003</v>
          </cell>
          <cell r="S89">
            <v>1507.3434000000002</v>
          </cell>
          <cell r="T89">
            <v>1508.9845999999998</v>
          </cell>
          <cell r="U89">
            <v>1554.4402</v>
          </cell>
          <cell r="V89">
            <v>1554.4402</v>
          </cell>
          <cell r="W89">
            <v>1609.5790999999999</v>
          </cell>
          <cell r="X89">
            <v>1612.2560000000001</v>
          </cell>
          <cell r="Y89">
            <v>1652.9595832356422</v>
          </cell>
          <cell r="Z89">
            <v>1661.3614136233696</v>
          </cell>
          <cell r="AA89">
            <v>1627.9316229063593</v>
          </cell>
          <cell r="AB89">
            <v>1678.5742188639483</v>
          </cell>
          <cell r="AC89">
            <v>1739.0050020589513</v>
          </cell>
          <cell r="AD89">
            <v>1753.1414632667231</v>
          </cell>
          <cell r="AE89">
            <v>1830.6807131361725</v>
          </cell>
          <cell r="AF89">
            <v>1837.6302452368986</v>
          </cell>
          <cell r="AG89">
            <v>1840.6652750182061</v>
          </cell>
          <cell r="AH89">
            <v>1812.1559055230164</v>
          </cell>
          <cell r="AI89">
            <v>1812.1559055230164</v>
          </cell>
          <cell r="AJ89">
            <v>1923.0714234381187</v>
          </cell>
          <cell r="AK89">
            <v>1966.5569627949048</v>
          </cell>
          <cell r="AL89">
            <v>2030.9533275505755</v>
          </cell>
          <cell r="AM89">
            <v>2212.191303249268</v>
          </cell>
          <cell r="AN89">
            <v>2221.9985611161674</v>
          </cell>
          <cell r="AO89">
            <v>2071.428701908625</v>
          </cell>
          <cell r="AP89">
            <v>2116.5839011342646</v>
          </cell>
          <cell r="AQ89">
            <v>2123.2273500506103</v>
          </cell>
          <cell r="AR89">
            <v>2147.6151390447908</v>
          </cell>
          <cell r="AS89">
            <v>2146.1576297951187</v>
          </cell>
          <cell r="AT89">
            <v>2137.6066362812767</v>
          </cell>
          <cell r="AU89">
            <v>2111.7142933577802</v>
          </cell>
        </row>
        <row r="93">
          <cell r="A93" t="str">
            <v>RIQUEZA FINANCIERA PRIVADA</v>
          </cell>
          <cell r="C93">
            <v>514906.45303599996</v>
          </cell>
          <cell r="D93">
            <v>622085.58372300002</v>
          </cell>
          <cell r="E93">
            <v>717075.00755900005</v>
          </cell>
          <cell r="F93">
            <v>788507.46609600005</v>
          </cell>
          <cell r="G93">
            <v>928878.62456400017</v>
          </cell>
          <cell r="H93">
            <v>985342.31813200004</v>
          </cell>
          <cell r="I93">
            <v>1019213.9034440001</v>
          </cell>
          <cell r="J93">
            <v>994004.04656799987</v>
          </cell>
          <cell r="K93">
            <v>1019940.1082010001</v>
          </cell>
          <cell r="L93">
            <v>1030140.2264040001</v>
          </cell>
          <cell r="M93">
            <v>1053675.0325740001</v>
          </cell>
          <cell r="N93">
            <v>1048448.9532019999</v>
          </cell>
          <cell r="O93">
            <v>1081274.7389449999</v>
          </cell>
          <cell r="P93">
            <v>1093637.650443</v>
          </cell>
          <cell r="Q93">
            <v>1101488.890967</v>
          </cell>
          <cell r="R93">
            <v>1096929.3130299998</v>
          </cell>
          <cell r="S93">
            <v>1106286.764212</v>
          </cell>
          <cell r="T93">
            <v>1137479.8102279999</v>
          </cell>
          <cell r="U93">
            <v>1160082.185396</v>
          </cell>
          <cell r="V93">
            <v>1199160.8120240001</v>
          </cell>
          <cell r="W93">
            <v>1231081.82641</v>
          </cell>
          <cell r="X93">
            <v>1251823.6927759999</v>
          </cell>
          <cell r="Y93">
            <v>1295821.768350713</v>
          </cell>
          <cell r="Z93">
            <v>1301250.9734503531</v>
          </cell>
          <cell r="AA93">
            <v>1287623.1517339509</v>
          </cell>
          <cell r="AB93">
            <v>1307165.8799155557</v>
          </cell>
          <cell r="AC93">
            <v>1303707.5242867686</v>
          </cell>
          <cell r="AD93">
            <v>1296763.1895862743</v>
          </cell>
          <cell r="AE93">
            <v>1311316.0575997953</v>
          </cell>
          <cell r="AF93">
            <v>1302324.8697620758</v>
          </cell>
          <cell r="AG93">
            <v>1360890.2245395216</v>
          </cell>
          <cell r="AH93">
            <v>1383510.0431181784</v>
          </cell>
          <cell r="AI93">
            <v>1428560.238929481</v>
          </cell>
          <cell r="AJ93">
            <v>1491039.2864442787</v>
          </cell>
          <cell r="AK93">
            <v>1534909.9789803526</v>
          </cell>
          <cell r="AL93">
            <v>1578389.8788055019</v>
          </cell>
          <cell r="AM93">
            <v>1645437.4643286527</v>
          </cell>
          <cell r="AN93">
            <v>1652289.892084159</v>
          </cell>
          <cell r="AO93">
            <v>1633032.1028392918</v>
          </cell>
          <cell r="AP93">
            <v>1655839.1830821724</v>
          </cell>
          <cell r="AQ93">
            <v>1678268.7420514422</v>
          </cell>
          <cell r="AR93">
            <v>1689740.8923614803</v>
          </cell>
          <cell r="AS93">
            <v>1691933.9294668832</v>
          </cell>
          <cell r="AT93">
            <v>1742582.3395837091</v>
          </cell>
          <cell r="AU93">
            <v>1744424.9444514536</v>
          </cell>
        </row>
        <row r="95">
          <cell r="A95" t="str">
            <v xml:space="preserve">   NPP</v>
          </cell>
          <cell r="C95">
            <v>53696.272599999997</v>
          </cell>
          <cell r="D95">
            <v>73068.218900000007</v>
          </cell>
          <cell r="E95">
            <v>73068.218900000007</v>
          </cell>
          <cell r="F95">
            <v>80667.872700000007</v>
          </cell>
          <cell r="G95">
            <v>80667.872700000007</v>
          </cell>
          <cell r="H95">
            <v>91743.196599999996</v>
          </cell>
          <cell r="I95">
            <v>91743.196599999996</v>
          </cell>
          <cell r="J95">
            <v>80650.385399999999</v>
          </cell>
          <cell r="K95">
            <v>80593.680900000007</v>
          </cell>
          <cell r="L95">
            <v>78669.5049</v>
          </cell>
          <cell r="M95">
            <v>79119.371099999989</v>
          </cell>
          <cell r="N95">
            <v>79825.696100000001</v>
          </cell>
          <cell r="O95">
            <v>76587.113499999992</v>
          </cell>
          <cell r="P95">
            <v>77475.1783</v>
          </cell>
          <cell r="Q95">
            <v>81026.564399999988</v>
          </cell>
          <cell r="R95">
            <v>77588.65310000001</v>
          </cell>
          <cell r="S95">
            <v>83700.949200000003</v>
          </cell>
          <cell r="T95">
            <v>92631.541100000002</v>
          </cell>
          <cell r="U95">
            <v>106814.88740000001</v>
          </cell>
          <cell r="V95">
            <v>106814.88740000001</v>
          </cell>
          <cell r="W95">
            <v>100873.5209</v>
          </cell>
          <cell r="X95">
            <v>98129.2255</v>
          </cell>
          <cell r="Y95">
            <v>92583.344433849998</v>
          </cell>
          <cell r="Z95">
            <v>95994.370574850007</v>
          </cell>
          <cell r="AA95">
            <v>95367.399720149988</v>
          </cell>
          <cell r="AB95">
            <v>89263.798483149993</v>
          </cell>
          <cell r="AC95">
            <v>92043.951789149985</v>
          </cell>
          <cell r="AD95">
            <v>89844.951084649991</v>
          </cell>
          <cell r="AE95">
            <v>88714.540307150004</v>
          </cell>
          <cell r="AF95">
            <v>95453.821664899995</v>
          </cell>
          <cell r="AG95">
            <v>97564.69670890001</v>
          </cell>
          <cell r="AH95">
            <v>124166.60307590001</v>
          </cell>
          <cell r="AI95">
            <v>124166.60307590001</v>
          </cell>
          <cell r="AJ95">
            <v>109090.44898189999</v>
          </cell>
          <cell r="AK95">
            <v>107027.30082939999</v>
          </cell>
          <cell r="AL95">
            <v>108002.13425239999</v>
          </cell>
          <cell r="AM95">
            <v>106011.46355489999</v>
          </cell>
          <cell r="AN95">
            <v>100986.35409990001</v>
          </cell>
          <cell r="AO95">
            <v>97256.818038400015</v>
          </cell>
          <cell r="AP95">
            <v>103558.429156</v>
          </cell>
          <cell r="AQ95">
            <v>98260.429014000023</v>
          </cell>
          <cell r="AR95">
            <v>101087.90062</v>
          </cell>
          <cell r="AS95">
            <v>107503.95507949998</v>
          </cell>
          <cell r="AT95">
            <v>114000.63733100001</v>
          </cell>
          <cell r="AU95">
            <v>144264.32780324999</v>
          </cell>
        </row>
        <row r="96">
          <cell r="A96" t="str">
            <v xml:space="preserve">   Obligaciones de bancos</v>
          </cell>
          <cell r="C96">
            <v>365289.85537599993</v>
          </cell>
          <cell r="D96">
            <v>415281.00620300003</v>
          </cell>
          <cell r="E96">
            <v>435503.47997900005</v>
          </cell>
          <cell r="F96">
            <v>482132.37253600004</v>
          </cell>
          <cell r="G96">
            <v>510711.46880000003</v>
          </cell>
          <cell r="H96">
            <v>621257.90246799996</v>
          </cell>
          <cell r="I96">
            <v>650668.332024</v>
          </cell>
          <cell r="J96">
            <v>638292.60242199991</v>
          </cell>
          <cell r="K96">
            <v>629783.66203300003</v>
          </cell>
          <cell r="L96">
            <v>641622.894784</v>
          </cell>
          <cell r="M96">
            <v>651482.092374</v>
          </cell>
          <cell r="N96">
            <v>650939.96462799993</v>
          </cell>
          <cell r="O96">
            <v>674898.29520499997</v>
          </cell>
          <cell r="P96">
            <v>680617.68685699999</v>
          </cell>
          <cell r="Q96">
            <v>679599.97686599998</v>
          </cell>
          <cell r="R96">
            <v>684359.46801699989</v>
          </cell>
          <cell r="S96">
            <v>694003.48345199996</v>
          </cell>
          <cell r="T96">
            <v>717516.85925199999</v>
          </cell>
          <cell r="U96">
            <v>735136.46948400012</v>
          </cell>
          <cell r="V96">
            <v>768631.64792400005</v>
          </cell>
          <cell r="W96">
            <v>795781.622982</v>
          </cell>
          <cell r="X96">
            <v>792137.38300799998</v>
          </cell>
          <cell r="Y96">
            <v>805874.18895015633</v>
          </cell>
          <cell r="Z96">
            <v>807441.63187446282</v>
          </cell>
          <cell r="AA96">
            <v>815572.03405990719</v>
          </cell>
          <cell r="AB96">
            <v>836563.9454392487</v>
          </cell>
          <cell r="AC96">
            <v>854118.01315588946</v>
          </cell>
          <cell r="AD96">
            <v>858044.17266141658</v>
          </cell>
          <cell r="AE96">
            <v>890702.22600735666</v>
          </cell>
          <cell r="AF96">
            <v>878085.2171768354</v>
          </cell>
          <cell r="AG96">
            <v>927834.12287510978</v>
          </cell>
          <cell r="AH96">
            <v>924864.80345307081</v>
          </cell>
          <cell r="AI96">
            <v>965716.73795387067</v>
          </cell>
          <cell r="AJ96">
            <v>1002702.5646111096</v>
          </cell>
          <cell r="AK96">
            <v>1012382.2213516033</v>
          </cell>
          <cell r="AL96">
            <v>1019759.0555858824</v>
          </cell>
          <cell r="AM96">
            <v>1086669.5118526337</v>
          </cell>
          <cell r="AN96">
            <v>1085118.4041418592</v>
          </cell>
          <cell r="AO96">
            <v>1047042.1624049924</v>
          </cell>
          <cell r="AP96">
            <v>1062540.1256777227</v>
          </cell>
          <cell r="AQ96">
            <v>1078133.9792582721</v>
          </cell>
          <cell r="AR96">
            <v>1102524.892753531</v>
          </cell>
          <cell r="AS96">
            <v>1106931.5288239634</v>
          </cell>
          <cell r="AT96">
            <v>1146530.7083866601</v>
          </cell>
          <cell r="AU96">
            <v>1117143.005923504</v>
          </cell>
        </row>
        <row r="97">
          <cell r="A97" t="str">
            <v xml:space="preserve">      Depósitos a la vista</v>
          </cell>
          <cell r="C97">
            <v>71561.203817999994</v>
          </cell>
          <cell r="D97">
            <v>83657.563444999992</v>
          </cell>
          <cell r="E97">
            <v>85507.531400000007</v>
          </cell>
          <cell r="F97">
            <v>83167.442020000002</v>
          </cell>
          <cell r="G97">
            <v>85378.657628000001</v>
          </cell>
          <cell r="H97">
            <v>106684.489852</v>
          </cell>
          <cell r="I97">
            <v>109373.478</v>
          </cell>
          <cell r="J97">
            <v>79419.431800000006</v>
          </cell>
          <cell r="K97">
            <v>86354.693599999999</v>
          </cell>
          <cell r="L97">
            <v>101092.8855</v>
          </cell>
          <cell r="M97">
            <v>113273.0094</v>
          </cell>
          <cell r="N97">
            <v>119317.92939999999</v>
          </cell>
          <cell r="O97">
            <v>127537.5561</v>
          </cell>
          <cell r="P97">
            <v>131737.5123</v>
          </cell>
          <cell r="Q97">
            <v>127628.1678</v>
          </cell>
          <cell r="R97">
            <v>131559.9791</v>
          </cell>
          <cell r="S97">
            <v>133842.98199999999</v>
          </cell>
          <cell r="T97">
            <v>145352.63210000002</v>
          </cell>
          <cell r="U97">
            <v>172526.45699999999</v>
          </cell>
          <cell r="V97">
            <v>175439.066784</v>
          </cell>
          <cell r="W97">
            <v>160533.503562</v>
          </cell>
          <cell r="X97">
            <v>158552.02907599998</v>
          </cell>
          <cell r="Y97">
            <v>163475.64602776707</v>
          </cell>
          <cell r="Z97">
            <v>164822.6285505362</v>
          </cell>
          <cell r="AA97">
            <v>163722.1791280295</v>
          </cell>
          <cell r="AB97">
            <v>164300.05541583305</v>
          </cell>
          <cell r="AC97">
            <v>162393.30383958705</v>
          </cell>
          <cell r="AD97">
            <v>161758.93086178513</v>
          </cell>
          <cell r="AE97">
            <v>169860.15115376801</v>
          </cell>
          <cell r="AF97">
            <v>161732.06701801828</v>
          </cell>
          <cell r="AG97">
            <v>184005.45809371152</v>
          </cell>
          <cell r="AH97">
            <v>196985.8197495889</v>
          </cell>
          <cell r="AI97">
            <v>200419.25412088679</v>
          </cell>
          <cell r="AJ97">
            <v>202380.13267834677</v>
          </cell>
          <cell r="AK97">
            <v>202115.3388119704</v>
          </cell>
          <cell r="AL97">
            <v>192475.69016956523</v>
          </cell>
          <cell r="AM97">
            <v>205561.57049696834</v>
          </cell>
          <cell r="AN97">
            <v>205493.93390340297</v>
          </cell>
          <cell r="AO97">
            <v>212992.16091767949</v>
          </cell>
          <cell r="AP97">
            <v>215672.49568229221</v>
          </cell>
          <cell r="AQ97">
            <v>227168.70956688694</v>
          </cell>
          <cell r="AR97">
            <v>236105.83595685565</v>
          </cell>
          <cell r="AS97">
            <v>242774.03554556356</v>
          </cell>
          <cell r="AT97">
            <v>271426.98854688945</v>
          </cell>
          <cell r="AU97">
            <v>262402.31976325135</v>
          </cell>
        </row>
        <row r="98">
          <cell r="A98" t="str">
            <v xml:space="preserve">         Colones</v>
          </cell>
          <cell r="C98">
            <v>57861.353499999997</v>
          </cell>
          <cell r="D98">
            <v>70860.933499999999</v>
          </cell>
          <cell r="E98">
            <v>70860.933499999999</v>
          </cell>
          <cell r="F98">
            <v>68927.3</v>
          </cell>
          <cell r="G98">
            <v>68927.254400000005</v>
          </cell>
          <cell r="H98">
            <v>83679.686799999996</v>
          </cell>
          <cell r="I98">
            <v>83679.686799999996</v>
          </cell>
          <cell r="J98">
            <v>60506.513400000003</v>
          </cell>
          <cell r="K98">
            <v>66761.551200000002</v>
          </cell>
          <cell r="L98">
            <v>79577.066300000006</v>
          </cell>
          <cell r="M98">
            <v>87015.945399999997</v>
          </cell>
          <cell r="N98">
            <v>96260.470199999996</v>
          </cell>
          <cell r="O98">
            <v>101530.4489</v>
          </cell>
          <cell r="P98">
            <v>104876.0187</v>
          </cell>
          <cell r="Q98">
            <v>101186.8958</v>
          </cell>
          <cell r="R98">
            <v>106084.8711</v>
          </cell>
          <cell r="S98">
            <v>108719.1452</v>
          </cell>
          <cell r="T98">
            <v>118686.01850000001</v>
          </cell>
          <cell r="U98">
            <v>145647.9578</v>
          </cell>
          <cell r="V98">
            <v>145647.9578</v>
          </cell>
          <cell r="W98">
            <v>129395.5724</v>
          </cell>
          <cell r="X98">
            <v>129354.19349999999</v>
          </cell>
          <cell r="Y98">
            <v>131117.78925900001</v>
          </cell>
          <cell r="Z98">
            <v>130978.79606979</v>
          </cell>
          <cell r="AA98">
            <v>129285.88820062</v>
          </cell>
          <cell r="AB98">
            <v>126159.87123555</v>
          </cell>
          <cell r="AC98">
            <v>125927.06241543</v>
          </cell>
          <cell r="AD98">
            <v>125112.43589399999</v>
          </cell>
          <cell r="AE98">
            <v>130630.410701</v>
          </cell>
          <cell r="AF98">
            <v>125703.54180794999</v>
          </cell>
          <cell r="AG98">
            <v>145035.84172898001</v>
          </cell>
          <cell r="AH98">
            <v>161472.00984469999</v>
          </cell>
          <cell r="AI98">
            <v>161472.00984469999</v>
          </cell>
          <cell r="AJ98">
            <v>156430.02930112</v>
          </cell>
          <cell r="AK98">
            <v>159828.68494999001</v>
          </cell>
          <cell r="AL98">
            <v>144365.92441065001</v>
          </cell>
          <cell r="AM98">
            <v>153478.90382156</v>
          </cell>
          <cell r="AN98">
            <v>155315.339033</v>
          </cell>
          <cell r="AO98">
            <v>159504.331806</v>
          </cell>
          <cell r="AP98">
            <v>162930.72029900001</v>
          </cell>
          <cell r="AQ98">
            <v>171317.83315738</v>
          </cell>
          <cell r="AR98">
            <v>176780.19461899999</v>
          </cell>
          <cell r="AS98">
            <v>183616.66808100001</v>
          </cell>
          <cell r="AT98">
            <v>203704.49055069999</v>
          </cell>
          <cell r="AU98">
            <v>195321.61049600001</v>
          </cell>
        </row>
        <row r="99">
          <cell r="A99" t="str">
            <v xml:space="preserve">         Dólares</v>
          </cell>
          <cell r="C99">
            <v>13699.850318000001</v>
          </cell>
          <cell r="D99">
            <v>12796.629944999999</v>
          </cell>
          <cell r="E99">
            <v>14646.597900000001</v>
          </cell>
          <cell r="F99">
            <v>14240.142020000001</v>
          </cell>
          <cell r="G99">
            <v>16451.403227999999</v>
          </cell>
          <cell r="H99">
            <v>23004.803051999999</v>
          </cell>
          <cell r="I99">
            <v>25693.7912</v>
          </cell>
          <cell r="J99">
            <v>18912.918399999999</v>
          </cell>
          <cell r="K99">
            <v>19593.142400000001</v>
          </cell>
          <cell r="L99">
            <v>21515.819200000002</v>
          </cell>
          <cell r="M99">
            <v>26257.064000000002</v>
          </cell>
          <cell r="N99">
            <v>23057.459199999998</v>
          </cell>
          <cell r="O99">
            <v>26007.107199999999</v>
          </cell>
          <cell r="P99">
            <v>26861.493600000002</v>
          </cell>
          <cell r="Q99">
            <v>26441.272000000001</v>
          </cell>
          <cell r="R99">
            <v>25475.108</v>
          </cell>
          <cell r="S99">
            <v>25123.836800000001</v>
          </cell>
          <cell r="T99">
            <v>26666.613600000001</v>
          </cell>
          <cell r="U99">
            <v>26878.499199999998</v>
          </cell>
          <cell r="V99">
            <v>29791.108983999999</v>
          </cell>
          <cell r="W99">
            <v>31137.931161999997</v>
          </cell>
          <cell r="X99">
            <v>29197.835575999998</v>
          </cell>
          <cell r="Y99">
            <v>32357.856768767051</v>
          </cell>
          <cell r="Z99">
            <v>33843.832480746205</v>
          </cell>
          <cell r="AA99">
            <v>34436.290927409493</v>
          </cell>
          <cell r="AB99">
            <v>38140.184180283053</v>
          </cell>
          <cell r="AC99">
            <v>36466.241424157051</v>
          </cell>
          <cell r="AD99">
            <v>36646.494967785133</v>
          </cell>
          <cell r="AE99">
            <v>39229.74045276799</v>
          </cell>
          <cell r="AF99">
            <v>36028.525210068292</v>
          </cell>
          <cell r="AG99">
            <v>38969.616364731519</v>
          </cell>
          <cell r="AH99">
            <v>35513.80990488892</v>
          </cell>
          <cell r="AI99">
            <v>38947.244276186815</v>
          </cell>
          <cell r="AJ99">
            <v>45950.103377226755</v>
          </cell>
          <cell r="AK99">
            <v>42286.653861980391</v>
          </cell>
          <cell r="AL99">
            <v>48109.765758915215</v>
          </cell>
          <cell r="AM99">
            <v>52082.666675408327</v>
          </cell>
          <cell r="AN99">
            <v>50178.594870402965</v>
          </cell>
          <cell r="AO99">
            <v>53487.829111679472</v>
          </cell>
          <cell r="AP99">
            <v>52741.775383292195</v>
          </cell>
          <cell r="AQ99">
            <v>55850.876409506964</v>
          </cell>
          <cell r="AR99">
            <v>59325.641337855654</v>
          </cell>
          <cell r="AS99">
            <v>59157.367464563533</v>
          </cell>
          <cell r="AT99">
            <v>67722.497996189457</v>
          </cell>
          <cell r="AU99">
            <v>67080.709267251368</v>
          </cell>
        </row>
        <row r="100">
          <cell r="A100" t="str">
            <v xml:space="preserve">      Plazo y ahorro</v>
          </cell>
          <cell r="C100">
            <v>274745.88214999996</v>
          </cell>
          <cell r="D100">
            <v>305630.80290400004</v>
          </cell>
          <cell r="E100">
            <v>322468.53740200005</v>
          </cell>
          <cell r="F100">
            <v>369064.37370400003</v>
          </cell>
          <cell r="G100">
            <v>393554.980568</v>
          </cell>
          <cell r="H100">
            <v>478310.02489799995</v>
          </cell>
          <cell r="I100">
            <v>503438.75172199996</v>
          </cell>
          <cell r="J100">
            <v>507194.48643199995</v>
          </cell>
          <cell r="K100">
            <v>474993.49148299999</v>
          </cell>
          <cell r="L100">
            <v>479679.54756400001</v>
          </cell>
          <cell r="M100">
            <v>487469.56918400002</v>
          </cell>
          <cell r="N100">
            <v>494438.725424</v>
          </cell>
          <cell r="O100">
            <v>491880.78822499997</v>
          </cell>
          <cell r="P100">
            <v>500936.52662200003</v>
          </cell>
          <cell r="Q100">
            <v>503826.87163400004</v>
          </cell>
          <cell r="R100">
            <v>499885.06884999992</v>
          </cell>
          <cell r="S100">
            <v>509654.05567199999</v>
          </cell>
          <cell r="T100">
            <v>520019.42034000001</v>
          </cell>
          <cell r="U100">
            <v>526902.49974400003</v>
          </cell>
          <cell r="V100">
            <v>556284.59568999999</v>
          </cell>
          <cell r="W100">
            <v>579745.62092000002</v>
          </cell>
          <cell r="X100">
            <v>575365.10935199994</v>
          </cell>
          <cell r="Y100">
            <v>582647.80427849933</v>
          </cell>
          <cell r="Z100">
            <v>581147.09520064166</v>
          </cell>
          <cell r="AA100">
            <v>595875.47988019197</v>
          </cell>
          <cell r="AB100">
            <v>606664.10812009394</v>
          </cell>
          <cell r="AC100">
            <v>627735.16521204496</v>
          </cell>
          <cell r="AD100">
            <v>633591.20491062547</v>
          </cell>
          <cell r="AE100">
            <v>636611.88468417455</v>
          </cell>
          <cell r="AF100">
            <v>653813.51279360813</v>
          </cell>
          <cell r="AG100">
            <v>669651.81057633483</v>
          </cell>
          <cell r="AH100">
            <v>673348.98800908611</v>
          </cell>
          <cell r="AI100">
            <v>709117.68603460956</v>
          </cell>
          <cell r="AJ100">
            <v>732575.86013881094</v>
          </cell>
          <cell r="AK100">
            <v>743932.5682037659</v>
          </cell>
          <cell r="AL100">
            <v>760586.51453425665</v>
          </cell>
          <cell r="AM100">
            <v>806345.75900964194</v>
          </cell>
          <cell r="AN100">
            <v>801975.54976319871</v>
          </cell>
          <cell r="AO100">
            <v>760382.35021582176</v>
          </cell>
          <cell r="AP100">
            <v>775909.23541555263</v>
          </cell>
          <cell r="AQ100">
            <v>778171.7545705568</v>
          </cell>
          <cell r="AR100">
            <v>790251.44600703928</v>
          </cell>
          <cell r="AS100">
            <v>797716.9534130895</v>
          </cell>
          <cell r="AT100">
            <v>791939.54089257692</v>
          </cell>
          <cell r="AU100">
            <v>794302.16321312147</v>
          </cell>
        </row>
        <row r="101">
          <cell r="A101" t="str">
            <v xml:space="preserve">         Colones</v>
          </cell>
          <cell r="C101">
            <v>171246.742925</v>
          </cell>
          <cell r="D101">
            <v>189160.53816200001</v>
          </cell>
          <cell r="E101">
            <v>189160.53816200001</v>
          </cell>
          <cell r="F101">
            <v>211349.35154399998</v>
          </cell>
          <cell r="G101">
            <v>211349.39434399997</v>
          </cell>
          <cell r="H101">
            <v>263329.00612199999</v>
          </cell>
          <cell r="I101">
            <v>263329.00612199999</v>
          </cell>
          <cell r="J101">
            <v>262242.297632</v>
          </cell>
          <cell r="K101">
            <v>239464.377083</v>
          </cell>
          <cell r="L101">
            <v>238633.03236399998</v>
          </cell>
          <cell r="M101">
            <v>243092.50838399999</v>
          </cell>
          <cell r="N101">
            <v>243953.615024</v>
          </cell>
          <cell r="O101">
            <v>245583.90422500001</v>
          </cell>
          <cell r="P101">
            <v>248453.10742200003</v>
          </cell>
          <cell r="Q101">
            <v>246050.14043400003</v>
          </cell>
          <cell r="R101">
            <v>243308.14884999997</v>
          </cell>
          <cell r="S101">
            <v>247951.14207199999</v>
          </cell>
          <cell r="T101">
            <v>257959.29634</v>
          </cell>
          <cell r="U101">
            <v>255755.07494399999</v>
          </cell>
          <cell r="V101">
            <v>255755.07494399999</v>
          </cell>
          <cell r="W101">
            <v>269502.58524600003</v>
          </cell>
          <cell r="X101">
            <v>263502.27167599997</v>
          </cell>
          <cell r="Y101">
            <v>258408.540584</v>
          </cell>
          <cell r="Z101">
            <v>259663.07753899999</v>
          </cell>
          <cell r="AA101">
            <v>268065.34411499999</v>
          </cell>
          <cell r="AB101">
            <v>272432.26586400002</v>
          </cell>
          <cell r="AC101">
            <v>272834.31711299997</v>
          </cell>
          <cell r="AD101">
            <v>275371.96710511</v>
          </cell>
          <cell r="AE101">
            <v>269695.816376</v>
          </cell>
          <cell r="AF101">
            <v>277437.315856</v>
          </cell>
          <cell r="AG101">
            <v>298861.171906</v>
          </cell>
          <cell r="AH101">
            <v>303374.611087</v>
          </cell>
          <cell r="AI101">
            <v>303374.611087</v>
          </cell>
          <cell r="AJ101">
            <v>320189.61844300001</v>
          </cell>
          <cell r="AK101">
            <v>331123.37637899996</v>
          </cell>
          <cell r="AL101">
            <v>340975.87662399997</v>
          </cell>
          <cell r="AM101">
            <v>344258.15483900002</v>
          </cell>
          <cell r="AN101">
            <v>336230.35638299992</v>
          </cell>
          <cell r="AO101">
            <v>339670.16352200002</v>
          </cell>
          <cell r="AP101">
            <v>340982.76307900005</v>
          </cell>
          <cell r="AQ101">
            <v>348857.851753</v>
          </cell>
          <cell r="AR101">
            <v>350944.85855599993</v>
          </cell>
          <cell r="AS101">
            <v>358146.262216</v>
          </cell>
          <cell r="AT101">
            <v>366384.88369399996</v>
          </cell>
          <cell r="AU101">
            <v>367129.87752425001</v>
          </cell>
        </row>
        <row r="102">
          <cell r="A102" t="str">
            <v xml:space="preserve">         Dólares</v>
          </cell>
          <cell r="C102">
            <v>103499.13922499999</v>
          </cell>
          <cell r="D102">
            <v>116470.26474200001</v>
          </cell>
          <cell r="E102">
            <v>133307.99924</v>
          </cell>
          <cell r="F102">
            <v>157715.02216000002</v>
          </cell>
          <cell r="G102">
            <v>182205.586224</v>
          </cell>
          <cell r="H102">
            <v>214981.01877599998</v>
          </cell>
          <cell r="I102">
            <v>240109.74559999999</v>
          </cell>
          <cell r="J102">
            <v>244952.18879999997</v>
          </cell>
          <cell r="K102">
            <v>235529.11439999999</v>
          </cell>
          <cell r="L102">
            <v>241046.51519999999</v>
          </cell>
          <cell r="M102">
            <v>244377.06080000001</v>
          </cell>
          <cell r="N102">
            <v>250485.11040000001</v>
          </cell>
          <cell r="O102">
            <v>246296.88399999996</v>
          </cell>
          <cell r="P102">
            <v>252483.4192</v>
          </cell>
          <cell r="Q102">
            <v>257776.73120000001</v>
          </cell>
          <cell r="R102">
            <v>256576.91999999998</v>
          </cell>
          <cell r="S102">
            <v>261702.9136</v>
          </cell>
          <cell r="T102">
            <v>262060.12400000001</v>
          </cell>
          <cell r="U102">
            <v>271147.42480000004</v>
          </cell>
          <cell r="V102">
            <v>300529.52074599999</v>
          </cell>
          <cell r="W102">
            <v>310243.03567399998</v>
          </cell>
          <cell r="X102">
            <v>311862.83767599997</v>
          </cell>
          <cell r="Y102">
            <v>324239.26369449933</v>
          </cell>
          <cell r="Z102">
            <v>321484.0176616417</v>
          </cell>
          <cell r="AA102">
            <v>327810.13576519198</v>
          </cell>
          <cell r="AB102">
            <v>334231.84225609392</v>
          </cell>
          <cell r="AC102">
            <v>354900.84809904493</v>
          </cell>
          <cell r="AD102">
            <v>358219.23780551541</v>
          </cell>
          <cell r="AE102">
            <v>366916.06830817455</v>
          </cell>
          <cell r="AF102">
            <v>376376.19693760813</v>
          </cell>
          <cell r="AG102">
            <v>370790.63867033477</v>
          </cell>
          <cell r="AH102">
            <v>369974.37692208617</v>
          </cell>
          <cell r="AI102">
            <v>405743.07494760951</v>
          </cell>
          <cell r="AJ102">
            <v>412386.24169581087</v>
          </cell>
          <cell r="AK102">
            <v>412809.19182476593</v>
          </cell>
          <cell r="AL102">
            <v>419610.63791025669</v>
          </cell>
          <cell r="AM102">
            <v>462087.60417064192</v>
          </cell>
          <cell r="AN102">
            <v>465745.19338019879</v>
          </cell>
          <cell r="AO102">
            <v>420712.18669382174</v>
          </cell>
          <cell r="AP102">
            <v>434926.47233655257</v>
          </cell>
          <cell r="AQ102">
            <v>429313.90281755681</v>
          </cell>
          <cell r="AR102">
            <v>439306.58745103935</v>
          </cell>
          <cell r="AS102">
            <v>439570.69119708956</v>
          </cell>
          <cell r="AT102">
            <v>425554.65719857696</v>
          </cell>
          <cell r="AU102">
            <v>427172.2856888714</v>
          </cell>
        </row>
        <row r="103">
          <cell r="A103" t="str">
            <v xml:space="preserve">      Otros</v>
          </cell>
          <cell r="C103">
            <v>18982.769408</v>
          </cell>
          <cell r="D103">
            <v>25992.639854000001</v>
          </cell>
          <cell r="E103">
            <v>27527.411177000002</v>
          </cell>
          <cell r="F103">
            <v>29900.556812000003</v>
          </cell>
          <cell r="G103">
            <v>31777.830604000002</v>
          </cell>
          <cell r="H103">
            <v>36263.387718000005</v>
          </cell>
          <cell r="I103">
            <v>37856.102301999999</v>
          </cell>
          <cell r="J103">
            <v>51678.68419</v>
          </cell>
          <cell r="K103">
            <v>68435.476950000011</v>
          </cell>
          <cell r="L103">
            <v>60850.461720000007</v>
          </cell>
          <cell r="M103">
            <v>50739.513789999997</v>
          </cell>
          <cell r="N103">
            <v>37183.309804000004</v>
          </cell>
          <cell r="O103">
            <v>55479.950879999997</v>
          </cell>
          <cell r="P103">
            <v>47943.647935000001</v>
          </cell>
          <cell r="Q103">
            <v>48144.937431999992</v>
          </cell>
          <cell r="R103">
            <v>52914.420066999999</v>
          </cell>
          <cell r="S103">
            <v>50506.445780000009</v>
          </cell>
          <cell r="T103">
            <v>52144.806812000003</v>
          </cell>
          <cell r="U103">
            <v>35707.512739999998</v>
          </cell>
          <cell r="V103">
            <v>36907.98545</v>
          </cell>
          <cell r="W103">
            <v>55502.498500000002</v>
          </cell>
          <cell r="X103">
            <v>58220.244579999999</v>
          </cell>
          <cell r="Y103">
            <v>59750.738643889868</v>
          </cell>
          <cell r="Z103">
            <v>61471.908123284913</v>
          </cell>
          <cell r="AA103">
            <v>55974.375051685769</v>
          </cell>
          <cell r="AB103">
            <v>65599.781903321709</v>
          </cell>
          <cell r="AC103">
            <v>63989.544104257504</v>
          </cell>
          <cell r="AD103">
            <v>62694.03688900602</v>
          </cell>
          <cell r="AE103">
            <v>84230.190169414185</v>
          </cell>
          <cell r="AF103">
            <v>62539.637365209041</v>
          </cell>
          <cell r="AG103">
            <v>74176.854205063428</v>
          </cell>
          <cell r="AH103">
            <v>54529.995694395897</v>
          </cell>
          <cell r="AI103">
            <v>56179.797798374289</v>
          </cell>
          <cell r="AJ103">
            <v>67746.57179395188</v>
          </cell>
          <cell r="AK103">
            <v>66334.314335866948</v>
          </cell>
          <cell r="AL103">
            <v>66696.850882060433</v>
          </cell>
          <cell r="AM103">
            <v>74762.182346023357</v>
          </cell>
          <cell r="AN103">
            <v>77648.920475257386</v>
          </cell>
          <cell r="AO103">
            <v>73667.651271491137</v>
          </cell>
          <cell r="AP103">
            <v>70958.394579877888</v>
          </cell>
          <cell r="AQ103">
            <v>72793.515120828335</v>
          </cell>
          <cell r="AR103">
            <v>76167.610789636063</v>
          </cell>
          <cell r="AS103">
            <v>66440.539865310275</v>
          </cell>
          <cell r="AT103">
            <v>83164.178947193664</v>
          </cell>
          <cell r="AU103">
            <v>60438.522947131292</v>
          </cell>
        </row>
        <row r="104">
          <cell r="A104" t="str">
            <v xml:space="preserve">         Colones</v>
          </cell>
          <cell r="C104">
            <v>9841.4509640000033</v>
          </cell>
          <cell r="D104">
            <v>15376.293437000002</v>
          </cell>
          <cell r="E104">
            <v>15376.293437000002</v>
          </cell>
          <cell r="F104">
            <v>17811.236332</v>
          </cell>
          <cell r="G104">
            <v>17811.236332</v>
          </cell>
          <cell r="H104">
            <v>22637.412702000001</v>
          </cell>
          <cell r="I104">
            <v>22637.412702000001</v>
          </cell>
          <cell r="J104">
            <v>33653.32819</v>
          </cell>
          <cell r="K104">
            <v>47621.596950000006</v>
          </cell>
          <cell r="L104">
            <v>38657.805720000004</v>
          </cell>
          <cell r="M104">
            <v>32643.165789999999</v>
          </cell>
          <cell r="N104">
            <v>22021.831404</v>
          </cell>
          <cell r="O104">
            <v>37768.050079999994</v>
          </cell>
          <cell r="P104">
            <v>31964.531935000003</v>
          </cell>
          <cell r="Q104">
            <v>29757.359831999995</v>
          </cell>
          <cell r="R104">
            <v>34593.356866999995</v>
          </cell>
          <cell r="S104">
            <v>33366.981780000002</v>
          </cell>
          <cell r="T104">
            <v>36109.059612000005</v>
          </cell>
          <cell r="U104">
            <v>24629.16474</v>
          </cell>
          <cell r="V104">
            <v>24629.16474</v>
          </cell>
          <cell r="W104">
            <v>36334.125769999999</v>
          </cell>
          <cell r="X104">
            <v>37428.932740000004</v>
          </cell>
          <cell r="Y104">
            <v>43791.199299</v>
          </cell>
          <cell r="Z104">
            <v>40237.637768000001</v>
          </cell>
          <cell r="AA104">
            <v>37268.708985000005</v>
          </cell>
          <cell r="AB104">
            <v>43773.884156</v>
          </cell>
          <cell r="AC104">
            <v>42609.199803570002</v>
          </cell>
          <cell r="AD104">
            <v>41991.701994000003</v>
          </cell>
          <cell r="AE104">
            <v>55188.745089000004</v>
          </cell>
          <cell r="AF104">
            <v>41750.854084050006</v>
          </cell>
          <cell r="AG104">
            <v>50707.249306329999</v>
          </cell>
          <cell r="AH104">
            <v>37465.228477299999</v>
          </cell>
          <cell r="AI104">
            <v>37465.228477299999</v>
          </cell>
          <cell r="AJ104">
            <v>43341.451762240002</v>
          </cell>
          <cell r="AK104">
            <v>42687.009590009999</v>
          </cell>
          <cell r="AL104">
            <v>43592.765088710003</v>
          </cell>
          <cell r="AM104">
            <v>45834.707980439998</v>
          </cell>
          <cell r="AN104">
            <v>50851.113431000005</v>
          </cell>
          <cell r="AO104">
            <v>47987.268156000006</v>
          </cell>
          <cell r="AP104">
            <v>43154.875161999997</v>
          </cell>
          <cell r="AQ104">
            <v>45413.251890619998</v>
          </cell>
          <cell r="AR104">
            <v>48760.658204000007</v>
          </cell>
          <cell r="AS104">
            <v>40614.417063000001</v>
          </cell>
          <cell r="AT104">
            <v>51749.874997300009</v>
          </cell>
          <cell r="AU104">
            <v>34449.883064000009</v>
          </cell>
        </row>
        <row r="105">
          <cell r="A105" t="str">
            <v xml:space="preserve">         Dólares</v>
          </cell>
          <cell r="C105">
            <v>9141.3184439999986</v>
          </cell>
          <cell r="D105">
            <v>10616.346417000001</v>
          </cell>
          <cell r="E105">
            <v>12151.11774</v>
          </cell>
          <cell r="F105">
            <v>12089.32048</v>
          </cell>
          <cell r="G105">
            <v>13966.594272</v>
          </cell>
          <cell r="H105">
            <v>13625.975016000002</v>
          </cell>
          <cell r="I105">
            <v>15218.689600000002</v>
          </cell>
          <cell r="J105">
            <v>18025.356000000003</v>
          </cell>
          <cell r="K105">
            <v>20813.88</v>
          </cell>
          <cell r="L105">
            <v>22192.655999999999</v>
          </cell>
          <cell r="M105">
            <v>18096.347999999998</v>
          </cell>
          <cell r="N105">
            <v>15161.478400000002</v>
          </cell>
          <cell r="O105">
            <v>17711.900800000003</v>
          </cell>
          <cell r="P105">
            <v>15979.116</v>
          </cell>
          <cell r="Q105">
            <v>18387.577600000001</v>
          </cell>
          <cell r="R105">
            <v>18321.063200000001</v>
          </cell>
          <cell r="S105">
            <v>17139.464000000004</v>
          </cell>
          <cell r="T105">
            <v>16035.747199999998</v>
          </cell>
          <cell r="U105">
            <v>11078.348</v>
          </cell>
          <cell r="V105">
            <v>12278.82071</v>
          </cell>
          <cell r="W105">
            <v>19168.372729999999</v>
          </cell>
          <cell r="X105">
            <v>20791.311839999998</v>
          </cell>
          <cell r="Y105">
            <v>15959.539344889869</v>
          </cell>
          <cell r="Z105">
            <v>21234.270355284909</v>
          </cell>
          <cell r="AA105">
            <v>18705.666066685761</v>
          </cell>
          <cell r="AB105">
            <v>21825.897747321716</v>
          </cell>
          <cell r="AC105">
            <v>21380.344300687502</v>
          </cell>
          <cell r="AD105">
            <v>20702.334895006021</v>
          </cell>
          <cell r="AE105">
            <v>29041.445080414189</v>
          </cell>
          <cell r="AF105">
            <v>20788.783281159034</v>
          </cell>
          <cell r="AG105">
            <v>23469.604898733429</v>
          </cell>
          <cell r="AH105">
            <v>17064.767217095894</v>
          </cell>
          <cell r="AI105">
            <v>18714.569321074287</v>
          </cell>
          <cell r="AJ105">
            <v>24405.120031711878</v>
          </cell>
          <cell r="AK105">
            <v>23647.304745856942</v>
          </cell>
          <cell r="AL105">
            <v>23104.08579335043</v>
          </cell>
          <cell r="AM105">
            <v>28927.474365583355</v>
          </cell>
          <cell r="AN105">
            <v>26797.807044257373</v>
          </cell>
          <cell r="AO105">
            <v>25680.383115491128</v>
          </cell>
          <cell r="AP105">
            <v>27803.519417877887</v>
          </cell>
          <cell r="AQ105">
            <v>27380.263230208333</v>
          </cell>
          <cell r="AR105">
            <v>27406.952585636049</v>
          </cell>
          <cell r="AS105">
            <v>25826.122802310267</v>
          </cell>
          <cell r="AT105">
            <v>31414.30394989366</v>
          </cell>
          <cell r="AU105">
            <v>25988.639883131287</v>
          </cell>
        </row>
        <row r="107">
          <cell r="A107" t="str">
            <v xml:space="preserve">   Obligaciones del sistema bancario</v>
          </cell>
          <cell r="C107">
            <v>418986.12797599996</v>
          </cell>
          <cell r="D107">
            <v>488349.22510300006</v>
          </cell>
          <cell r="E107">
            <v>508571.69887900003</v>
          </cell>
          <cell r="F107">
            <v>562800.24523600005</v>
          </cell>
          <cell r="G107">
            <v>591379.3415000001</v>
          </cell>
          <cell r="H107">
            <v>713001.09906799998</v>
          </cell>
          <cell r="I107">
            <v>742411.52862400003</v>
          </cell>
          <cell r="J107">
            <v>718942.98782199994</v>
          </cell>
          <cell r="K107">
            <v>710377.34293300007</v>
          </cell>
          <cell r="L107">
            <v>720292.39968400006</v>
          </cell>
          <cell r="M107">
            <v>730601.46347399999</v>
          </cell>
          <cell r="N107">
            <v>730765.66072799987</v>
          </cell>
          <cell r="O107">
            <v>751485.40870499995</v>
          </cell>
          <cell r="P107">
            <v>758092.86515700002</v>
          </cell>
          <cell r="Q107">
            <v>760626.54126600001</v>
          </cell>
          <cell r="R107">
            <v>761948.12111699989</v>
          </cell>
          <cell r="S107">
            <v>777704.43265199999</v>
          </cell>
          <cell r="T107">
            <v>810148.40035200003</v>
          </cell>
          <cell r="U107">
            <v>841951.35688400012</v>
          </cell>
          <cell r="V107">
            <v>875446.53532400005</v>
          </cell>
          <cell r="W107">
            <v>896655.143882</v>
          </cell>
          <cell r="X107">
            <v>890266.60850799992</v>
          </cell>
          <cell r="Y107">
            <v>898457.53338400635</v>
          </cell>
          <cell r="Z107">
            <v>903436.00244931283</v>
          </cell>
          <cell r="AA107">
            <v>910939.43378005712</v>
          </cell>
          <cell r="AB107">
            <v>925827.74392239866</v>
          </cell>
          <cell r="AC107">
            <v>946161.96494503948</v>
          </cell>
          <cell r="AD107">
            <v>947889.12374606659</v>
          </cell>
          <cell r="AE107">
            <v>979416.76631450665</v>
          </cell>
          <cell r="AF107">
            <v>973539.03884173534</v>
          </cell>
          <cell r="AG107">
            <v>1025398.8195840098</v>
          </cell>
          <cell r="AH107">
            <v>1049031.4065289709</v>
          </cell>
          <cell r="AI107">
            <v>1089883.3410297707</v>
          </cell>
          <cell r="AJ107">
            <v>1111793.0135930094</v>
          </cell>
          <cell r="AK107">
            <v>1119409.5221810034</v>
          </cell>
          <cell r="AL107">
            <v>1127761.1898382823</v>
          </cell>
          <cell r="AM107">
            <v>1192680.9754075336</v>
          </cell>
          <cell r="AN107">
            <v>1186104.7582417591</v>
          </cell>
          <cell r="AO107">
            <v>1144298.9804433924</v>
          </cell>
          <cell r="AP107">
            <v>1166098.5548337228</v>
          </cell>
          <cell r="AQ107">
            <v>1176394.4082722722</v>
          </cell>
          <cell r="AR107">
            <v>1203612.793373531</v>
          </cell>
          <cell r="AS107">
            <v>1214435.4839034635</v>
          </cell>
          <cell r="AT107">
            <v>1260531.3457176602</v>
          </cell>
          <cell r="AU107">
            <v>1261407.3337267539</v>
          </cell>
        </row>
        <row r="108">
          <cell r="A108" t="str">
            <v xml:space="preserve"> </v>
          </cell>
        </row>
        <row r="109">
          <cell r="A109" t="str">
            <v>BEM</v>
          </cell>
          <cell r="C109">
            <v>43492.367060000004</v>
          </cell>
          <cell r="D109">
            <v>64168.858620000006</v>
          </cell>
          <cell r="E109">
            <v>64601.574960000005</v>
          </cell>
          <cell r="F109">
            <v>82284.227140000017</v>
          </cell>
          <cell r="G109">
            <v>82810.854180000009</v>
          </cell>
          <cell r="H109">
            <v>14844.850180000009</v>
          </cell>
          <cell r="I109">
            <v>15294.22442000001</v>
          </cell>
          <cell r="J109">
            <v>13008.550846</v>
          </cell>
          <cell r="K109">
            <v>14830.090868000001</v>
          </cell>
          <cell r="L109">
            <v>14726.096319999997</v>
          </cell>
          <cell r="M109">
            <v>50664.864099999992</v>
          </cell>
          <cell r="N109">
            <v>56306.65247399998</v>
          </cell>
          <cell r="O109">
            <v>76521.502240000002</v>
          </cell>
          <cell r="P109">
            <v>104423.767286</v>
          </cell>
          <cell r="Q109">
            <v>128725.97970100002</v>
          </cell>
          <cell r="R109">
            <v>130207.49991300001</v>
          </cell>
          <cell r="S109">
            <v>119642.72116</v>
          </cell>
          <cell r="T109">
            <v>103232.02547600001</v>
          </cell>
          <cell r="U109">
            <v>91881.168111999985</v>
          </cell>
          <cell r="V109">
            <v>92336.629491999978</v>
          </cell>
          <cell r="W109">
            <v>102969.15770000001</v>
          </cell>
          <cell r="X109">
            <v>118013.21004000001</v>
          </cell>
          <cell r="Y109">
            <v>129539.29524670662</v>
          </cell>
          <cell r="Z109">
            <v>128053.69232704039</v>
          </cell>
          <cell r="AA109">
            <v>141736.48801989396</v>
          </cell>
          <cell r="AB109">
            <v>130167.49655915701</v>
          </cell>
          <cell r="AC109">
            <v>106959.1578877292</v>
          </cell>
          <cell r="AD109">
            <v>108626.03790620768</v>
          </cell>
          <cell r="AE109">
            <v>106538.78843128849</v>
          </cell>
          <cell r="AF109">
            <v>92381.802146340415</v>
          </cell>
          <cell r="AG109">
            <v>95575.600501511493</v>
          </cell>
          <cell r="AH109">
            <v>102843.3224752075</v>
          </cell>
          <cell r="AI109">
            <v>104206.0496997101</v>
          </cell>
          <cell r="AJ109">
            <v>123832.93265126928</v>
          </cell>
          <cell r="AK109">
            <v>159012.93701601939</v>
          </cell>
          <cell r="AL109">
            <v>178894.04076721967</v>
          </cell>
          <cell r="AM109">
            <v>193365.1969211192</v>
          </cell>
          <cell r="AN109">
            <v>217517.4520094</v>
          </cell>
          <cell r="AO109">
            <v>233505.39247889942</v>
          </cell>
          <cell r="AP109">
            <v>222049.8726654498</v>
          </cell>
          <cell r="AQ109">
            <v>237366.49777917005</v>
          </cell>
          <cell r="AR109">
            <v>247742.70438794926</v>
          </cell>
          <cell r="AS109">
            <v>231668.70896341983</v>
          </cell>
          <cell r="AT109">
            <v>218633.7152660492</v>
          </cell>
          <cell r="AU109">
            <v>220068.78472469948</v>
          </cell>
        </row>
        <row r="110">
          <cell r="A110" t="str">
            <v xml:space="preserve">         Colones</v>
          </cell>
          <cell r="C110">
            <v>40490.062980000002</v>
          </cell>
          <cell r="D110">
            <v>61175.665760000004</v>
          </cell>
          <cell r="E110">
            <v>61175.665760000004</v>
          </cell>
          <cell r="F110">
            <v>78892.839540000015</v>
          </cell>
          <cell r="G110">
            <v>78892.839540000015</v>
          </cell>
          <cell r="H110">
            <v>11000.36842000001</v>
          </cell>
          <cell r="I110">
            <v>11000.36842000001</v>
          </cell>
          <cell r="J110">
            <v>8715.1588460000003</v>
          </cell>
          <cell r="K110">
            <v>10558.042868</v>
          </cell>
          <cell r="L110">
            <v>10454.512319999998</v>
          </cell>
          <cell r="M110">
            <v>46393.280099999989</v>
          </cell>
          <cell r="N110">
            <v>52056.412473999982</v>
          </cell>
          <cell r="O110">
            <v>72271.49424</v>
          </cell>
          <cell r="P110">
            <v>100174.455286</v>
          </cell>
          <cell r="Q110">
            <v>124490.12370100002</v>
          </cell>
          <cell r="R110">
            <v>125981.15591300001</v>
          </cell>
          <cell r="S110">
            <v>115416.37716</v>
          </cell>
          <cell r="T110">
            <v>99028.417476000002</v>
          </cell>
          <cell r="U110">
            <v>87678.024111999985</v>
          </cell>
          <cell r="V110">
            <v>87678.024111999985</v>
          </cell>
          <cell r="W110">
            <v>98310.552320000017</v>
          </cell>
          <cell r="X110">
            <v>113380.06152</v>
          </cell>
          <cell r="Y110">
            <v>124907.16754164982</v>
          </cell>
          <cell r="Z110">
            <v>123432.1675996</v>
          </cell>
          <cell r="AA110">
            <v>137130.67319903997</v>
          </cell>
          <cell r="AB110">
            <v>125573.13553818001</v>
          </cell>
          <cell r="AC110">
            <v>102364.79693618001</v>
          </cell>
          <cell r="AD110">
            <v>104048.33764410908</v>
          </cell>
          <cell r="AE110">
            <v>101970.45655080989</v>
          </cell>
          <cell r="AF110">
            <v>84271.345088959817</v>
          </cell>
          <cell r="AG110">
            <v>84409.896071129697</v>
          </cell>
          <cell r="AH110">
            <v>88747.921087090101</v>
          </cell>
          <cell r="AI110">
            <v>88747.921087090101</v>
          </cell>
          <cell r="AJ110">
            <v>93290.596546469271</v>
          </cell>
          <cell r="AK110">
            <v>112941.1541404594</v>
          </cell>
          <cell r="AL110">
            <v>130719.74006047967</v>
          </cell>
          <cell r="AM110">
            <v>144337.58661645922</v>
          </cell>
          <cell r="AN110">
            <v>166988.43906949999</v>
          </cell>
          <cell r="AO110">
            <v>182984.47946165942</v>
          </cell>
          <cell r="AP110">
            <v>172951.7456833098</v>
          </cell>
          <cell r="AQ110">
            <v>186544.81352217006</v>
          </cell>
          <cell r="AR110">
            <v>196807.11115184924</v>
          </cell>
          <cell r="AS110">
            <v>181895.67542515983</v>
          </cell>
          <cell r="AT110">
            <v>168287.88157938921</v>
          </cell>
          <cell r="AU110">
            <v>170128.61483705949</v>
          </cell>
        </row>
        <row r="111">
          <cell r="A111" t="str">
            <v xml:space="preserve">         Dólares</v>
          </cell>
          <cell r="C111">
            <v>3002.3040799999999</v>
          </cell>
          <cell r="D111">
            <v>2993.1928599999997</v>
          </cell>
          <cell r="E111">
            <v>3425.9092000000001</v>
          </cell>
          <cell r="F111">
            <v>3391.3876</v>
          </cell>
          <cell r="G111">
            <v>3918.0146399999994</v>
          </cell>
          <cell r="H111">
            <v>3844.4817599999997</v>
          </cell>
          <cell r="I111">
            <v>4293.8559999999998</v>
          </cell>
          <cell r="J111">
            <v>4293.3919999999998</v>
          </cell>
          <cell r="K111">
            <v>4272.0480000000007</v>
          </cell>
          <cell r="L111">
            <v>4271.5839999999998</v>
          </cell>
          <cell r="M111">
            <v>4271.5839999999998</v>
          </cell>
          <cell r="N111">
            <v>4250.24</v>
          </cell>
          <cell r="O111">
            <v>4250.0079999999998</v>
          </cell>
          <cell r="P111">
            <v>4249.3119999999999</v>
          </cell>
          <cell r="Q111">
            <v>4235.8559999999998</v>
          </cell>
          <cell r="R111">
            <v>4226.3440000000001</v>
          </cell>
          <cell r="S111">
            <v>4226.3440000000001</v>
          </cell>
          <cell r="T111">
            <v>4203.6080000000002</v>
          </cell>
          <cell r="U111">
            <v>4203.1440000000002</v>
          </cell>
          <cell r="V111">
            <v>4658.60538</v>
          </cell>
          <cell r="W111">
            <v>4658.60538</v>
          </cell>
          <cell r="X111">
            <v>4633.1485199999997</v>
          </cell>
          <cell r="Y111">
            <v>4632.1277050567996</v>
          </cell>
          <cell r="Z111">
            <v>4621.5247274404001</v>
          </cell>
          <cell r="AA111">
            <v>4605.8148208540006</v>
          </cell>
          <cell r="AB111">
            <v>4594.3610209769995</v>
          </cell>
          <cell r="AC111">
            <v>4594.3609515491999</v>
          </cell>
          <cell r="AD111">
            <v>4577.7002620985995</v>
          </cell>
          <cell r="AE111">
            <v>4568.3318804786004</v>
          </cell>
          <cell r="AF111">
            <v>8110.4570573805995</v>
          </cell>
          <cell r="AG111">
            <v>11165.7044303818</v>
          </cell>
          <cell r="AH111">
            <v>14095.4013881174</v>
          </cell>
          <cell r="AI111">
            <v>15458.128612620001</v>
          </cell>
          <cell r="AJ111">
            <v>30542.336104800001</v>
          </cell>
          <cell r="AK111">
            <v>46071.782875559999</v>
          </cell>
          <cell r="AL111">
            <v>48174.300706739996</v>
          </cell>
          <cell r="AM111">
            <v>49027.610304659996</v>
          </cell>
          <cell r="AN111">
            <v>50529.0129399</v>
          </cell>
          <cell r="AO111">
            <v>50520.913017240004</v>
          </cell>
          <cell r="AP111">
            <v>49098.126982140006</v>
          </cell>
          <cell r="AQ111">
            <v>50821.684257000001</v>
          </cell>
          <cell r="AR111">
            <v>50935.593236100001</v>
          </cell>
          <cell r="AS111">
            <v>49773.033538259995</v>
          </cell>
          <cell r="AT111">
            <v>50345.833686659993</v>
          </cell>
          <cell r="AU111">
            <v>49940.169887639997</v>
          </cell>
        </row>
        <row r="112">
          <cell r="A112" t="str">
            <v>SICP</v>
          </cell>
          <cell r="C112">
            <v>9296.9579999999987</v>
          </cell>
          <cell r="D112">
            <v>4027.5</v>
          </cell>
          <cell r="E112">
            <v>4027.5</v>
          </cell>
          <cell r="F112">
            <v>3548.76</v>
          </cell>
          <cell r="G112">
            <v>3548.76</v>
          </cell>
          <cell r="H112">
            <v>7589.4000000000015</v>
          </cell>
          <cell r="I112">
            <v>7589.4000000000015</v>
          </cell>
          <cell r="J112">
            <v>8133.7574999999979</v>
          </cell>
          <cell r="K112">
            <v>15198.800000000003</v>
          </cell>
          <cell r="L112">
            <v>6695.0999999999967</v>
          </cell>
          <cell r="M112">
            <v>697.49300000000073</v>
          </cell>
          <cell r="N112">
            <v>4257.4000000000015</v>
          </cell>
          <cell r="O112">
            <v>1043.5999999999999</v>
          </cell>
          <cell r="P112">
            <v>3147.7500000000014</v>
          </cell>
          <cell r="Q112">
            <v>5424.9500000000007</v>
          </cell>
          <cell r="R112">
            <v>4395.6000000000004</v>
          </cell>
          <cell r="S112">
            <v>7909.5000000000018</v>
          </cell>
          <cell r="T112">
            <v>10474.85</v>
          </cell>
          <cell r="U112">
            <v>7362.7500000000018</v>
          </cell>
          <cell r="V112">
            <v>7362.7500000000018</v>
          </cell>
          <cell r="W112">
            <v>591.49999999999966</v>
          </cell>
          <cell r="X112">
            <v>7188.6000000000013</v>
          </cell>
          <cell r="Y112">
            <v>1071.5999999999992</v>
          </cell>
          <cell r="Z112">
            <v>6841.4500000000007</v>
          </cell>
          <cell r="AA112">
            <v>361.69999999999965</v>
          </cell>
          <cell r="AB112">
            <v>2326.75</v>
          </cell>
          <cell r="AC112">
            <v>1998.4500000000014</v>
          </cell>
          <cell r="AD112">
            <v>4606.0999999999995</v>
          </cell>
          <cell r="AE112">
            <v>55.749999999999815</v>
          </cell>
          <cell r="AF112">
            <v>19.05</v>
          </cell>
          <cell r="AG112">
            <v>5009.2999999999993</v>
          </cell>
          <cell r="AH112">
            <v>2126.8000000000002</v>
          </cell>
          <cell r="AI112">
            <v>2126.8000000000002</v>
          </cell>
          <cell r="AJ112">
            <v>8.8000000000000007</v>
          </cell>
          <cell r="AK112">
            <v>8.7895833299997328</v>
          </cell>
          <cell r="AL112">
            <v>608.79999999999995</v>
          </cell>
          <cell r="AM112">
            <v>8.8000000000000007</v>
          </cell>
          <cell r="AN112">
            <v>8.6958329999995847</v>
          </cell>
          <cell r="AO112">
            <v>8.7479169999995072</v>
          </cell>
          <cell r="AP112">
            <v>8.7895829999995847</v>
          </cell>
          <cell r="AQ112">
            <v>1384.9499999999996</v>
          </cell>
          <cell r="AR112">
            <v>1068.3999999999994</v>
          </cell>
          <cell r="AS112">
            <v>73.8</v>
          </cell>
          <cell r="AT112">
            <v>144.89999999999856</v>
          </cell>
          <cell r="AU112">
            <v>2474.4999999999973</v>
          </cell>
        </row>
        <row r="113">
          <cell r="A113" t="str">
            <v>Bonos fiscales</v>
          </cell>
          <cell r="C113">
            <v>43131</v>
          </cell>
          <cell r="D113">
            <v>65540</v>
          </cell>
          <cell r="E113">
            <v>139874.23371999999</v>
          </cell>
          <cell r="F113">
            <v>139874.23371999999</v>
          </cell>
          <cell r="G113">
            <v>251139.66888399998</v>
          </cell>
          <cell r="H113">
            <v>249906.96888399997</v>
          </cell>
          <cell r="I113">
            <v>253918.75039999999</v>
          </cell>
          <cell r="J113">
            <v>253918.75039999999</v>
          </cell>
          <cell r="K113">
            <v>279533.87439999997</v>
          </cell>
          <cell r="L113">
            <v>288426.63040000002</v>
          </cell>
          <cell r="M113">
            <v>271711.212</v>
          </cell>
          <cell r="N113">
            <v>257119.24</v>
          </cell>
          <cell r="O113">
            <v>252224.22799999997</v>
          </cell>
          <cell r="P113">
            <v>227973.26800000001</v>
          </cell>
          <cell r="Q113">
            <v>206711.41999999998</v>
          </cell>
          <cell r="R113">
            <v>200378.092</v>
          </cell>
          <cell r="S113">
            <v>201030.11040000001</v>
          </cell>
          <cell r="T113">
            <v>213624.5344</v>
          </cell>
          <cell r="U113">
            <v>218886.91039999999</v>
          </cell>
          <cell r="V113">
            <v>224014.89720799998</v>
          </cell>
          <cell r="W113">
            <v>230866.02482799999</v>
          </cell>
          <cell r="X113">
            <v>236355.27422799999</v>
          </cell>
          <cell r="Y113">
            <v>266753.33971999993</v>
          </cell>
          <cell r="Z113">
            <v>262919.82867399999</v>
          </cell>
          <cell r="AA113">
            <v>234585.52993399999</v>
          </cell>
          <cell r="AB113">
            <v>248843.88943399998</v>
          </cell>
          <cell r="AC113">
            <v>248587.95145399999</v>
          </cell>
          <cell r="AD113">
            <v>235641.92793400001</v>
          </cell>
          <cell r="AE113">
            <v>225304.75285399999</v>
          </cell>
          <cell r="AF113">
            <v>236384.97877400002</v>
          </cell>
          <cell r="AG113">
            <v>234906.50445400004</v>
          </cell>
          <cell r="AH113">
            <v>229508.51411400002</v>
          </cell>
          <cell r="AI113">
            <v>232344.04820000002</v>
          </cell>
          <cell r="AJ113">
            <v>255404.54019999999</v>
          </cell>
          <cell r="AK113">
            <v>256478.73019999999</v>
          </cell>
          <cell r="AL113">
            <v>271125.84820000001</v>
          </cell>
          <cell r="AM113">
            <v>259382.49199999997</v>
          </cell>
          <cell r="AN113">
            <v>248658.986</v>
          </cell>
          <cell r="AO113">
            <v>255218.98199999999</v>
          </cell>
          <cell r="AP113">
            <v>267681.96600000001</v>
          </cell>
          <cell r="AQ113">
            <v>263122.886</v>
          </cell>
          <cell r="AR113">
            <v>237316.99459999998</v>
          </cell>
          <cell r="AS113">
            <v>245755.93660000002</v>
          </cell>
          <cell r="AT113">
            <v>263272.3786</v>
          </cell>
          <cell r="AU113">
            <v>260474.326</v>
          </cell>
        </row>
        <row r="114">
          <cell r="A114" t="str">
            <v xml:space="preserve">         Colones</v>
          </cell>
          <cell r="C114">
            <v>43131</v>
          </cell>
          <cell r="D114">
            <v>65540</v>
          </cell>
          <cell r="E114">
            <v>124934.39999999999</v>
          </cell>
          <cell r="F114">
            <v>124934.39999999999</v>
          </cell>
          <cell r="G114">
            <v>227364.1</v>
          </cell>
          <cell r="H114">
            <v>226131.4</v>
          </cell>
          <cell r="I114">
            <v>227364.1</v>
          </cell>
          <cell r="J114">
            <v>227364.1</v>
          </cell>
          <cell r="K114">
            <v>251301.4</v>
          </cell>
          <cell r="L114">
            <v>259502.1</v>
          </cell>
          <cell r="M114">
            <v>239308.7</v>
          </cell>
          <cell r="N114">
            <v>221044.4</v>
          </cell>
          <cell r="O114">
            <v>213856.3</v>
          </cell>
          <cell r="P114">
            <v>186004.7</v>
          </cell>
          <cell r="Q114">
            <v>164572.1</v>
          </cell>
          <cell r="R114">
            <v>160095.70000000001</v>
          </cell>
          <cell r="S114">
            <v>159519</v>
          </cell>
          <cell r="T114">
            <v>172506.2</v>
          </cell>
          <cell r="U114">
            <v>171564.2</v>
          </cell>
          <cell r="V114">
            <v>171564.2</v>
          </cell>
          <cell r="W114">
            <v>182186.8</v>
          </cell>
          <cell r="X114">
            <v>188264.9</v>
          </cell>
          <cell r="Y114">
            <v>218900.09999999998</v>
          </cell>
          <cell r="Z114">
            <v>216901</v>
          </cell>
          <cell r="AA114">
            <v>201537.1</v>
          </cell>
          <cell r="AB114">
            <v>216007.6</v>
          </cell>
          <cell r="AC114">
            <v>218762</v>
          </cell>
          <cell r="AD114">
            <v>204984.90000000002</v>
          </cell>
          <cell r="AE114">
            <v>194319.1</v>
          </cell>
          <cell r="AF114">
            <v>205160.7</v>
          </cell>
          <cell r="AG114">
            <v>205993.40000000002</v>
          </cell>
          <cell r="AH114">
            <v>200179.1</v>
          </cell>
          <cell r="AI114">
            <v>200179.1</v>
          </cell>
          <cell r="AJ114">
            <v>226382.2</v>
          </cell>
          <cell r="AK114">
            <v>226724.59999999998</v>
          </cell>
          <cell r="AL114">
            <v>237395.8</v>
          </cell>
          <cell r="AM114">
            <v>227669.9</v>
          </cell>
          <cell r="AN114">
            <v>215306</v>
          </cell>
          <cell r="AO114">
            <v>221477.4</v>
          </cell>
          <cell r="AP114">
            <v>235375.2</v>
          </cell>
          <cell r="AQ114">
            <v>227739.5</v>
          </cell>
          <cell r="AR114">
            <v>208664.3</v>
          </cell>
          <cell r="AS114">
            <v>214866.7</v>
          </cell>
          <cell r="AT114">
            <v>235504.59999999998</v>
          </cell>
          <cell r="AU114">
            <v>235152.7</v>
          </cell>
        </row>
        <row r="115">
          <cell r="A115" t="str">
            <v xml:space="preserve">         Dólares</v>
          </cell>
          <cell r="C115">
            <v>0</v>
          </cell>
          <cell r="D115">
            <v>0</v>
          </cell>
          <cell r="E115">
            <v>14939.833720000001</v>
          </cell>
          <cell r="F115">
            <v>14939.833720000001</v>
          </cell>
          <cell r="G115">
            <v>23775.568883999993</v>
          </cell>
          <cell r="H115">
            <v>23775.568883999993</v>
          </cell>
          <cell r="I115">
            <v>26554.650399999991</v>
          </cell>
          <cell r="J115">
            <v>26554.650399999991</v>
          </cell>
          <cell r="K115">
            <v>28232.474399999999</v>
          </cell>
          <cell r="L115">
            <v>28924.5304</v>
          </cell>
          <cell r="M115">
            <v>32402.511999999999</v>
          </cell>
          <cell r="N115">
            <v>36074.840000000004</v>
          </cell>
          <cell r="O115">
            <v>38367.927999999993</v>
          </cell>
          <cell r="P115">
            <v>41968.567999999992</v>
          </cell>
          <cell r="Q115">
            <v>42139.319999999992</v>
          </cell>
          <cell r="R115">
            <v>40282.392</v>
          </cell>
          <cell r="S115">
            <v>41511.11039999999</v>
          </cell>
          <cell r="T115">
            <v>41118.3344</v>
          </cell>
          <cell r="U115">
            <v>47322.710399999982</v>
          </cell>
          <cell r="V115">
            <v>52450.697207999976</v>
          </cell>
          <cell r="W115">
            <v>48679.224827999999</v>
          </cell>
          <cell r="X115">
            <v>48090.374227999993</v>
          </cell>
          <cell r="Y115">
            <v>47853.239719999983</v>
          </cell>
          <cell r="Z115">
            <v>46018.828674000004</v>
          </cell>
          <cell r="AA115">
            <v>33048.429934</v>
          </cell>
          <cell r="AB115">
            <v>32836.289433999984</v>
          </cell>
          <cell r="AC115">
            <v>29825.951454000002</v>
          </cell>
          <cell r="AD115">
            <v>30657.027933999994</v>
          </cell>
          <cell r="AE115">
            <v>30985.652853999985</v>
          </cell>
          <cell r="AF115">
            <v>31224.278773999999</v>
          </cell>
          <cell r="AG115">
            <v>28913.104454</v>
          </cell>
          <cell r="AH115">
            <v>29329.414114000007</v>
          </cell>
          <cell r="AI115">
            <v>32164.94820000001</v>
          </cell>
          <cell r="AJ115">
            <v>29022.340199999991</v>
          </cell>
          <cell r="AK115">
            <v>29754.1302</v>
          </cell>
          <cell r="AL115">
            <v>33730.048199999997</v>
          </cell>
          <cell r="AM115">
            <v>31712.59199999999</v>
          </cell>
          <cell r="AN115">
            <v>33352.986000000004</v>
          </cell>
          <cell r="AO115">
            <v>33741.582000000002</v>
          </cell>
          <cell r="AP115">
            <v>32306.765999999996</v>
          </cell>
          <cell r="AQ115">
            <v>35383.385999999984</v>
          </cell>
          <cell r="AR115">
            <v>28652.694599999999</v>
          </cell>
          <cell r="AS115">
            <v>30889.236599999997</v>
          </cell>
          <cell r="AT115">
            <v>27767.778600000005</v>
          </cell>
          <cell r="AU115">
            <v>25321.626</v>
          </cell>
        </row>
        <row r="116">
          <cell r="A116" t="str">
            <v>Banco Popular</v>
          </cell>
        </row>
        <row r="118">
          <cell r="A118" t="str">
            <v>PIB nominal</v>
          </cell>
          <cell r="C118">
            <v>1354436.9</v>
          </cell>
          <cell r="D118">
            <v>1641381.5</v>
          </cell>
          <cell r="E118">
            <v>1641381.5</v>
          </cell>
          <cell r="F118">
            <v>2081383.9</v>
          </cell>
          <cell r="G118">
            <v>2081383.9</v>
          </cell>
          <cell r="H118">
            <v>2431267.9</v>
          </cell>
          <cell r="I118">
            <v>2431267.9</v>
          </cell>
          <cell r="U118">
            <v>2956558.3</v>
          </cell>
          <cell r="AH118">
            <v>3571523.4</v>
          </cell>
          <cell r="AU118">
            <v>4343922.0999999996</v>
          </cell>
        </row>
        <row r="119">
          <cell r="A119" t="str">
            <v>RF privada promedio respecto al PIB</v>
          </cell>
          <cell r="D119">
            <v>34.635215419419559</v>
          </cell>
          <cell r="F119">
            <v>33.885941219661596</v>
          </cell>
          <cell r="H119">
            <v>36.479932635724758</v>
          </cell>
          <cell r="U119">
            <v>36.282465722526084</v>
          </cell>
          <cell r="AH119">
            <v>35.609345699851481</v>
          </cell>
          <cell r="AN119">
            <v>34.943075236113671</v>
          </cell>
          <cell r="AU119">
            <v>36.003580584118126</v>
          </cell>
        </row>
        <row r="120">
          <cell r="A120" t="str">
            <v>Variación RF prom / PIB (%)</v>
          </cell>
          <cell r="F120">
            <v>-0.74927419975796283</v>
          </cell>
          <cell r="H120">
            <v>2.5939914160631616</v>
          </cell>
          <cell r="U120">
            <v>-0.19746691319867438</v>
          </cell>
          <cell r="AH120">
            <v>-0.67312002267460258</v>
          </cell>
          <cell r="AN120">
            <v>-0.66627046373780985</v>
          </cell>
          <cell r="AU120">
            <v>0.39423488426664477</v>
          </cell>
        </row>
        <row r="122">
          <cell r="A122" t="str">
            <v>RF saldo respecto al PIB</v>
          </cell>
          <cell r="C122">
            <v>0.38016274736460592</v>
          </cell>
          <cell r="D122">
            <v>0.37900121557541622</v>
          </cell>
          <cell r="E122">
            <v>0.43687284617195943</v>
          </cell>
          <cell r="F122">
            <v>0.3788380731185631</v>
          </cell>
          <cell r="G122">
            <v>0.44627933586110674</v>
          </cell>
          <cell r="H122">
            <v>0.40527920355136515</v>
          </cell>
          <cell r="I122">
            <v>0.41921085843481093</v>
          </cell>
          <cell r="U122">
            <v>0.39237588698859754</v>
          </cell>
          <cell r="V122" t="e">
            <v>#DIV/0!</v>
          </cell>
          <cell r="W122" t="e">
            <v>#DIV/0!</v>
          </cell>
          <cell r="X122" t="e">
            <v>#DIV/0!</v>
          </cell>
          <cell r="Y122" t="e">
            <v>#DIV/0!</v>
          </cell>
          <cell r="Z122" t="e">
            <v>#DIV/0!</v>
          </cell>
          <cell r="AA122" t="e">
            <v>#DIV/0!</v>
          </cell>
          <cell r="AB122" t="e">
            <v>#DIV/0!</v>
          </cell>
          <cell r="AC122" t="e">
            <v>#DIV/0!</v>
          </cell>
          <cell r="AD122" t="e">
            <v>#DIV/0!</v>
          </cell>
          <cell r="AE122" t="e">
            <v>#DIV/0!</v>
          </cell>
          <cell r="AF122" t="e">
            <v>#DIV/0!</v>
          </cell>
          <cell r="AG122" t="e">
            <v>#DIV/0!</v>
          </cell>
          <cell r="AH122">
            <v>0.38737252655776477</v>
          </cell>
          <cell r="AJ122" t="e">
            <v>#DIV/0!</v>
          </cell>
          <cell r="AK122" t="e">
            <v>#DIV/0!</v>
          </cell>
          <cell r="AL122" t="e">
            <v>#DIV/0!</v>
          </cell>
          <cell r="AM122" t="e">
            <v>#DIV/0!</v>
          </cell>
          <cell r="AN122" t="e">
            <v>#DIV/0!</v>
          </cell>
          <cell r="AO122" t="e">
            <v>#DIV/0!</v>
          </cell>
          <cell r="AP122" t="e">
            <v>#DIV/0!</v>
          </cell>
          <cell r="AQ122" t="e">
            <v>#DIV/0!</v>
          </cell>
          <cell r="AR122" t="e">
            <v>#DIV/0!</v>
          </cell>
          <cell r="AS122" t="e">
            <v>#DIV/0!</v>
          </cell>
          <cell r="AT122" t="e">
            <v>#DIV/0!</v>
          </cell>
          <cell r="AU122">
            <v>0.40157832122529402</v>
          </cell>
        </row>
        <row r="123">
          <cell r="A123" t="str">
            <v>Variación RF saldo / PIB (%)</v>
          </cell>
          <cell r="D123">
            <v>-1.161531789189707E-3</v>
          </cell>
          <cell r="E123">
            <v>5.7871630596543211E-2</v>
          </cell>
          <cell r="F123">
            <v>-1.631424568531159E-4</v>
          </cell>
          <cell r="G123">
            <v>6.744126274254364E-2</v>
          </cell>
          <cell r="H123">
            <v>2.6441130432802051E-2</v>
          </cell>
          <cell r="I123">
            <v>1.3931654883445777E-2</v>
          </cell>
          <cell r="U123">
            <v>-1.2903316562767608E-2</v>
          </cell>
          <cell r="V123" t="e">
            <v>#DIV/0!</v>
          </cell>
          <cell r="W123" t="e">
            <v>#DIV/0!</v>
          </cell>
          <cell r="X123" t="e">
            <v>#DIV/0!</v>
          </cell>
          <cell r="Y123" t="e">
            <v>#DIV/0!</v>
          </cell>
          <cell r="Z123" t="e">
            <v>#DIV/0!</v>
          </cell>
          <cell r="AA123" t="e">
            <v>#DIV/0!</v>
          </cell>
          <cell r="AB123" t="e">
            <v>#DIV/0!</v>
          </cell>
          <cell r="AC123" t="e">
            <v>#DIV/0!</v>
          </cell>
          <cell r="AD123" t="e">
            <v>#DIV/0!</v>
          </cell>
          <cell r="AE123" t="e">
            <v>#DIV/0!</v>
          </cell>
          <cell r="AF123" t="e">
            <v>#DIV/0!</v>
          </cell>
          <cell r="AG123" t="e">
            <v>#DIV/0!</v>
          </cell>
          <cell r="AH123">
            <v>-5.0033604308327706E-3</v>
          </cell>
          <cell r="AJ123" t="e">
            <v>#DIV/0!</v>
          </cell>
          <cell r="AK123" t="e">
            <v>#DIV/0!</v>
          </cell>
          <cell r="AL123" t="e">
            <v>#DIV/0!</v>
          </cell>
          <cell r="AM123" t="e">
            <v>#DIV/0!</v>
          </cell>
          <cell r="AN123" t="e">
            <v>#DIV/0!</v>
          </cell>
          <cell r="AO123" t="e">
            <v>#DIV/0!</v>
          </cell>
          <cell r="AP123" t="e">
            <v>#DIV/0!</v>
          </cell>
          <cell r="AQ123" t="e">
            <v>#DIV/0!</v>
          </cell>
          <cell r="AR123" t="e">
            <v>#DIV/0!</v>
          </cell>
          <cell r="AS123" t="e">
            <v>#DIV/0!</v>
          </cell>
          <cell r="AT123" t="e">
            <v>#DIV/0!</v>
          </cell>
          <cell r="AU123">
            <v>1.4205794667529248E-2</v>
          </cell>
        </row>
      </sheetData>
      <sheetData sheetId="25" refreshError="1"/>
      <sheetData sheetId="26" refreshError="1"/>
      <sheetData sheetId="27" refreshError="1"/>
      <sheetData sheetId="28" refreshError="1"/>
      <sheetData sheetId="29" refreshError="1"/>
      <sheetData sheetId="30" refreshError="1"/>
      <sheetData sheetId="31" refreshError="1">
        <row r="5">
          <cell r="I5" t="str">
            <v>SALDOS</v>
          </cell>
          <cell r="J5" t="str">
            <v xml:space="preserve"> </v>
          </cell>
          <cell r="K5" t="str">
            <v xml:space="preserve"> </v>
          </cell>
          <cell r="L5" t="str">
            <v xml:space="preserve"> </v>
          </cell>
          <cell r="M5" t="str">
            <v xml:space="preserve"> </v>
          </cell>
        </row>
        <row r="6">
          <cell r="C6" t="str">
            <v>DIC.</v>
          </cell>
          <cell r="D6" t="str">
            <v>DIC.</v>
          </cell>
          <cell r="E6" t="str">
            <v>DIC.</v>
          </cell>
          <cell r="F6" t="str">
            <v>DIC.</v>
          </cell>
          <cell r="G6" t="str">
            <v>DIC.</v>
          </cell>
          <cell r="H6" t="str">
            <v>DIC.</v>
          </cell>
          <cell r="I6" t="str">
            <v>DIC.</v>
          </cell>
          <cell r="J6" t="str">
            <v>ENERO</v>
          </cell>
          <cell r="K6" t="str">
            <v>FEBRERO</v>
          </cell>
          <cell r="L6" t="str">
            <v xml:space="preserve">MARZO </v>
          </cell>
          <cell r="M6" t="str">
            <v>ABRIL</v>
          </cell>
          <cell r="N6" t="str">
            <v>MAYO</v>
          </cell>
          <cell r="O6" t="str">
            <v>JUNIO</v>
          </cell>
          <cell r="P6" t="str">
            <v>JULIO</v>
          </cell>
          <cell r="Q6" t="str">
            <v>AGOSTO</v>
          </cell>
          <cell r="R6" t="str">
            <v>SETIEM.</v>
          </cell>
          <cell r="S6" t="str">
            <v>OCTUB.</v>
          </cell>
          <cell r="T6" t="str">
            <v>NOVIEM</v>
          </cell>
          <cell r="U6" t="str">
            <v>DIC.</v>
          </cell>
          <cell r="V6" t="str">
            <v>DIC.</v>
          </cell>
          <cell r="W6" t="str">
            <v>ENE</v>
          </cell>
          <cell r="X6" t="str">
            <v>FEB</v>
          </cell>
          <cell r="Y6" t="str">
            <v>MAR</v>
          </cell>
          <cell r="Z6" t="str">
            <v>ABR</v>
          </cell>
          <cell r="AA6" t="str">
            <v>MAY</v>
          </cell>
          <cell r="AB6" t="str">
            <v>JUN</v>
          </cell>
          <cell r="AC6" t="str">
            <v>JUL</v>
          </cell>
          <cell r="AD6" t="str">
            <v>AGO</v>
          </cell>
          <cell r="AE6" t="str">
            <v>SEP</v>
          </cell>
          <cell r="AF6" t="str">
            <v>OCT</v>
          </cell>
          <cell r="AG6" t="str">
            <v>NOV</v>
          </cell>
          <cell r="AH6" t="str">
            <v>DIC</v>
          </cell>
          <cell r="AI6" t="str">
            <v>DIC.</v>
          </cell>
          <cell r="AJ6" t="str">
            <v>ENE</v>
          </cell>
          <cell r="AK6" t="str">
            <v>FEB</v>
          </cell>
          <cell r="AL6" t="str">
            <v>MAR</v>
          </cell>
          <cell r="AM6" t="str">
            <v>ABR</v>
          </cell>
          <cell r="AN6" t="str">
            <v>MAY</v>
          </cell>
          <cell r="AO6" t="str">
            <v>JUN</v>
          </cell>
          <cell r="AP6" t="str">
            <v>JUL</v>
          </cell>
          <cell r="AQ6" t="str">
            <v>AGO</v>
          </cell>
          <cell r="AR6" t="str">
            <v>SEP</v>
          </cell>
          <cell r="AS6" t="str">
            <v>OCT</v>
          </cell>
          <cell r="AT6" t="str">
            <v>NOV</v>
          </cell>
          <cell r="AU6" t="str">
            <v>DIC</v>
          </cell>
          <cell r="AV6" t="str">
            <v>DIC.</v>
          </cell>
          <cell r="AW6" t="str">
            <v>ENE</v>
          </cell>
          <cell r="AX6" t="str">
            <v>FEB</v>
          </cell>
          <cell r="AY6" t="str">
            <v>MAR</v>
          </cell>
          <cell r="AZ6" t="str">
            <v>ABR</v>
          </cell>
          <cell r="BA6" t="str">
            <v>MAY</v>
          </cell>
          <cell r="BB6" t="str">
            <v>JUN</v>
          </cell>
          <cell r="BC6" t="str">
            <v>JUL</v>
          </cell>
          <cell r="BD6" t="str">
            <v>AGO</v>
          </cell>
          <cell r="BE6" t="str">
            <v>SEP</v>
          </cell>
          <cell r="BF6" t="str">
            <v>OCT</v>
          </cell>
          <cell r="BG6" t="str">
            <v>NOV</v>
          </cell>
          <cell r="BH6" t="str">
            <v>DIC</v>
          </cell>
          <cell r="BJ6" t="str">
            <v>DIC.</v>
          </cell>
          <cell r="BK6" t="str">
            <v>DIC.</v>
          </cell>
          <cell r="BL6" t="str">
            <v>DIC.</v>
          </cell>
          <cell r="BN6" t="str">
            <v>DIC.</v>
          </cell>
          <cell r="BO6" t="str">
            <v>ENERO</v>
          </cell>
          <cell r="BP6" t="str">
            <v>FEBRERO</v>
          </cell>
          <cell r="BQ6" t="str">
            <v xml:space="preserve">MARZO </v>
          </cell>
          <cell r="BR6" t="str">
            <v>ABRIL</v>
          </cell>
          <cell r="BS6" t="str">
            <v>MAYO</v>
          </cell>
          <cell r="BT6" t="str">
            <v>JUNIO</v>
          </cell>
          <cell r="BU6" t="str">
            <v>JULIO</v>
          </cell>
          <cell r="BV6" t="str">
            <v>AGOSTO</v>
          </cell>
          <cell r="BW6" t="str">
            <v>SETIEM.</v>
          </cell>
          <cell r="BX6" t="str">
            <v>OCTUB.</v>
          </cell>
          <cell r="BY6" t="str">
            <v>NOVIEM</v>
          </cell>
          <cell r="BZ6" t="str">
            <v>DIC.</v>
          </cell>
          <cell r="CB6" t="str">
            <v>ENE</v>
          </cell>
          <cell r="CC6" t="str">
            <v>FEB</v>
          </cell>
          <cell r="CD6" t="str">
            <v>MAR</v>
          </cell>
          <cell r="CE6" t="str">
            <v>ABR</v>
          </cell>
          <cell r="CF6" t="str">
            <v>MAY</v>
          </cell>
          <cell r="CG6" t="str">
            <v>JUN</v>
          </cell>
          <cell r="CH6" t="str">
            <v>JUL</v>
          </cell>
          <cell r="CI6" t="str">
            <v>AGO</v>
          </cell>
          <cell r="CJ6" t="str">
            <v>SEP</v>
          </cell>
          <cell r="CK6" t="str">
            <v>OCT</v>
          </cell>
          <cell r="CL6" t="str">
            <v>NOV</v>
          </cell>
          <cell r="CM6" t="str">
            <v>DIC</v>
          </cell>
        </row>
        <row r="7">
          <cell r="C7" t="str">
            <v>1993</v>
          </cell>
          <cell r="D7">
            <v>1994</v>
          </cell>
          <cell r="E7">
            <v>1994</v>
          </cell>
          <cell r="F7">
            <v>1995</v>
          </cell>
          <cell r="G7">
            <v>1995</v>
          </cell>
          <cell r="H7">
            <v>1996</v>
          </cell>
          <cell r="I7">
            <v>1996</v>
          </cell>
          <cell r="J7">
            <v>1997</v>
          </cell>
          <cell r="K7">
            <v>1997</v>
          </cell>
          <cell r="L7">
            <v>1997</v>
          </cell>
          <cell r="M7">
            <v>1997</v>
          </cell>
          <cell r="N7">
            <v>1997</v>
          </cell>
          <cell r="O7">
            <v>1997</v>
          </cell>
          <cell r="P7">
            <v>1997</v>
          </cell>
          <cell r="Q7">
            <v>1997</v>
          </cell>
          <cell r="R7">
            <v>1997</v>
          </cell>
          <cell r="S7">
            <v>1997</v>
          </cell>
          <cell r="T7">
            <v>1997</v>
          </cell>
          <cell r="U7">
            <v>1997</v>
          </cell>
          <cell r="V7">
            <v>1997</v>
          </cell>
          <cell r="W7">
            <v>1998</v>
          </cell>
          <cell r="X7">
            <v>1998</v>
          </cell>
          <cell r="Y7">
            <v>1998</v>
          </cell>
          <cell r="Z7">
            <v>1998</v>
          </cell>
          <cell r="AA7">
            <v>1998</v>
          </cell>
          <cell r="AB7">
            <v>1998</v>
          </cell>
          <cell r="AC7">
            <v>1998</v>
          </cell>
          <cell r="AD7">
            <v>1998</v>
          </cell>
          <cell r="AE7">
            <v>1998</v>
          </cell>
          <cell r="AF7">
            <v>1998</v>
          </cell>
          <cell r="AG7">
            <v>1998</v>
          </cell>
          <cell r="AH7">
            <v>1998</v>
          </cell>
          <cell r="AI7">
            <v>1998</v>
          </cell>
          <cell r="AJ7">
            <v>1999</v>
          </cell>
          <cell r="AK7">
            <v>1999</v>
          </cell>
          <cell r="AL7">
            <v>1999</v>
          </cell>
          <cell r="AM7">
            <v>1999</v>
          </cell>
          <cell r="AN7">
            <v>1999</v>
          </cell>
          <cell r="AO7">
            <v>1999</v>
          </cell>
          <cell r="AP7">
            <v>1999</v>
          </cell>
          <cell r="AQ7">
            <v>1999</v>
          </cell>
          <cell r="AR7" t="str">
            <v>1999 (*)</v>
          </cell>
          <cell r="AS7" t="str">
            <v>1999 (*)</v>
          </cell>
          <cell r="AT7">
            <v>1999</v>
          </cell>
          <cell r="AU7">
            <v>1999</v>
          </cell>
          <cell r="AV7">
            <v>1999</v>
          </cell>
          <cell r="AW7">
            <v>2000</v>
          </cell>
          <cell r="AX7">
            <v>2000</v>
          </cell>
          <cell r="AY7">
            <v>2000</v>
          </cell>
          <cell r="AZ7">
            <v>2000</v>
          </cell>
          <cell r="BA7">
            <v>2000</v>
          </cell>
          <cell r="BB7">
            <v>2000</v>
          </cell>
          <cell r="BC7">
            <v>2000</v>
          </cell>
          <cell r="BD7">
            <v>2000</v>
          </cell>
          <cell r="BE7">
            <v>2000</v>
          </cell>
          <cell r="BF7">
            <v>2000</v>
          </cell>
          <cell r="BG7">
            <v>2000</v>
          </cell>
          <cell r="BH7">
            <v>2000</v>
          </cell>
          <cell r="BJ7">
            <v>1994</v>
          </cell>
          <cell r="BK7">
            <v>1995</v>
          </cell>
          <cell r="BL7">
            <v>1996</v>
          </cell>
          <cell r="BN7">
            <v>1996</v>
          </cell>
          <cell r="BO7">
            <v>1997</v>
          </cell>
          <cell r="BP7">
            <v>1997</v>
          </cell>
          <cell r="BQ7">
            <v>1997</v>
          </cell>
          <cell r="BR7">
            <v>1997</v>
          </cell>
          <cell r="BS7">
            <v>1997</v>
          </cell>
          <cell r="BT7">
            <v>1997</v>
          </cell>
          <cell r="BU7">
            <v>1997</v>
          </cell>
          <cell r="BV7">
            <v>1997</v>
          </cell>
          <cell r="BW7">
            <v>1997</v>
          </cell>
          <cell r="BX7">
            <v>1997</v>
          </cell>
          <cell r="BY7">
            <v>1997</v>
          </cell>
          <cell r="BZ7">
            <v>1997</v>
          </cell>
          <cell r="CB7">
            <v>1998</v>
          </cell>
          <cell r="CC7">
            <v>1998</v>
          </cell>
          <cell r="CD7">
            <v>1998</v>
          </cell>
          <cell r="CE7">
            <v>1998</v>
          </cell>
          <cell r="CF7">
            <v>1998</v>
          </cell>
          <cell r="CG7">
            <v>1998</v>
          </cell>
          <cell r="CH7">
            <v>1998</v>
          </cell>
          <cell r="CI7">
            <v>1998</v>
          </cell>
          <cell r="CJ7">
            <v>1998</v>
          </cell>
          <cell r="CK7">
            <v>1998</v>
          </cell>
          <cell r="CL7">
            <v>1998</v>
          </cell>
          <cell r="CM7">
            <v>1998</v>
          </cell>
        </row>
        <row r="8">
          <cell r="C8" t="str">
            <v>---------</v>
          </cell>
          <cell r="D8" t="str">
            <v>---------</v>
          </cell>
          <cell r="E8" t="str">
            <v>---------</v>
          </cell>
          <cell r="F8" t="str">
            <v>---------</v>
          </cell>
          <cell r="G8" t="str">
            <v>---------</v>
          </cell>
          <cell r="H8" t="str">
            <v>---------</v>
          </cell>
          <cell r="I8" t="str">
            <v>---------</v>
          </cell>
          <cell r="J8" t="str">
            <v>---------</v>
          </cell>
          <cell r="K8" t="str">
            <v>---------</v>
          </cell>
          <cell r="L8" t="str">
            <v>---------</v>
          </cell>
          <cell r="M8" t="str">
            <v>---------</v>
          </cell>
          <cell r="N8" t="str">
            <v>---------</v>
          </cell>
          <cell r="O8" t="str">
            <v>---------</v>
          </cell>
          <cell r="P8" t="str">
            <v>---------</v>
          </cell>
          <cell r="Q8" t="str">
            <v>---------</v>
          </cell>
          <cell r="R8" t="str">
            <v>---------</v>
          </cell>
          <cell r="S8" t="str">
            <v>---------</v>
          </cell>
          <cell r="T8" t="str">
            <v>---------</v>
          </cell>
          <cell r="U8" t="str">
            <v>---------</v>
          </cell>
          <cell r="V8" t="str">
            <v>---------</v>
          </cell>
          <cell r="W8" t="str">
            <v>---------</v>
          </cell>
          <cell r="X8" t="str">
            <v>---------</v>
          </cell>
          <cell r="Y8" t="str">
            <v>---------</v>
          </cell>
          <cell r="Z8" t="str">
            <v>---------</v>
          </cell>
          <cell r="AA8" t="str">
            <v>---------</v>
          </cell>
          <cell r="AB8" t="str">
            <v>---------</v>
          </cell>
          <cell r="AC8" t="str">
            <v>---------</v>
          </cell>
          <cell r="AD8" t="str">
            <v>---------</v>
          </cell>
          <cell r="AE8" t="str">
            <v>---------</v>
          </cell>
          <cell r="AF8" t="str">
            <v>---------</v>
          </cell>
          <cell r="AG8" t="str">
            <v>---------</v>
          </cell>
          <cell r="AH8" t="str">
            <v>---------</v>
          </cell>
          <cell r="AI8" t="str">
            <v>---------</v>
          </cell>
          <cell r="AJ8" t="str">
            <v>---------</v>
          </cell>
          <cell r="AK8" t="str">
            <v>---------</v>
          </cell>
          <cell r="AL8" t="str">
            <v>---------</v>
          </cell>
          <cell r="AM8" t="str">
            <v>---------</v>
          </cell>
          <cell r="AN8" t="str">
            <v>---------</v>
          </cell>
          <cell r="AO8" t="str">
            <v>---------</v>
          </cell>
          <cell r="AP8" t="str">
            <v>---------</v>
          </cell>
          <cell r="AQ8" t="str">
            <v>---------</v>
          </cell>
          <cell r="AR8" t="str">
            <v>---------</v>
          </cell>
          <cell r="AS8" t="str">
            <v>---------</v>
          </cell>
          <cell r="AT8" t="str">
            <v>---------</v>
          </cell>
          <cell r="AU8" t="str">
            <v>---------</v>
          </cell>
          <cell r="AV8" t="str">
            <v>---------</v>
          </cell>
          <cell r="AW8" t="str">
            <v>---------</v>
          </cell>
          <cell r="AX8" t="str">
            <v>---------</v>
          </cell>
          <cell r="AY8" t="str">
            <v>---------</v>
          </cell>
          <cell r="AZ8" t="str">
            <v>---------</v>
          </cell>
          <cell r="BA8" t="str">
            <v>---------</v>
          </cell>
          <cell r="BB8" t="str">
            <v>---------</v>
          </cell>
          <cell r="BC8" t="str">
            <v>---------</v>
          </cell>
          <cell r="BD8" t="str">
            <v>---------</v>
          </cell>
          <cell r="BE8" t="str">
            <v>---------</v>
          </cell>
          <cell r="BF8" t="str">
            <v>---------</v>
          </cell>
          <cell r="BG8" t="str">
            <v>---------</v>
          </cell>
          <cell r="BH8" t="str">
            <v>---------</v>
          </cell>
          <cell r="BJ8" t="str">
            <v>---------</v>
          </cell>
          <cell r="BK8" t="str">
            <v>---------</v>
          </cell>
          <cell r="BL8" t="str">
            <v>---------</v>
          </cell>
          <cell r="BN8" t="str">
            <v>---------</v>
          </cell>
          <cell r="BO8" t="str">
            <v>---------</v>
          </cell>
          <cell r="BP8" t="str">
            <v>---------</v>
          </cell>
          <cell r="BQ8" t="str">
            <v>---------</v>
          </cell>
          <cell r="BR8" t="str">
            <v>---------</v>
          </cell>
          <cell r="BS8" t="str">
            <v>---------</v>
          </cell>
          <cell r="BT8" t="str">
            <v>---------</v>
          </cell>
          <cell r="BU8" t="str">
            <v>---------</v>
          </cell>
          <cell r="BV8" t="str">
            <v>---------</v>
          </cell>
          <cell r="BW8" t="str">
            <v>---------</v>
          </cell>
          <cell r="BX8" t="str">
            <v>---------</v>
          </cell>
          <cell r="BY8" t="str">
            <v>---------</v>
          </cell>
          <cell r="BZ8" t="str">
            <v>---------</v>
          </cell>
          <cell r="CB8" t="str">
            <v>---------</v>
          </cell>
          <cell r="CC8" t="str">
            <v>---------</v>
          </cell>
          <cell r="CD8" t="str">
            <v>---------</v>
          </cell>
          <cell r="CE8" t="str">
            <v>---------</v>
          </cell>
          <cell r="CF8" t="str">
            <v>---------</v>
          </cell>
          <cell r="CG8" t="str">
            <v>---------</v>
          </cell>
          <cell r="CH8" t="str">
            <v>---------</v>
          </cell>
          <cell r="CI8" t="str">
            <v>---------</v>
          </cell>
          <cell r="CJ8" t="str">
            <v>---------</v>
          </cell>
          <cell r="CK8" t="str">
            <v>---------</v>
          </cell>
          <cell r="CL8" t="str">
            <v>---------</v>
          </cell>
          <cell r="CM8" t="str">
            <v>---------</v>
          </cell>
        </row>
        <row r="9">
          <cell r="A9" t="str">
            <v>Tipo de cambio</v>
          </cell>
          <cell r="C9">
            <v>157.09</v>
          </cell>
          <cell r="D9">
            <v>157.09</v>
          </cell>
          <cell r="E9">
            <v>179.8</v>
          </cell>
          <cell r="F9">
            <v>179.8</v>
          </cell>
          <cell r="G9">
            <v>207.72</v>
          </cell>
          <cell r="H9">
            <v>207.72</v>
          </cell>
          <cell r="I9">
            <v>232</v>
          </cell>
          <cell r="J9">
            <v>232</v>
          </cell>
          <cell r="K9">
            <v>232</v>
          </cell>
          <cell r="L9">
            <v>232</v>
          </cell>
          <cell r="M9">
            <v>232</v>
          </cell>
          <cell r="N9">
            <v>232</v>
          </cell>
          <cell r="O9">
            <v>232</v>
          </cell>
          <cell r="P9">
            <v>232</v>
          </cell>
          <cell r="Q9">
            <v>232</v>
          </cell>
          <cell r="R9">
            <v>232</v>
          </cell>
          <cell r="S9">
            <v>232</v>
          </cell>
          <cell r="T9">
            <v>232</v>
          </cell>
          <cell r="U9">
            <v>232</v>
          </cell>
          <cell r="V9">
            <v>257.14</v>
          </cell>
          <cell r="W9">
            <v>257.14</v>
          </cell>
          <cell r="X9">
            <v>257.14</v>
          </cell>
          <cell r="Y9">
            <v>257.14</v>
          </cell>
          <cell r="Z9">
            <v>257.14</v>
          </cell>
          <cell r="AA9">
            <v>257.14</v>
          </cell>
          <cell r="AB9">
            <v>257.14</v>
          </cell>
          <cell r="AC9">
            <v>257.14</v>
          </cell>
          <cell r="AD9">
            <v>257.14</v>
          </cell>
          <cell r="AE9">
            <v>257.14</v>
          </cell>
          <cell r="AF9">
            <v>257.14</v>
          </cell>
          <cell r="AG9">
            <v>257.14</v>
          </cell>
          <cell r="AH9">
            <v>257.14</v>
          </cell>
          <cell r="AI9">
            <v>282</v>
          </cell>
          <cell r="AJ9">
            <v>282</v>
          </cell>
          <cell r="AK9">
            <v>282</v>
          </cell>
          <cell r="AL9">
            <v>282</v>
          </cell>
          <cell r="AM9">
            <v>282</v>
          </cell>
          <cell r="AN9">
            <v>282</v>
          </cell>
          <cell r="AO9">
            <v>282</v>
          </cell>
          <cell r="AP9">
            <v>282</v>
          </cell>
          <cell r="AQ9">
            <v>282</v>
          </cell>
          <cell r="AR9">
            <v>282</v>
          </cell>
          <cell r="AS9">
            <v>282</v>
          </cell>
          <cell r="AT9">
            <v>282</v>
          </cell>
          <cell r="AU9">
            <v>282</v>
          </cell>
          <cell r="AV9">
            <v>308.10000000000002</v>
          </cell>
          <cell r="AW9">
            <v>308.10000000000002</v>
          </cell>
          <cell r="AX9">
            <v>308.10000000000002</v>
          </cell>
          <cell r="AY9">
            <v>308.10000000000002</v>
          </cell>
          <cell r="AZ9">
            <v>308.10000000000002</v>
          </cell>
          <cell r="BA9">
            <v>308.10000000000002</v>
          </cell>
          <cell r="BB9">
            <v>308.10000000000002</v>
          </cell>
          <cell r="BC9">
            <v>308.10000000000002</v>
          </cell>
          <cell r="BD9">
            <v>308.10000000000002</v>
          </cell>
          <cell r="BE9">
            <v>308.10000000000002</v>
          </cell>
          <cell r="BF9">
            <v>308.10000000000002</v>
          </cell>
          <cell r="BG9">
            <v>308.10000000000002</v>
          </cell>
          <cell r="BH9">
            <v>308.10000000000002</v>
          </cell>
          <cell r="BJ9">
            <v>157.09</v>
          </cell>
          <cell r="BK9">
            <v>179.8</v>
          </cell>
          <cell r="BL9">
            <v>207.72</v>
          </cell>
          <cell r="BN9">
            <v>207.72</v>
          </cell>
          <cell r="BO9">
            <v>232</v>
          </cell>
          <cell r="BP9">
            <v>232</v>
          </cell>
          <cell r="BQ9">
            <v>232</v>
          </cell>
          <cell r="BR9">
            <v>232</v>
          </cell>
          <cell r="BS9">
            <v>232</v>
          </cell>
          <cell r="BT9">
            <v>232</v>
          </cell>
          <cell r="BU9">
            <v>232</v>
          </cell>
          <cell r="BV9">
            <v>232</v>
          </cell>
          <cell r="BW9">
            <v>232</v>
          </cell>
          <cell r="BX9">
            <v>232</v>
          </cell>
          <cell r="BY9">
            <v>232</v>
          </cell>
          <cell r="BZ9">
            <v>232</v>
          </cell>
          <cell r="CB9">
            <v>257.14</v>
          </cell>
          <cell r="CC9">
            <v>257.14</v>
          </cell>
          <cell r="CD9">
            <v>257.14</v>
          </cell>
          <cell r="CE9">
            <v>257.14</v>
          </cell>
          <cell r="CF9">
            <v>257.14</v>
          </cell>
          <cell r="CG9">
            <v>257.14</v>
          </cell>
          <cell r="CH9">
            <v>257.14</v>
          </cell>
          <cell r="CI9">
            <v>257.14</v>
          </cell>
          <cell r="CJ9">
            <v>257.14</v>
          </cell>
          <cell r="CK9">
            <v>257.14</v>
          </cell>
          <cell r="CL9">
            <v>257.14</v>
          </cell>
          <cell r="CM9">
            <v>257.14</v>
          </cell>
        </row>
        <row r="11">
          <cell r="A11" t="str">
            <v>BANCO CENTRAL DE COSTA RICA</v>
          </cell>
        </row>
        <row r="13">
          <cell r="A13" t="str">
            <v>ACTIVOS EXTERNOS NETOS</v>
          </cell>
          <cell r="C13">
            <v>-87522.812410000013</v>
          </cell>
          <cell r="D13">
            <v>-80920.35788999997</v>
          </cell>
          <cell r="E13">
            <v>-92618.755799999984</v>
          </cell>
          <cell r="F13">
            <v>-38509.330259999988</v>
          </cell>
          <cell r="G13">
            <v>-44489.19956399998</v>
          </cell>
          <cell r="H13">
            <v>-35861.320871999953</v>
          </cell>
          <cell r="I13">
            <v>-40053.083199999965</v>
          </cell>
          <cell r="J13">
            <v>-40575.709600000002</v>
          </cell>
          <cell r="K13">
            <v>-38232.555999999982</v>
          </cell>
          <cell r="L13">
            <v>-17647.776000000013</v>
          </cell>
          <cell r="M13">
            <v>-21521.712</v>
          </cell>
          <cell r="N13">
            <v>-21326.599999999948</v>
          </cell>
          <cell r="O13">
            <v>196.50399999998626</v>
          </cell>
          <cell r="P13">
            <v>4160.6880000000529</v>
          </cell>
          <cell r="Q13">
            <v>8722.0399999999499</v>
          </cell>
          <cell r="R13">
            <v>21185.079999999987</v>
          </cell>
          <cell r="S13">
            <v>186.52799999999115</v>
          </cell>
          <cell r="T13">
            <v>6251.704000000027</v>
          </cell>
          <cell r="U13">
            <v>38290.440000000061</v>
          </cell>
          <cell r="V13">
            <v>42439.671300000045</v>
          </cell>
          <cell r="W13">
            <v>16178.734520000027</v>
          </cell>
          <cell r="X13">
            <v>3697.1589200000744</v>
          </cell>
          <cell r="Y13">
            <v>19046.567314768676</v>
          </cell>
          <cell r="Z13">
            <v>78786.499538094969</v>
          </cell>
          <cell r="AA13">
            <v>48176.44430271376</v>
          </cell>
          <cell r="AB13">
            <v>37139.968184640922</v>
          </cell>
          <cell r="AC13">
            <v>17034.071910600236</v>
          </cell>
          <cell r="AD13">
            <v>11835.971879160381</v>
          </cell>
          <cell r="AE13">
            <v>-3325.341639854887</v>
          </cell>
          <cell r="AF13">
            <v>-4248.1574230926926</v>
          </cell>
          <cell r="AG13">
            <v>-12862.696438258863</v>
          </cell>
          <cell r="AH13">
            <v>-5238.2367874942429</v>
          </cell>
          <cell r="AI13">
            <v>-5744.6635065465234</v>
          </cell>
          <cell r="AJ13">
            <v>-14909.452190386422</v>
          </cell>
          <cell r="AK13">
            <v>-556.08540623873705</v>
          </cell>
          <cell r="AL13">
            <v>22154.522230507049</v>
          </cell>
          <cell r="AM13">
            <v>47629.100616487616</v>
          </cell>
          <cell r="AN13">
            <v>134250.60860533325</v>
          </cell>
          <cell r="AO13">
            <v>136454.72147765791</v>
          </cell>
          <cell r="AP13">
            <v>139474.76381105854</v>
          </cell>
          <cell r="AQ13">
            <v>133244.42469030904</v>
          </cell>
          <cell r="AR13">
            <v>118152.70799194527</v>
          </cell>
          <cell r="AS13">
            <v>110878.25448753918</v>
          </cell>
          <cell r="AT13">
            <v>116032.24974917929</v>
          </cell>
          <cell r="AU13">
            <v>150853.20332787978</v>
          </cell>
          <cell r="AV13">
            <v>164815.14874226868</v>
          </cell>
          <cell r="AW13">
            <v>152671.95030784013</v>
          </cell>
          <cell r="AX13">
            <v>167645.50235420099</v>
          </cell>
          <cell r="AY13">
            <v>166237.16721203609</v>
          </cell>
          <cell r="AZ13">
            <v>155453.6657669135</v>
          </cell>
          <cell r="BA13">
            <v>99006.503391468141</v>
          </cell>
          <cell r="BB13">
            <v>120000.31117764016</v>
          </cell>
          <cell r="BC13">
            <v>211544.0687270459</v>
          </cell>
          <cell r="BD13">
            <v>197109.0800391566</v>
          </cell>
          <cell r="BE13">
            <v>182412.27490199998</v>
          </cell>
          <cell r="BF13">
            <v>189274.98735483567</v>
          </cell>
          <cell r="BG13">
            <v>179197.03635483561</v>
          </cell>
          <cell r="BH13">
            <v>176800.23874226864</v>
          </cell>
          <cell r="BJ13">
            <v>6602.454520000043</v>
          </cell>
          <cell r="BK13">
            <v>54109.425539999997</v>
          </cell>
          <cell r="BL13">
            <v>8627.8786920000275</v>
          </cell>
          <cell r="BN13">
            <v>8627.8786920000275</v>
          </cell>
          <cell r="BO13">
            <v>-522.62640000003739</v>
          </cell>
          <cell r="BP13">
            <v>1820.5271999999823</v>
          </cell>
          <cell r="BQ13">
            <v>22405.307199999952</v>
          </cell>
          <cell r="BR13">
            <v>18531.371199999965</v>
          </cell>
          <cell r="BS13">
            <v>18726.483200000017</v>
          </cell>
          <cell r="BT13">
            <v>40249.587199999951</v>
          </cell>
          <cell r="BU13">
            <v>44213.771200000017</v>
          </cell>
          <cell r="BV13">
            <v>48775.123199999915</v>
          </cell>
          <cell r="BW13">
            <v>61238.163199999952</v>
          </cell>
          <cell r="BX13">
            <v>40239.611199999956</v>
          </cell>
          <cell r="BY13">
            <v>46304.787199999992</v>
          </cell>
          <cell r="BZ13">
            <v>78343.523200000025</v>
          </cell>
          <cell r="CB13">
            <v>-26260.936780000018</v>
          </cell>
          <cell r="CC13">
            <v>-38742.512379999971</v>
          </cell>
          <cell r="CD13">
            <v>-23393.10398523137</v>
          </cell>
          <cell r="CE13">
            <v>36346.828238094924</v>
          </cell>
          <cell r="CF13">
            <v>5736.773002713715</v>
          </cell>
          <cell r="CG13">
            <v>-5299.7031153591233</v>
          </cell>
          <cell r="CH13">
            <v>-25405.599389399809</v>
          </cell>
          <cell r="CI13">
            <v>-30603.699420839665</v>
          </cell>
          <cell r="CJ13">
            <v>-45765.012939854932</v>
          </cell>
          <cell r="CK13">
            <v>-46687.828723092738</v>
          </cell>
          <cell r="CL13">
            <v>-55302.367738258909</v>
          </cell>
          <cell r="CM13">
            <v>-47677.908087494288</v>
          </cell>
        </row>
        <row r="14">
          <cell r="A14" t="str">
            <v xml:space="preserve">   Reservas internacionales netas</v>
          </cell>
          <cell r="C14">
            <v>135486.19774999999</v>
          </cell>
          <cell r="D14">
            <v>119003.37241</v>
          </cell>
          <cell r="E14">
            <v>136207.31020000001</v>
          </cell>
          <cell r="F14">
            <v>177303.17134000006</v>
          </cell>
          <cell r="G14">
            <v>204835.45467600005</v>
          </cell>
          <cell r="H14">
            <v>192085.41412800003</v>
          </cell>
          <cell r="I14">
            <v>214537.91680000004</v>
          </cell>
          <cell r="J14">
            <v>205621.06639999998</v>
          </cell>
          <cell r="K14">
            <v>206178.74800000002</v>
          </cell>
          <cell r="L14">
            <v>225178.50399999999</v>
          </cell>
          <cell r="M14">
            <v>219220.74400000001</v>
          </cell>
          <cell r="N14">
            <v>216153.24000000005</v>
          </cell>
          <cell r="O14">
            <v>237660.56799999997</v>
          </cell>
          <cell r="P14">
            <v>239779.42400000003</v>
          </cell>
          <cell r="Q14">
            <v>243388.41599999994</v>
          </cell>
          <cell r="R14">
            <v>254288.93599999996</v>
          </cell>
          <cell r="S14">
            <v>231369.19199999998</v>
          </cell>
          <cell r="T14">
            <v>233049.80000000002</v>
          </cell>
          <cell r="U14">
            <v>264562.82400000002</v>
          </cell>
          <cell r="V14">
            <v>293231.39898</v>
          </cell>
          <cell r="W14">
            <v>265058.88344000001</v>
          </cell>
          <cell r="X14">
            <v>251751.88844000004</v>
          </cell>
          <cell r="Y14">
            <v>265617.1576187305</v>
          </cell>
          <cell r="Z14">
            <v>322491.91912252642</v>
          </cell>
          <cell r="AA14">
            <v>288371.17448409583</v>
          </cell>
          <cell r="AB14">
            <v>276581.39499603916</v>
          </cell>
          <cell r="AC14">
            <v>254882.87920539608</v>
          </cell>
          <cell r="AD14">
            <v>248261.44537518051</v>
          </cell>
          <cell r="AE14">
            <v>232282.60792186545</v>
          </cell>
          <cell r="AF14">
            <v>242464.44264419388</v>
          </cell>
          <cell r="AG14">
            <v>228688.06133461115</v>
          </cell>
          <cell r="AH14">
            <v>254953.52695641437</v>
          </cell>
          <cell r="AI14">
            <v>279602.14125265949</v>
          </cell>
          <cell r="AJ14">
            <v>269932.83571514557</v>
          </cell>
          <cell r="AK14">
            <v>281976.33156863524</v>
          </cell>
          <cell r="AL14">
            <v>302981.72926675307</v>
          </cell>
          <cell r="AM14">
            <v>325764.67287072301</v>
          </cell>
          <cell r="AN14">
            <v>407467.61178325186</v>
          </cell>
          <cell r="AO14">
            <v>409334.61074187391</v>
          </cell>
          <cell r="AP14">
            <v>410618.2557263776</v>
          </cell>
          <cell r="AQ14">
            <v>403974.03910332778</v>
          </cell>
          <cell r="AR14">
            <v>387722.68572717789</v>
          </cell>
          <cell r="AS14">
            <v>378006.38234333228</v>
          </cell>
          <cell r="AT14">
            <v>380479.47924543277</v>
          </cell>
          <cell r="AU14">
            <v>414919.76389257389</v>
          </cell>
          <cell r="AV14">
            <v>453321.91225284408</v>
          </cell>
          <cell r="AW14">
            <v>438988.68259854859</v>
          </cell>
          <cell r="AX14">
            <v>452916.20833946625</v>
          </cell>
          <cell r="AY14">
            <v>446999.6750820718</v>
          </cell>
          <cell r="AZ14">
            <v>436107.58469226112</v>
          </cell>
          <cell r="BA14">
            <v>378041.09108258667</v>
          </cell>
          <cell r="BB14">
            <v>399122.46732930449</v>
          </cell>
          <cell r="BC14">
            <v>488644.34495408984</v>
          </cell>
          <cell r="BD14">
            <v>468797.77569778851</v>
          </cell>
          <cell r="BE14">
            <v>454147.24114499998</v>
          </cell>
          <cell r="BF14">
            <v>457674.77109783568</v>
          </cell>
          <cell r="BG14">
            <v>442762.73109783564</v>
          </cell>
          <cell r="BH14">
            <v>440874.67225284403</v>
          </cell>
          <cell r="BJ14">
            <v>-16482.825339999996</v>
          </cell>
          <cell r="BK14">
            <v>41095.861140000052</v>
          </cell>
          <cell r="BL14">
            <v>-12750.040548000019</v>
          </cell>
          <cell r="BN14">
            <v>-12750.040548000019</v>
          </cell>
          <cell r="BO14">
            <v>-8916.8504000000539</v>
          </cell>
          <cell r="BP14">
            <v>-8359.168800000014</v>
          </cell>
          <cell r="BQ14">
            <v>10640.587199999951</v>
          </cell>
          <cell r="BR14">
            <v>4682.8271999999706</v>
          </cell>
          <cell r="BS14">
            <v>1615.3232000000135</v>
          </cell>
          <cell r="BT14">
            <v>23122.651199999935</v>
          </cell>
          <cell r="BU14">
            <v>25241.507199999993</v>
          </cell>
          <cell r="BV14">
            <v>28850.499199999904</v>
          </cell>
          <cell r="BW14">
            <v>39751.019199999922</v>
          </cell>
          <cell r="BX14">
            <v>16831.275199999945</v>
          </cell>
          <cell r="BY14">
            <v>18511.883199999982</v>
          </cell>
          <cell r="BZ14">
            <v>50024.907199999987</v>
          </cell>
          <cell r="CB14">
            <v>-28172.515539999993</v>
          </cell>
          <cell r="CC14">
            <v>-41479.510539999959</v>
          </cell>
          <cell r="CD14">
            <v>-27614.241361269495</v>
          </cell>
          <cell r="CE14">
            <v>29260.520142526424</v>
          </cell>
          <cell r="CF14">
            <v>-4860.2244959041709</v>
          </cell>
          <cell r="CG14">
            <v>-16650.003983960836</v>
          </cell>
          <cell r="CH14">
            <v>-38348.519774603919</v>
          </cell>
          <cell r="CI14">
            <v>-44969.953604819486</v>
          </cell>
          <cell r="CJ14">
            <v>-60948.79105813455</v>
          </cell>
          <cell r="CK14">
            <v>-50766.956335806113</v>
          </cell>
          <cell r="CL14">
            <v>-64543.337645388849</v>
          </cell>
          <cell r="CM14">
            <v>-38277.872023585631</v>
          </cell>
        </row>
        <row r="15">
          <cell r="A15" t="str">
            <v xml:space="preserve">   Endeudamiento de M/L plazo</v>
          </cell>
          <cell r="C15">
            <v>-223009.01016000001</v>
          </cell>
          <cell r="D15">
            <v>-199923.73029999997</v>
          </cell>
          <cell r="E15">
            <v>-228826.06599999999</v>
          </cell>
          <cell r="F15">
            <v>-215812.50160000005</v>
          </cell>
          <cell r="G15">
            <v>-249324.65424000003</v>
          </cell>
          <cell r="H15">
            <v>-227946.73499999999</v>
          </cell>
          <cell r="I15">
            <v>-254591</v>
          </cell>
          <cell r="J15">
            <v>-246196.77599999998</v>
          </cell>
          <cell r="K15">
            <v>-244411.304</v>
          </cell>
          <cell r="L15">
            <v>-242826.28</v>
          </cell>
          <cell r="M15">
            <v>-240742.45600000001</v>
          </cell>
          <cell r="N15">
            <v>-237479.84</v>
          </cell>
          <cell r="O15">
            <v>-237464.06399999998</v>
          </cell>
          <cell r="P15">
            <v>-235618.73599999998</v>
          </cell>
          <cell r="Q15">
            <v>-234666.37599999999</v>
          </cell>
          <cell r="R15">
            <v>-233103.85599999997</v>
          </cell>
          <cell r="S15">
            <v>-231182.66399999999</v>
          </cell>
          <cell r="T15">
            <v>-226798.09599999999</v>
          </cell>
          <cell r="U15">
            <v>-226272.38399999996</v>
          </cell>
          <cell r="V15">
            <v>-250791.72767999995</v>
          </cell>
          <cell r="W15">
            <v>-248880.14891999998</v>
          </cell>
          <cell r="X15">
            <v>-248054.72951999996</v>
          </cell>
          <cell r="Y15">
            <v>-246570.59030396183</v>
          </cell>
          <cell r="Z15">
            <v>-243705.41958443145</v>
          </cell>
          <cell r="AA15">
            <v>-240194.73018138207</v>
          </cell>
          <cell r="AB15">
            <v>-239441.42681139824</v>
          </cell>
          <cell r="AC15">
            <v>-237848.80729479584</v>
          </cell>
          <cell r="AD15">
            <v>-236425.47349602013</v>
          </cell>
          <cell r="AE15">
            <v>-235607.94956172034</v>
          </cell>
          <cell r="AF15">
            <v>-246712.60006728658</v>
          </cell>
          <cell r="AG15">
            <v>-241550.75777287001</v>
          </cell>
          <cell r="AH15">
            <v>-260191.76374390861</v>
          </cell>
          <cell r="AI15">
            <v>-285346.80475920602</v>
          </cell>
          <cell r="AJ15">
            <v>-284842.28790553199</v>
          </cell>
          <cell r="AK15">
            <v>-282532.41697487398</v>
          </cell>
          <cell r="AL15">
            <v>-280827.20703624602</v>
          </cell>
          <cell r="AM15">
            <v>-278135.57225423539</v>
          </cell>
          <cell r="AN15">
            <v>-273217.00317791861</v>
          </cell>
          <cell r="AO15">
            <v>-272879.88926421601</v>
          </cell>
          <cell r="AP15">
            <v>-271143.49191531906</v>
          </cell>
          <cell r="AQ15">
            <v>-270729.61441301875</v>
          </cell>
          <cell r="AR15">
            <v>-269569.97773523262</v>
          </cell>
          <cell r="AS15">
            <v>-267128.12785579311</v>
          </cell>
          <cell r="AT15">
            <v>-264447.22949625348</v>
          </cell>
          <cell r="AU15">
            <v>-264066.56056469411</v>
          </cell>
          <cell r="AV15">
            <v>-288506.7635105754</v>
          </cell>
          <cell r="AW15">
            <v>-286316.73229070846</v>
          </cell>
          <cell r="AX15">
            <v>-285270.70598526526</v>
          </cell>
          <cell r="AY15">
            <v>-280762.50787003571</v>
          </cell>
          <cell r="AZ15">
            <v>-280653.91892534762</v>
          </cell>
          <cell r="BA15">
            <v>-279034.58769111853</v>
          </cell>
          <cell r="BB15">
            <v>-279122.15615166433</v>
          </cell>
          <cell r="BC15">
            <v>-277100.27622704394</v>
          </cell>
          <cell r="BD15">
            <v>-271688.69565863191</v>
          </cell>
          <cell r="BE15">
            <v>-271734.966243</v>
          </cell>
          <cell r="BF15">
            <v>-268399.78374300001</v>
          </cell>
          <cell r="BG15">
            <v>-263565.69474300003</v>
          </cell>
          <cell r="BH15">
            <v>-264074.43351057539</v>
          </cell>
          <cell r="BJ15">
            <v>-23085.279860000039</v>
          </cell>
          <cell r="BK15">
            <v>-13013.564399999945</v>
          </cell>
          <cell r="BL15">
            <v>-21377.919240000047</v>
          </cell>
          <cell r="BN15">
            <v>-21377.919240000047</v>
          </cell>
          <cell r="BO15">
            <v>-8394.2240000000165</v>
          </cell>
          <cell r="BP15">
            <v>-10179.695999999996</v>
          </cell>
          <cell r="BQ15">
            <v>-11764.720000000001</v>
          </cell>
          <cell r="BR15">
            <v>-13848.543999999994</v>
          </cell>
          <cell r="BS15">
            <v>-17111.160000000003</v>
          </cell>
          <cell r="BT15">
            <v>-17126.936000000016</v>
          </cell>
          <cell r="BU15">
            <v>-18972.264000000025</v>
          </cell>
          <cell r="BV15">
            <v>-19924.624000000011</v>
          </cell>
          <cell r="BW15">
            <v>-21487.144000000029</v>
          </cell>
          <cell r="BX15">
            <v>-23408.33600000001</v>
          </cell>
          <cell r="BY15">
            <v>-27792.90400000001</v>
          </cell>
          <cell r="BZ15">
            <v>-28318.616000000038</v>
          </cell>
          <cell r="CB15">
            <v>-1911.5787599999749</v>
          </cell>
          <cell r="CC15">
            <v>-2736.9981599999883</v>
          </cell>
          <cell r="CD15">
            <v>-4221.1373760381248</v>
          </cell>
          <cell r="CE15">
            <v>-7086.3080955685</v>
          </cell>
          <cell r="CF15">
            <v>-10596.997498617886</v>
          </cell>
          <cell r="CG15">
            <v>-11350.300868601713</v>
          </cell>
          <cell r="CH15">
            <v>-12942.92038520411</v>
          </cell>
          <cell r="CI15">
            <v>-14366.254183979821</v>
          </cell>
          <cell r="CJ15">
            <v>-15183.778118279617</v>
          </cell>
          <cell r="CK15">
            <v>-4079.1276127133751</v>
          </cell>
          <cell r="CL15">
            <v>-9240.9699071299401</v>
          </cell>
          <cell r="CM15">
            <v>9400.0360639086575</v>
          </cell>
        </row>
        <row r="17">
          <cell r="A17" t="str">
            <v>ACTIVOS INTERNOS NETOS</v>
          </cell>
          <cell r="C17">
            <v>141219.08501000001</v>
          </cell>
          <cell r="D17">
            <v>153988.57678999996</v>
          </cell>
          <cell r="E17">
            <v>165686.97469999999</v>
          </cell>
          <cell r="F17">
            <v>119177.20296</v>
          </cell>
          <cell r="G17">
            <v>125157.07226399999</v>
          </cell>
          <cell r="H17">
            <v>127604.51747199995</v>
          </cell>
          <cell r="I17">
            <v>131796.27979999996</v>
          </cell>
          <cell r="J17">
            <v>121226.095</v>
          </cell>
          <cell r="K17">
            <v>118826.23689999999</v>
          </cell>
          <cell r="L17">
            <v>96317.280900000012</v>
          </cell>
          <cell r="M17">
            <v>100641.08309999999</v>
          </cell>
          <cell r="N17">
            <v>101152.29609999995</v>
          </cell>
          <cell r="O17">
            <v>76390.609500000006</v>
          </cell>
          <cell r="P17">
            <v>73314.490299999947</v>
          </cell>
          <cell r="Q17">
            <v>72304.524400000038</v>
          </cell>
          <cell r="R17">
            <v>56403.573100000023</v>
          </cell>
          <cell r="S17">
            <v>83514.421200000012</v>
          </cell>
          <cell r="T17">
            <v>86379.837099999975</v>
          </cell>
          <cell r="U17">
            <v>68524.447399999946</v>
          </cell>
          <cell r="V17">
            <v>64375.216099999961</v>
          </cell>
          <cell r="W17">
            <v>84694.786379999976</v>
          </cell>
          <cell r="X17">
            <v>94432.066579999926</v>
          </cell>
          <cell r="Y17">
            <v>73536.777119081322</v>
          </cell>
          <cell r="Z17">
            <v>17207.871036755037</v>
          </cell>
          <cell r="AA17">
            <v>47190.955417436227</v>
          </cell>
          <cell r="AB17">
            <v>52123.83029850907</v>
          </cell>
          <cell r="AC17">
            <v>75009.879878549749</v>
          </cell>
          <cell r="AD17">
            <v>78008.97920548961</v>
          </cell>
          <cell r="AE17">
            <v>92039.881947004891</v>
          </cell>
          <cell r="AF17">
            <v>99701.979087992688</v>
          </cell>
          <cell r="AG17">
            <v>110427.39314715887</v>
          </cell>
          <cell r="AH17">
            <v>129404.83986339426</v>
          </cell>
          <cell r="AI17">
            <v>129911.26658244654</v>
          </cell>
          <cell r="AJ17">
            <v>123999.90117228641</v>
          </cell>
          <cell r="AK17">
            <v>107583.38623563873</v>
          </cell>
          <cell r="AL17">
            <v>85847.612021892943</v>
          </cell>
          <cell r="AM17">
            <v>58382.362938412378</v>
          </cell>
          <cell r="AN17">
            <v>-33264.254505433244</v>
          </cell>
          <cell r="AO17">
            <v>-39197.903439257891</v>
          </cell>
          <cell r="AP17">
            <v>-35916.334655058541</v>
          </cell>
          <cell r="AQ17">
            <v>-34983.995676309016</v>
          </cell>
          <cell r="AR17">
            <v>-17064.807371945266</v>
          </cell>
          <cell r="AS17">
            <v>-3374.2994080391945</v>
          </cell>
          <cell r="AT17">
            <v>-2031.6124181792838</v>
          </cell>
          <cell r="AU17">
            <v>-6588.8755246297806</v>
          </cell>
          <cell r="AV17">
            <v>-20550.820939018682</v>
          </cell>
          <cell r="AW17">
            <v>-27550.29697259012</v>
          </cell>
          <cell r="AX17">
            <v>-51541.732548200991</v>
          </cell>
          <cell r="AY17">
            <v>-47897.85913693608</v>
          </cell>
          <cell r="AZ17">
            <v>-36277.535765813504</v>
          </cell>
          <cell r="BA17">
            <v>12014.473749881843</v>
          </cell>
          <cell r="BB17">
            <v>-5640.3925627901626</v>
          </cell>
          <cell r="BC17">
            <v>-97924.925300695904</v>
          </cell>
          <cell r="BD17">
            <v>-83716.394822806615</v>
          </cell>
          <cell r="BE17">
            <v>-63680.859290999972</v>
          </cell>
          <cell r="BF17">
            <v>-62223.209953456157</v>
          </cell>
          <cell r="BG17">
            <v>-41194.226900745154</v>
          </cell>
          <cell r="BH17">
            <v>-12887.701914838253</v>
          </cell>
          <cell r="BJ17">
            <v>12769.491779999953</v>
          </cell>
          <cell r="BK17">
            <v>-46509.771739999996</v>
          </cell>
          <cell r="BL17">
            <v>2447.445207999961</v>
          </cell>
          <cell r="BN17">
            <v>2447.445207999961</v>
          </cell>
          <cell r="BO17">
            <v>-10570.184799999959</v>
          </cell>
          <cell r="BP17">
            <v>-12970.042899999971</v>
          </cell>
          <cell r="BQ17">
            <v>-35478.998899999948</v>
          </cell>
          <cell r="BR17">
            <v>-31155.196699999971</v>
          </cell>
          <cell r="BS17">
            <v>-30643.983700000012</v>
          </cell>
          <cell r="BT17">
            <v>-55405.670299999954</v>
          </cell>
          <cell r="BU17">
            <v>-58481.789500000014</v>
          </cell>
          <cell r="BV17">
            <v>-59491.755399999922</v>
          </cell>
          <cell r="BW17">
            <v>-75392.706699999937</v>
          </cell>
          <cell r="BX17">
            <v>-48281.858599999949</v>
          </cell>
          <cell r="BY17">
            <v>-45416.442699999985</v>
          </cell>
          <cell r="BZ17">
            <v>-63271.832400000014</v>
          </cell>
          <cell r="CB17">
            <v>20319.570280000014</v>
          </cell>
          <cell r="CC17">
            <v>30056.850479999965</v>
          </cell>
          <cell r="CD17">
            <v>9161.5610190813604</v>
          </cell>
          <cell r="CE17">
            <v>-47167.345063244924</v>
          </cell>
          <cell r="CF17">
            <v>-17184.260682563734</v>
          </cell>
          <cell r="CG17">
            <v>-12251.385801490891</v>
          </cell>
          <cell r="CH17">
            <v>10634.663778549788</v>
          </cell>
          <cell r="CI17">
            <v>13633.763105489648</v>
          </cell>
          <cell r="CJ17">
            <v>27664.66584700493</v>
          </cell>
          <cell r="CK17">
            <v>35326.762987992726</v>
          </cell>
          <cell r="CL17">
            <v>46052.177047158912</v>
          </cell>
          <cell r="CM17">
            <v>65029.623763394295</v>
          </cell>
        </row>
        <row r="18">
          <cell r="A18" t="str">
            <v xml:space="preserve">   Crédito neto Gobierno</v>
          </cell>
          <cell r="C18">
            <v>1677.2087699999997</v>
          </cell>
          <cell r="D18">
            <v>17867.198970000001</v>
          </cell>
          <cell r="E18">
            <v>17739.750450000003</v>
          </cell>
          <cell r="F18">
            <v>13578.650663999995</v>
          </cell>
          <cell r="G18">
            <v>10778.866568000005</v>
          </cell>
          <cell r="H18">
            <v>155028.95031999995</v>
          </cell>
          <cell r="I18">
            <v>158986.37179999999</v>
          </cell>
          <cell r="J18">
            <v>157985.95097999999</v>
          </cell>
          <cell r="K18">
            <v>163077.17498000001</v>
          </cell>
          <cell r="L18">
            <v>158759.46894999998</v>
          </cell>
          <cell r="M18">
            <v>185520.58402000001</v>
          </cell>
          <cell r="N18">
            <v>199023.65099999998</v>
          </cell>
          <cell r="O18">
            <v>217617.27305000002</v>
          </cell>
          <cell r="P18">
            <v>245812.19893000007</v>
          </cell>
          <cell r="Q18">
            <v>281893.49103000003</v>
          </cell>
          <cell r="R18">
            <v>298335.25599000003</v>
          </cell>
          <cell r="S18">
            <v>308033.43504000001</v>
          </cell>
          <cell r="T18">
            <v>300098.92494</v>
          </cell>
          <cell r="U18">
            <v>280911.95105999999</v>
          </cell>
          <cell r="V18">
            <v>284051.68566000002</v>
          </cell>
          <cell r="W18">
            <v>292363.39328000008</v>
          </cell>
          <cell r="X18">
            <v>302686.64824000007</v>
          </cell>
          <cell r="Y18">
            <v>307767.6416082544</v>
          </cell>
          <cell r="Z18">
            <v>262914.03569124721</v>
          </cell>
          <cell r="AA18">
            <v>317759.30501968187</v>
          </cell>
          <cell r="AB18">
            <v>326939.87113124476</v>
          </cell>
          <cell r="AC18">
            <v>327966.8476630334</v>
          </cell>
          <cell r="AD18">
            <v>333114.71513855812</v>
          </cell>
          <cell r="AE18">
            <v>337264.46131354489</v>
          </cell>
          <cell r="AF18">
            <v>338826.51720059779</v>
          </cell>
          <cell r="AG18">
            <v>321857.60899552354</v>
          </cell>
          <cell r="AH18">
            <v>330351.53931385005</v>
          </cell>
          <cell r="AI18">
            <v>333394.73940265365</v>
          </cell>
          <cell r="AJ18">
            <v>343518.23233915353</v>
          </cell>
          <cell r="AK18">
            <v>344167.48801379808</v>
          </cell>
          <cell r="AL18">
            <v>337715.89903981745</v>
          </cell>
          <cell r="AM18">
            <v>353597.61171976652</v>
          </cell>
          <cell r="AN18">
            <v>291095.34080435132</v>
          </cell>
          <cell r="AO18">
            <v>317552.85242529708</v>
          </cell>
          <cell r="AP18">
            <v>322264.98886590521</v>
          </cell>
          <cell r="AQ18">
            <v>334891.62730970606</v>
          </cell>
          <cell r="AR18">
            <v>343691.2125478739</v>
          </cell>
          <cell r="AS18">
            <v>346335.72854858794</v>
          </cell>
          <cell r="AT18">
            <v>262145.44965546537</v>
          </cell>
          <cell r="AU18">
            <v>232245.3017285236</v>
          </cell>
          <cell r="AV18">
            <v>236739.78997027734</v>
          </cell>
          <cell r="AW18">
            <v>262806.25818959635</v>
          </cell>
          <cell r="AX18">
            <v>296270.64263965702</v>
          </cell>
          <cell r="AY18">
            <v>299142.74407100509</v>
          </cell>
          <cell r="AZ18">
            <v>297443.29897397966</v>
          </cell>
          <cell r="BA18">
            <v>316319.79476631864</v>
          </cell>
          <cell r="BB18">
            <v>322180.77941183164</v>
          </cell>
          <cell r="BC18">
            <v>249799.23787481507</v>
          </cell>
          <cell r="BD18">
            <v>246608.79031923239</v>
          </cell>
          <cell r="BE18">
            <v>239575.23801600002</v>
          </cell>
          <cell r="BF18">
            <v>235139.01249194617</v>
          </cell>
          <cell r="BG18">
            <v>179662.83171039232</v>
          </cell>
          <cell r="BH18">
            <v>106124.45764244042</v>
          </cell>
          <cell r="BJ18">
            <v>16189.990200000002</v>
          </cell>
          <cell r="BK18">
            <v>-4161.099786000008</v>
          </cell>
          <cell r="BL18">
            <v>144250.08375199995</v>
          </cell>
          <cell r="BN18">
            <v>144250.08375199995</v>
          </cell>
          <cell r="BO18">
            <v>-1000.4208199999994</v>
          </cell>
          <cell r="BP18">
            <v>4090.8031800000172</v>
          </cell>
          <cell r="BQ18">
            <v>-226.90285000001313</v>
          </cell>
          <cell r="BR18">
            <v>26534.212220000016</v>
          </cell>
          <cell r="BS18">
            <v>40037.27919999999</v>
          </cell>
          <cell r="BT18">
            <v>58630.901250000024</v>
          </cell>
          <cell r="BU18">
            <v>86825.827130000078</v>
          </cell>
          <cell r="BV18">
            <v>122907.11923000004</v>
          </cell>
          <cell r="BW18">
            <v>139348.88419000004</v>
          </cell>
          <cell r="BX18">
            <v>149047.06324000002</v>
          </cell>
          <cell r="BY18">
            <v>141112.55314</v>
          </cell>
          <cell r="BZ18">
            <v>121925.57926</v>
          </cell>
          <cell r="CB18">
            <v>8311.7076200000593</v>
          </cell>
          <cell r="CC18">
            <v>18634.96258000005</v>
          </cell>
          <cell r="CD18">
            <v>23715.955948254385</v>
          </cell>
          <cell r="CE18">
            <v>-21137.649968752812</v>
          </cell>
          <cell r="CF18">
            <v>33707.619359681848</v>
          </cell>
          <cell r="CG18">
            <v>42888.185471244738</v>
          </cell>
          <cell r="CH18">
            <v>43915.162003033387</v>
          </cell>
          <cell r="CI18">
            <v>49063.029478558106</v>
          </cell>
          <cell r="CJ18">
            <v>53212.775653544872</v>
          </cell>
          <cell r="CK18">
            <v>54774.831540597777</v>
          </cell>
          <cell r="CL18">
            <v>37805.923335523519</v>
          </cell>
          <cell r="CM18">
            <v>46299.853653850034</v>
          </cell>
        </row>
        <row r="19">
          <cell r="A19" t="str">
            <v xml:space="preserve">     del cual: Dep. del Gob.subasta conjunta</v>
          </cell>
          <cell r="C19">
            <v>0</v>
          </cell>
          <cell r="D19">
            <v>0</v>
          </cell>
          <cell r="E19">
            <v>0</v>
          </cell>
          <cell r="F19">
            <v>0</v>
          </cell>
          <cell r="G19">
            <v>0</v>
          </cell>
          <cell r="H19">
            <v>-77092.924199999994</v>
          </cell>
          <cell r="I19">
            <v>-77092.924199999994</v>
          </cell>
          <cell r="J19">
            <v>-88290</v>
          </cell>
          <cell r="K19">
            <v>-93218</v>
          </cell>
          <cell r="L19">
            <v>-112334</v>
          </cell>
          <cell r="M19">
            <v>-95344</v>
          </cell>
          <cell r="N19">
            <v>-81910</v>
          </cell>
          <cell r="O19">
            <v>-62976</v>
          </cell>
          <cell r="P19">
            <v>-40088</v>
          </cell>
          <cell r="Q19">
            <v>-21358</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J19">
            <v>0</v>
          </cell>
          <cell r="BK19">
            <v>0</v>
          </cell>
          <cell r="BL19">
            <v>-77092.924199999994</v>
          </cell>
          <cell r="BN19">
            <v>77092.924199999994</v>
          </cell>
          <cell r="BO19">
            <v>11197.075800000006</v>
          </cell>
          <cell r="BP19">
            <v>16125.075800000006</v>
          </cell>
          <cell r="BQ19">
            <v>35241.075800000006</v>
          </cell>
          <cell r="BR19">
            <v>18251.075800000006</v>
          </cell>
          <cell r="BS19">
            <v>4817.075800000006</v>
          </cell>
          <cell r="BT19">
            <v>-14116.924199999994</v>
          </cell>
          <cell r="BU19">
            <v>-37004.924199999994</v>
          </cell>
          <cell r="BV19">
            <v>-55734.924199999994</v>
          </cell>
          <cell r="BW19">
            <v>-77092.924199999994</v>
          </cell>
          <cell r="BX19">
            <v>-77092.924199999994</v>
          </cell>
          <cell r="BY19">
            <v>-77092.924199999994</v>
          </cell>
          <cell r="BZ19">
            <v>-77092.924199999994</v>
          </cell>
          <cell r="CB19">
            <v>0</v>
          </cell>
          <cell r="CC19">
            <v>0</v>
          </cell>
          <cell r="CD19">
            <v>0</v>
          </cell>
          <cell r="CE19">
            <v>0</v>
          </cell>
          <cell r="CF19">
            <v>0</v>
          </cell>
          <cell r="CG19">
            <v>0</v>
          </cell>
          <cell r="CH19">
            <v>0</v>
          </cell>
          <cell r="CI19">
            <v>0</v>
          </cell>
          <cell r="CJ19">
            <v>0</v>
          </cell>
          <cell r="CK19">
            <v>0</v>
          </cell>
          <cell r="CL19">
            <v>0</v>
          </cell>
          <cell r="CM19">
            <v>0</v>
          </cell>
        </row>
        <row r="20">
          <cell r="A20" t="str">
            <v xml:space="preserve">   Crédito neto SPNF</v>
          </cell>
          <cell r="C20">
            <v>30884.244269999996</v>
          </cell>
          <cell r="D20">
            <v>23218.370119999996</v>
          </cell>
          <cell r="E20">
            <v>25055.881639999996</v>
          </cell>
          <cell r="F20">
            <v>18683.864619999997</v>
          </cell>
          <cell r="G20">
            <v>20432.270860000001</v>
          </cell>
          <cell r="H20">
            <v>26165.081599999998</v>
          </cell>
          <cell r="I20">
            <v>27635.187040000001</v>
          </cell>
          <cell r="J20">
            <v>27467.448079999998</v>
          </cell>
          <cell r="K20">
            <v>27300.59604</v>
          </cell>
          <cell r="L20">
            <v>11168.026039999999</v>
          </cell>
          <cell r="M20">
            <v>9307.5150599999979</v>
          </cell>
          <cell r="N20">
            <v>9151.2280200000005</v>
          </cell>
          <cell r="O20">
            <v>9169.6591000000008</v>
          </cell>
          <cell r="P20">
            <v>8594.3600200000001</v>
          </cell>
          <cell r="Q20">
            <v>9039.8790399999998</v>
          </cell>
          <cell r="R20">
            <v>8932.9730199999995</v>
          </cell>
          <cell r="S20">
            <v>9074.131040000002</v>
          </cell>
          <cell r="T20">
            <v>8765.8040199999996</v>
          </cell>
          <cell r="U20">
            <v>9351.0690600000016</v>
          </cell>
          <cell r="V20">
            <v>10116.732899999999</v>
          </cell>
          <cell r="W20">
            <v>9839.4905800000015</v>
          </cell>
          <cell r="X20">
            <v>9471.2375199999988</v>
          </cell>
          <cell r="Y20">
            <v>9821.6825495421472</v>
          </cell>
          <cell r="Z20">
            <v>9547.1771905767982</v>
          </cell>
          <cell r="AA20">
            <v>9877.3127326157246</v>
          </cell>
          <cell r="AB20">
            <v>9920.5689687923368</v>
          </cell>
          <cell r="AC20">
            <v>9903.1336351867212</v>
          </cell>
          <cell r="AD20">
            <v>9886.2351946470153</v>
          </cell>
          <cell r="AE20">
            <v>2869.125591251719</v>
          </cell>
          <cell r="AF20">
            <v>-20360.6568577252</v>
          </cell>
          <cell r="AG20">
            <v>-22178.963071034603</v>
          </cell>
          <cell r="AH20">
            <v>-23186.071272198205</v>
          </cell>
          <cell r="AI20">
            <v>-22440.052470139999</v>
          </cell>
          <cell r="AJ20">
            <v>-26310.952893560003</v>
          </cell>
          <cell r="AK20">
            <v>-16408.01789024</v>
          </cell>
          <cell r="AL20">
            <v>-16971.717627190003</v>
          </cell>
          <cell r="AM20">
            <v>-18668.606093018654</v>
          </cell>
          <cell r="AN20">
            <v>-17248.593323259538</v>
          </cell>
          <cell r="AO20">
            <v>-17390.868831560001</v>
          </cell>
          <cell r="AP20">
            <v>-18479.793802239492</v>
          </cell>
          <cell r="AQ20">
            <v>-18705.506791550382</v>
          </cell>
          <cell r="AR20">
            <v>-19789.922732088708</v>
          </cell>
          <cell r="AS20">
            <v>-20978.570766998651</v>
          </cell>
          <cell r="AT20">
            <v>-24950.445942840775</v>
          </cell>
          <cell r="AU20">
            <v>-23725.695272158555</v>
          </cell>
          <cell r="AV20">
            <v>-23060.776458382898</v>
          </cell>
          <cell r="AW20">
            <v>-18991.98774052989</v>
          </cell>
          <cell r="AX20">
            <v>-21455.155212611098</v>
          </cell>
          <cell r="AY20">
            <v>-23304.253723443944</v>
          </cell>
          <cell r="AZ20">
            <v>-31002.022326107217</v>
          </cell>
          <cell r="BA20">
            <v>-41502.006099681901</v>
          </cell>
          <cell r="BB20">
            <v>-45155.768777640988</v>
          </cell>
          <cell r="BC20">
            <v>-45515.314021515871</v>
          </cell>
          <cell r="BD20">
            <v>-52421.955306596006</v>
          </cell>
          <cell r="BE20">
            <v>-53797.403335999988</v>
          </cell>
          <cell r="BF20">
            <v>-50263.956211902085</v>
          </cell>
          <cell r="BG20">
            <v>-50269.952659106813</v>
          </cell>
          <cell r="BH20">
            <v>-45956.584714093638</v>
          </cell>
          <cell r="BJ20">
            <v>-7665.8741499999996</v>
          </cell>
          <cell r="BK20">
            <v>-6372.0170199999993</v>
          </cell>
          <cell r="BL20">
            <v>5732.8107399999972</v>
          </cell>
          <cell r="BN20">
            <v>5732.8107399999972</v>
          </cell>
          <cell r="BO20">
            <v>-167.73896000000241</v>
          </cell>
          <cell r="BP20">
            <v>-334.59100000000035</v>
          </cell>
          <cell r="BQ20">
            <v>-16467.161</v>
          </cell>
          <cell r="BR20">
            <v>-18327.671980000003</v>
          </cell>
          <cell r="BS20">
            <v>-18483.959020000002</v>
          </cell>
          <cell r="BT20">
            <v>-18465.52794</v>
          </cell>
          <cell r="BU20">
            <v>-19040.827020000001</v>
          </cell>
          <cell r="BV20">
            <v>-18595.308000000001</v>
          </cell>
          <cell r="BW20">
            <v>-18702.214019999999</v>
          </cell>
          <cell r="BX20">
            <v>-18561.055999999997</v>
          </cell>
          <cell r="BY20">
            <v>-18869.383020000001</v>
          </cell>
          <cell r="BZ20">
            <v>-18284.117979999999</v>
          </cell>
          <cell r="CB20">
            <v>-277.24231999999756</v>
          </cell>
          <cell r="CC20">
            <v>-645.4953800000003</v>
          </cell>
          <cell r="CD20">
            <v>-295.05035045785189</v>
          </cell>
          <cell r="CE20">
            <v>-569.55570942320082</v>
          </cell>
          <cell r="CF20">
            <v>-239.42016738427446</v>
          </cell>
          <cell r="CG20">
            <v>-196.16393120766224</v>
          </cell>
          <cell r="CH20">
            <v>-213.59926481327784</v>
          </cell>
          <cell r="CI20">
            <v>-230.49770535298376</v>
          </cell>
          <cell r="CJ20">
            <v>-7247.60730874828</v>
          </cell>
          <cell r="CK20">
            <v>-30477.389757725199</v>
          </cell>
          <cell r="CL20">
            <v>-32295.695971034602</v>
          </cell>
          <cell r="CM20">
            <v>-33302.804172198201</v>
          </cell>
        </row>
        <row r="21">
          <cell r="A21" t="str">
            <v xml:space="preserve">   Posición neta bancos</v>
          </cell>
          <cell r="C21">
            <v>-47329.308280000005</v>
          </cell>
          <cell r="D21">
            <v>-47491.659400000004</v>
          </cell>
          <cell r="E21">
            <v>-46821.033100000008</v>
          </cell>
          <cell r="F21">
            <v>-103826.25647000001</v>
          </cell>
          <cell r="G21">
            <v>-103116.27879</v>
          </cell>
          <cell r="H21">
            <v>-111495.80262</v>
          </cell>
          <cell r="I21">
            <v>-111066.65362</v>
          </cell>
          <cell r="J21">
            <v>-114129.04229399998</v>
          </cell>
          <cell r="K21">
            <v>-112426.277242</v>
          </cell>
          <cell r="L21">
            <v>-113852.71376</v>
          </cell>
          <cell r="M21">
            <v>-104960.69211999999</v>
          </cell>
          <cell r="N21">
            <v>-100378.05945599999</v>
          </cell>
          <cell r="O21">
            <v>-111622.14826</v>
          </cell>
          <cell r="P21">
            <v>-113915.047374</v>
          </cell>
          <cell r="Q21">
            <v>-109842.56989900001</v>
          </cell>
          <cell r="R21">
            <v>-125471.64399700001</v>
          </cell>
          <cell r="S21">
            <v>-123181.83666</v>
          </cell>
          <cell r="T21">
            <v>-143222.136444</v>
          </cell>
          <cell r="U21">
            <v>-145259.84040800002</v>
          </cell>
          <cell r="V21">
            <v>-144893.72658799999</v>
          </cell>
          <cell r="W21">
            <v>-130118.62229999999</v>
          </cell>
          <cell r="X21">
            <v>-116393.23983999999</v>
          </cell>
          <cell r="Y21">
            <v>-103952.2384498796</v>
          </cell>
          <cell r="Z21">
            <v>-105299.1350596166</v>
          </cell>
          <cell r="AA21">
            <v>-117429.069686599</v>
          </cell>
          <cell r="AB21">
            <v>-122142.32325832421</v>
          </cell>
          <cell r="AC21">
            <v>-121368.2266365582</v>
          </cell>
          <cell r="AD21">
            <v>-119065.97948689501</v>
          </cell>
          <cell r="AE21">
            <v>-124173.22408659401</v>
          </cell>
          <cell r="AF21">
            <v>-115649.48182360039</v>
          </cell>
          <cell r="AG21">
            <v>-129010.30839809231</v>
          </cell>
          <cell r="AH21">
            <v>-126989.57581864319</v>
          </cell>
          <cell r="AI21">
            <v>-126631.66552555999</v>
          </cell>
          <cell r="AJ21">
            <v>-125959.98131644</v>
          </cell>
          <cell r="AK21">
            <v>-123589.16826303002</v>
          </cell>
          <cell r="AL21">
            <v>-123601.64962724</v>
          </cell>
          <cell r="AM21">
            <v>-144306.79146705</v>
          </cell>
          <cell r="AN21">
            <v>-150427.48410169</v>
          </cell>
          <cell r="AO21">
            <v>-164082.61111016999</v>
          </cell>
          <cell r="AP21">
            <v>-165423.0839274</v>
          </cell>
          <cell r="AQ21">
            <v>-183054.37793588999</v>
          </cell>
          <cell r="AR21">
            <v>-191685.84000155001</v>
          </cell>
          <cell r="AS21">
            <v>-208371.84669234001</v>
          </cell>
          <cell r="AT21">
            <v>-223746.25239365999</v>
          </cell>
          <cell r="AU21">
            <v>-206080.58504491989</v>
          </cell>
          <cell r="AV21">
            <v>-205744.04695814289</v>
          </cell>
          <cell r="AW21">
            <v>-214483.33584824298</v>
          </cell>
          <cell r="AX21">
            <v>-222417.84283180599</v>
          </cell>
          <cell r="AY21">
            <v>-221370.95068218099</v>
          </cell>
          <cell r="AZ21">
            <v>-233989.110123155</v>
          </cell>
          <cell r="BA21">
            <v>-217622.65478322399</v>
          </cell>
          <cell r="BB21">
            <v>-241221.18437297601</v>
          </cell>
          <cell r="BC21">
            <v>-245344.045361066</v>
          </cell>
          <cell r="BD21">
            <v>-265471.09314667596</v>
          </cell>
          <cell r="BE21">
            <v>-257585.95073930002</v>
          </cell>
          <cell r="BF21">
            <v>-210626.61307706212</v>
          </cell>
          <cell r="BG21">
            <v>-225137.64760960889</v>
          </cell>
          <cell r="BH21">
            <v>-214511.50317132767</v>
          </cell>
          <cell r="BJ21">
            <v>162.35111999999936</v>
          </cell>
          <cell r="BK21">
            <v>57005.22337</v>
          </cell>
          <cell r="BL21">
            <v>8379.5238300000055</v>
          </cell>
          <cell r="BN21">
            <v>8379.5238300000055</v>
          </cell>
          <cell r="BO21">
            <v>3062.3886739999871</v>
          </cell>
          <cell r="BP21">
            <v>1359.6236219999992</v>
          </cell>
          <cell r="BQ21">
            <v>2786.0601400000014</v>
          </cell>
          <cell r="BR21">
            <v>-6105.9615000000049</v>
          </cell>
          <cell r="BS21">
            <v>-10688.594164000009</v>
          </cell>
          <cell r="BT21">
            <v>555.49464000000444</v>
          </cell>
          <cell r="BU21">
            <v>2848.3937540000043</v>
          </cell>
          <cell r="BV21">
            <v>-1224.0837209999881</v>
          </cell>
          <cell r="BW21">
            <v>14404.990377000009</v>
          </cell>
          <cell r="BX21">
            <v>12115.183040000004</v>
          </cell>
          <cell r="BY21">
            <v>32155.482824000006</v>
          </cell>
          <cell r="BZ21">
            <v>34193.186788000021</v>
          </cell>
          <cell r="CB21">
            <v>-14775.104288000002</v>
          </cell>
          <cell r="CC21">
            <v>-28500.486747999996</v>
          </cell>
          <cell r="CD21">
            <v>-40941.488138120389</v>
          </cell>
          <cell r="CE21">
            <v>-39594.591528383389</v>
          </cell>
          <cell r="CF21">
            <v>-27464.656901400987</v>
          </cell>
          <cell r="CG21">
            <v>-22751.403329675784</v>
          </cell>
          <cell r="CH21">
            <v>-23525.499951441787</v>
          </cell>
          <cell r="CI21">
            <v>-25827.747101104978</v>
          </cell>
          <cell r="CJ21">
            <v>-20720.502501405979</v>
          </cell>
          <cell r="CK21">
            <v>-29244.244764399598</v>
          </cell>
          <cell r="CL21">
            <v>-15883.418189907679</v>
          </cell>
          <cell r="CM21">
            <v>-17904.150769356798</v>
          </cell>
        </row>
        <row r="22">
          <cell r="A22" t="str">
            <v xml:space="preserve">      Crédito</v>
          </cell>
          <cell r="C22">
            <v>18867.039919999999</v>
          </cell>
          <cell r="D22">
            <v>46702.828699999998</v>
          </cell>
          <cell r="E22">
            <v>47373.454999999994</v>
          </cell>
          <cell r="F22">
            <v>14364.48013</v>
          </cell>
          <cell r="G22">
            <v>15074.45781</v>
          </cell>
          <cell r="H22">
            <v>11530.089980000001</v>
          </cell>
          <cell r="I22">
            <v>11959.23898</v>
          </cell>
          <cell r="J22">
            <v>11822.81394</v>
          </cell>
          <cell r="K22">
            <v>11694.076949999999</v>
          </cell>
          <cell r="L22">
            <v>11567.485000000001</v>
          </cell>
          <cell r="M22">
            <v>11482.532000000001</v>
          </cell>
          <cell r="N22">
            <v>11243.73797</v>
          </cell>
          <cell r="O22">
            <v>10685.22695</v>
          </cell>
          <cell r="P22">
            <v>10596.534960000001</v>
          </cell>
          <cell r="Q22">
            <v>10682.98792</v>
          </cell>
          <cell r="R22">
            <v>10603.394979999999</v>
          </cell>
          <cell r="S22">
            <v>10455.999960000001</v>
          </cell>
          <cell r="T22">
            <v>10233.39896</v>
          </cell>
          <cell r="U22">
            <v>9961.494999999999</v>
          </cell>
          <cell r="V22">
            <v>10327.608819999999</v>
          </cell>
          <cell r="W22">
            <v>10271.736500000001</v>
          </cell>
          <cell r="X22">
            <v>10139.34296</v>
          </cell>
          <cell r="Y22">
            <v>10092.3208381604</v>
          </cell>
          <cell r="Z22">
            <v>10256.3841211734</v>
          </cell>
          <cell r="AA22">
            <v>9999.3878837410011</v>
          </cell>
          <cell r="AB22">
            <v>9424.3802778558002</v>
          </cell>
          <cell r="AC22">
            <v>9457.7565765217987</v>
          </cell>
          <cell r="AD22">
            <v>9973.427455735</v>
          </cell>
          <cell r="AE22">
            <v>9703.8726013960004</v>
          </cell>
          <cell r="AF22">
            <v>9262.7739409496007</v>
          </cell>
          <cell r="AG22">
            <v>9079.5128640976</v>
          </cell>
          <cell r="AH22">
            <v>8826.5887951168006</v>
          </cell>
          <cell r="AI22">
            <v>9184.4990882000002</v>
          </cell>
          <cell r="AJ22">
            <v>9138.9626925499997</v>
          </cell>
          <cell r="AK22">
            <v>9000.2440629599987</v>
          </cell>
          <cell r="AL22">
            <v>8592.1078198499999</v>
          </cell>
          <cell r="AM22">
            <v>8582.4769732599998</v>
          </cell>
          <cell r="AN22">
            <v>9039.2073122199999</v>
          </cell>
          <cell r="AO22">
            <v>8533.5817989399984</v>
          </cell>
          <cell r="AP22">
            <v>8494.7052439799991</v>
          </cell>
          <cell r="AQ22">
            <v>8493.0770345599994</v>
          </cell>
          <cell r="AR22">
            <v>8435.2729648200002</v>
          </cell>
          <cell r="AS22">
            <v>8370.6312397700003</v>
          </cell>
          <cell r="AT22">
            <v>8123.5309896900008</v>
          </cell>
          <cell r="AU22">
            <v>7823.3490562999996</v>
          </cell>
          <cell r="AV22">
            <v>8159.8871430769996</v>
          </cell>
          <cell r="AW22">
            <v>8192.7959644570001</v>
          </cell>
          <cell r="AX22">
            <v>8078.3481122840003</v>
          </cell>
          <cell r="AY22">
            <v>9432.5672496690004</v>
          </cell>
          <cell r="AZ22">
            <v>4631.8622281050002</v>
          </cell>
          <cell r="BA22">
            <v>4564.5173168460005</v>
          </cell>
          <cell r="BB22">
            <v>8509.8984136540003</v>
          </cell>
          <cell r="BC22">
            <v>5373.9592954039999</v>
          </cell>
          <cell r="BD22">
            <v>4120.7339143040008</v>
          </cell>
          <cell r="BE22">
            <v>4118.9485736999995</v>
          </cell>
          <cell r="BF22">
            <v>4108.8964738866671</v>
          </cell>
          <cell r="BG22">
            <v>4100.9112287091666</v>
          </cell>
          <cell r="BH22">
            <v>4126.3000047019996</v>
          </cell>
          <cell r="BJ22">
            <v>27835.788779999999</v>
          </cell>
          <cell r="BK22">
            <v>-33008.974869999991</v>
          </cell>
          <cell r="BL22">
            <v>-3544.3678299999992</v>
          </cell>
          <cell r="BN22">
            <v>-3544.3678299999992</v>
          </cell>
          <cell r="BO22">
            <v>-136.42504000000008</v>
          </cell>
          <cell r="BP22">
            <v>-265.16203000000132</v>
          </cell>
          <cell r="BQ22">
            <v>-391.7539799999995</v>
          </cell>
          <cell r="BR22">
            <v>-476.70697999999902</v>
          </cell>
          <cell r="BS22">
            <v>-715.50100999999995</v>
          </cell>
          <cell r="BT22">
            <v>-1274.0120299999999</v>
          </cell>
          <cell r="BU22">
            <v>-1362.7040199999992</v>
          </cell>
          <cell r="BV22">
            <v>-1276.2510600000005</v>
          </cell>
          <cell r="BW22">
            <v>-1355.844000000001</v>
          </cell>
          <cell r="BX22">
            <v>-1503.2390199999991</v>
          </cell>
          <cell r="BY22">
            <v>-1725.8400199999996</v>
          </cell>
          <cell r="BZ22">
            <v>-1997.7439800000011</v>
          </cell>
          <cell r="CB22">
            <v>-55.872319999998581</v>
          </cell>
          <cell r="CC22">
            <v>-188.26585999999952</v>
          </cell>
          <cell r="CD22">
            <v>-235.28798183959952</v>
          </cell>
          <cell r="CE22">
            <v>-71.224698826599706</v>
          </cell>
          <cell r="CF22">
            <v>-328.22093625899834</v>
          </cell>
          <cell r="CG22">
            <v>-903.22854214419931</v>
          </cell>
          <cell r="CH22">
            <v>-869.85224347820076</v>
          </cell>
          <cell r="CI22">
            <v>-354.1813642649995</v>
          </cell>
          <cell r="CJ22">
            <v>-623.73621860399908</v>
          </cell>
          <cell r="CK22">
            <v>-1064.8348790503987</v>
          </cell>
          <cell r="CL22">
            <v>-1248.0959559023995</v>
          </cell>
          <cell r="CM22">
            <v>-1501.0200248831989</v>
          </cell>
        </row>
        <row r="23">
          <cell r="A23" t="str">
            <v xml:space="preserve">      Depósitos m/n</v>
          </cell>
          <cell r="C23">
            <v>-49966.51</v>
          </cell>
          <cell r="D23">
            <v>-64632.557000000001</v>
          </cell>
          <cell r="E23">
            <v>-64632.557000000001</v>
          </cell>
          <cell r="F23">
            <v>-49363.409</v>
          </cell>
          <cell r="G23">
            <v>-49363.409</v>
          </cell>
          <cell r="H23">
            <v>-44326.845000000001</v>
          </cell>
          <cell r="I23">
            <v>-44326.845000000001</v>
          </cell>
          <cell r="J23">
            <v>-45976.341999999997</v>
          </cell>
          <cell r="K23">
            <v>-43482.101999999999</v>
          </cell>
          <cell r="L23">
            <v>-53508.445</v>
          </cell>
          <cell r="M23">
            <v>-48418.48</v>
          </cell>
          <cell r="N23">
            <v>-40274.635999999999</v>
          </cell>
          <cell r="O23">
            <v>-58227.385999999999</v>
          </cell>
          <cell r="P23">
            <v>-49596.436000000002</v>
          </cell>
          <cell r="Q23">
            <v>-71948.070000000007</v>
          </cell>
          <cell r="R23">
            <v>-52314.449000000001</v>
          </cell>
          <cell r="S23">
            <v>-43906.603999999999</v>
          </cell>
          <cell r="T23">
            <v>-55496.593999999997</v>
          </cell>
          <cell r="U23">
            <v>-49219.383000000002</v>
          </cell>
          <cell r="V23">
            <v>-49219.383000000002</v>
          </cell>
          <cell r="W23">
            <v>-56187.514999999999</v>
          </cell>
          <cell r="X23">
            <v>-62576.163999999997</v>
          </cell>
          <cell r="Y23">
            <v>-40319.337697039999</v>
          </cell>
          <cell r="Z23">
            <v>-68647.985951790004</v>
          </cell>
          <cell r="AA23">
            <v>-76376.584560339994</v>
          </cell>
          <cell r="AB23">
            <v>-77666.350220199995</v>
          </cell>
          <cell r="AC23">
            <v>-66526.409400279997</v>
          </cell>
          <cell r="AD23">
            <v>-70711.487982830004</v>
          </cell>
          <cell r="AE23">
            <v>-83070.513301190003</v>
          </cell>
          <cell r="AF23">
            <v>-81721.278380749995</v>
          </cell>
          <cell r="AG23">
            <v>-85465.880223959903</v>
          </cell>
          <cell r="AH23">
            <v>-77558.053398909993</v>
          </cell>
          <cell r="AI23">
            <v>-77558.053398909993</v>
          </cell>
          <cell r="AJ23">
            <v>-90097.503365490003</v>
          </cell>
          <cell r="AK23">
            <v>-85787.025936410006</v>
          </cell>
          <cell r="AL23">
            <v>-80766.643528410001</v>
          </cell>
          <cell r="AM23">
            <v>-100937.34730931</v>
          </cell>
          <cell r="AN23">
            <v>-92856.766543909995</v>
          </cell>
          <cell r="AO23">
            <v>-91528.256683109998</v>
          </cell>
          <cell r="AP23">
            <v>-93337.038017379993</v>
          </cell>
          <cell r="AQ23">
            <v>-95989.347983450003</v>
          </cell>
          <cell r="AR23">
            <v>-97404.206751370002</v>
          </cell>
          <cell r="AS23">
            <v>-103045.96892111</v>
          </cell>
          <cell r="AT23">
            <v>-90171.200429350007</v>
          </cell>
          <cell r="AU23">
            <v>-44067.105451219897</v>
          </cell>
          <cell r="AV23">
            <v>-44067.105451219897</v>
          </cell>
          <cell r="AW23">
            <v>-107826.63220769999</v>
          </cell>
          <cell r="AX23">
            <v>-103578.60906808999</v>
          </cell>
          <cell r="AY23">
            <v>-91645.781390849996</v>
          </cell>
          <cell r="AZ23">
            <v>-86870.433910260006</v>
          </cell>
          <cell r="BA23">
            <v>-81164.289806069995</v>
          </cell>
          <cell r="BB23">
            <v>-91151.210674629998</v>
          </cell>
          <cell r="BC23">
            <v>-91351.194809470006</v>
          </cell>
          <cell r="BD23">
            <v>-92145.827060979995</v>
          </cell>
          <cell r="BE23">
            <v>-98820.199313000005</v>
          </cell>
          <cell r="BF23">
            <v>-81669.943928333378</v>
          </cell>
          <cell r="BG23">
            <v>-84791.197485152254</v>
          </cell>
          <cell r="BH23">
            <v>-86149.375162330121</v>
          </cell>
          <cell r="BJ23">
            <v>14666.046999999999</v>
          </cell>
          <cell r="BK23">
            <v>-15269.148000000001</v>
          </cell>
          <cell r="BL23">
            <v>-5036.5639999999985</v>
          </cell>
          <cell r="BN23">
            <v>-5036.5639999999985</v>
          </cell>
          <cell r="BO23">
            <v>1649.4969999999958</v>
          </cell>
          <cell r="BP23">
            <v>-844.74300000000221</v>
          </cell>
          <cell r="BQ23">
            <v>9181.5999999999985</v>
          </cell>
          <cell r="BR23">
            <v>4091.635000000002</v>
          </cell>
          <cell r="BS23">
            <v>-4052.2090000000026</v>
          </cell>
          <cell r="BT23">
            <v>13900.540999999997</v>
          </cell>
          <cell r="BU23">
            <v>5269.5910000000003</v>
          </cell>
          <cell r="BV23">
            <v>27621.225000000006</v>
          </cell>
          <cell r="BW23">
            <v>7987.6039999999994</v>
          </cell>
          <cell r="BX23">
            <v>-420.2410000000018</v>
          </cell>
          <cell r="BY23">
            <v>11169.748999999996</v>
          </cell>
          <cell r="BZ23">
            <v>4892.5380000000005</v>
          </cell>
          <cell r="CB23">
            <v>6968.1319999999978</v>
          </cell>
          <cell r="CC23">
            <v>13356.780999999995</v>
          </cell>
          <cell r="CD23">
            <v>-8900.045302960003</v>
          </cell>
          <cell r="CE23">
            <v>19428.602951790002</v>
          </cell>
          <cell r="CF23">
            <v>27157.201560339992</v>
          </cell>
          <cell r="CG23">
            <v>28446.967220199993</v>
          </cell>
          <cell r="CH23">
            <v>17307.026400279996</v>
          </cell>
          <cell r="CI23">
            <v>21492.104982830002</v>
          </cell>
          <cell r="CJ23">
            <v>33851.130301190002</v>
          </cell>
          <cell r="CK23">
            <v>32501.895380749993</v>
          </cell>
          <cell r="CL23">
            <v>36246.497223959901</v>
          </cell>
          <cell r="CM23">
            <v>28338.670398909991</v>
          </cell>
        </row>
        <row r="24">
          <cell r="A24" t="str">
            <v xml:space="preserve">      Caja</v>
          </cell>
          <cell r="C24">
            <v>-10300.283299999999</v>
          </cell>
          <cell r="D24">
            <v>-12944.7</v>
          </cell>
          <cell r="E24">
            <v>-12944.7</v>
          </cell>
          <cell r="F24">
            <v>-18263.0353</v>
          </cell>
          <cell r="G24">
            <v>-18263.0353</v>
          </cell>
          <cell r="H24">
            <v>-24022.4493</v>
          </cell>
          <cell r="I24">
            <v>-24022.4493</v>
          </cell>
          <cell r="J24">
            <v>-17972.088599999999</v>
          </cell>
          <cell r="K24">
            <v>-17145.286100000001</v>
          </cell>
          <cell r="L24">
            <v>-20715.0661</v>
          </cell>
          <cell r="M24">
            <v>-18400.676899999999</v>
          </cell>
          <cell r="N24">
            <v>-16485.511900000001</v>
          </cell>
          <cell r="O24">
            <v>-19640.108499999998</v>
          </cell>
          <cell r="P24">
            <v>-20931.3377</v>
          </cell>
          <cell r="Q24">
            <v>-18096.471600000001</v>
          </cell>
          <cell r="R24">
            <v>-23364.5419</v>
          </cell>
          <cell r="S24">
            <v>-22011.507799999999</v>
          </cell>
          <cell r="T24">
            <v>-33297.3289</v>
          </cell>
          <cell r="U24">
            <v>-40028.831599999998</v>
          </cell>
          <cell r="V24">
            <v>-40028.831599999998</v>
          </cell>
          <cell r="W24">
            <v>-24535.862099999998</v>
          </cell>
          <cell r="X24">
            <v>-23400.4584</v>
          </cell>
          <cell r="Y24">
            <v>-28059.492128000002</v>
          </cell>
          <cell r="Z24">
            <v>-25921.339177999998</v>
          </cell>
          <cell r="AA24">
            <v>-24601.592627000002</v>
          </cell>
          <cell r="AB24">
            <v>-28741.336185</v>
          </cell>
          <cell r="AC24">
            <v>-26383.878399000001</v>
          </cell>
          <cell r="AD24">
            <v>-27525.014303</v>
          </cell>
          <cell r="AE24">
            <v>-29205.266819</v>
          </cell>
          <cell r="AF24">
            <v>-25421.5062</v>
          </cell>
          <cell r="AG24">
            <v>-44669.592427000003</v>
          </cell>
          <cell r="AH24">
            <v>-41182.576803999997</v>
          </cell>
          <cell r="AI24">
            <v>-41182.576803999997</v>
          </cell>
          <cell r="AJ24">
            <v>-29892.414694999999</v>
          </cell>
          <cell r="AK24">
            <v>-29765.803993000001</v>
          </cell>
          <cell r="AL24">
            <v>-33390.430661999999</v>
          </cell>
          <cell r="AM24">
            <v>-28795.919876</v>
          </cell>
          <cell r="AN24">
            <v>-32692.125674999999</v>
          </cell>
          <cell r="AO24">
            <v>-35483.438915999999</v>
          </cell>
          <cell r="AP24">
            <v>-31817.579242</v>
          </cell>
          <cell r="AQ24">
            <v>-35471.316809999997</v>
          </cell>
          <cell r="AR24">
            <v>-35081.279453000003</v>
          </cell>
          <cell r="AS24">
            <v>-31908.024700000002</v>
          </cell>
          <cell r="AT24">
            <v>-51569.066106999999</v>
          </cell>
          <cell r="AU24">
            <v>-85548.791079999995</v>
          </cell>
          <cell r="AV24">
            <v>-85548.791079999995</v>
          </cell>
          <cell r="AW24">
            <v>-42183.090206000001</v>
          </cell>
          <cell r="AX24">
            <v>-39261.767462999996</v>
          </cell>
          <cell r="AY24">
            <v>-36211.591086</v>
          </cell>
          <cell r="AZ24">
            <v>-36652.053702999998</v>
          </cell>
          <cell r="BA24">
            <v>-38816.565555000001</v>
          </cell>
          <cell r="BB24">
            <v>-41402.370305999997</v>
          </cell>
          <cell r="BC24">
            <v>-42639.256046000002</v>
          </cell>
          <cell r="BD24">
            <v>-38485</v>
          </cell>
          <cell r="BE24">
            <v>-36825</v>
          </cell>
          <cell r="BF24">
            <v>-29218.565622615424</v>
          </cell>
          <cell r="BG24">
            <v>-41497.36135316579</v>
          </cell>
          <cell r="BH24">
            <v>-40390.390443699551</v>
          </cell>
          <cell r="BJ24">
            <v>2644.4167000000016</v>
          </cell>
          <cell r="BK24">
            <v>5318.3352999999988</v>
          </cell>
          <cell r="BL24">
            <v>5759.4140000000007</v>
          </cell>
          <cell r="BN24">
            <v>5759.4140000000007</v>
          </cell>
          <cell r="BO24">
            <v>-6050.3607000000011</v>
          </cell>
          <cell r="BP24">
            <v>-6877.1631999999991</v>
          </cell>
          <cell r="BQ24">
            <v>-3307.3832000000002</v>
          </cell>
          <cell r="BR24">
            <v>-5621.7724000000017</v>
          </cell>
          <cell r="BS24">
            <v>-7536.9373999999989</v>
          </cell>
          <cell r="BT24">
            <v>-4382.3408000000018</v>
          </cell>
          <cell r="BU24">
            <v>-3091.1116000000002</v>
          </cell>
          <cell r="BV24">
            <v>-5925.9776999999995</v>
          </cell>
          <cell r="BW24">
            <v>-657.90740000000005</v>
          </cell>
          <cell r="BX24">
            <v>-2010.9415000000008</v>
          </cell>
          <cell r="BY24">
            <v>9274.8796000000002</v>
          </cell>
          <cell r="BZ24">
            <v>16006.382299999997</v>
          </cell>
          <cell r="CB24">
            <v>-15492.969499999999</v>
          </cell>
          <cell r="CC24">
            <v>-16628.373199999998</v>
          </cell>
          <cell r="CD24">
            <v>-11969.339471999996</v>
          </cell>
          <cell r="CE24">
            <v>-14107.492421999999</v>
          </cell>
          <cell r="CF24">
            <v>-15427.238972999996</v>
          </cell>
          <cell r="CG24">
            <v>-11287.495414999998</v>
          </cell>
          <cell r="CH24">
            <v>-13644.953200999997</v>
          </cell>
          <cell r="CI24">
            <v>-12503.817296999998</v>
          </cell>
          <cell r="CJ24">
            <v>-10823.564780999997</v>
          </cell>
          <cell r="CK24">
            <v>-14607.325399999998</v>
          </cell>
          <cell r="CL24">
            <v>4640.7608270000055</v>
          </cell>
          <cell r="CM24">
            <v>1153.7452039999989</v>
          </cell>
        </row>
        <row r="25">
          <cell r="A25" t="str">
            <v xml:space="preserve">      BEM</v>
          </cell>
          <cell r="C25">
            <v>-1505.2548999999999</v>
          </cell>
          <cell r="D25">
            <v>-8271.2311000000009</v>
          </cell>
          <cell r="E25">
            <v>-8271.2311000000009</v>
          </cell>
          <cell r="F25">
            <v>-38310.792300000001</v>
          </cell>
          <cell r="G25">
            <v>-38310.792300000001</v>
          </cell>
          <cell r="H25">
            <v>-30646.848299999998</v>
          </cell>
          <cell r="I25">
            <v>-30646.848299999998</v>
          </cell>
          <cell r="J25">
            <v>-36420.933133999999</v>
          </cell>
          <cell r="K25">
            <v>-30586.966091999999</v>
          </cell>
          <cell r="L25">
            <v>-28914.68766</v>
          </cell>
          <cell r="M25">
            <v>-23754.110219999999</v>
          </cell>
          <cell r="N25">
            <v>-23396.649526000001</v>
          </cell>
          <cell r="O25">
            <v>-24508.880709999998</v>
          </cell>
          <cell r="P25">
            <v>-26875.808634000001</v>
          </cell>
          <cell r="Q25">
            <v>-25568.016219000001</v>
          </cell>
          <cell r="R25">
            <v>-25669.048077000003</v>
          </cell>
          <cell r="S25">
            <v>-38101.224820000003</v>
          </cell>
          <cell r="T25">
            <v>-42395.612503999997</v>
          </cell>
          <cell r="U25">
            <v>-40091.120808</v>
          </cell>
          <cell r="V25">
            <v>-40091.120808</v>
          </cell>
          <cell r="W25">
            <v>-45787.981699999997</v>
          </cell>
          <cell r="X25">
            <v>-31926.9604</v>
          </cell>
          <cell r="Y25">
            <v>-23033.729463</v>
          </cell>
          <cell r="Z25">
            <v>-18852.194050999999</v>
          </cell>
          <cell r="AA25">
            <v>-23423.280383000001</v>
          </cell>
          <cell r="AB25">
            <v>-25132.017130979999</v>
          </cell>
          <cell r="AC25">
            <v>-19891.6954138</v>
          </cell>
          <cell r="AD25">
            <v>-18783.904656800001</v>
          </cell>
          <cell r="AE25">
            <v>-19101.3165678</v>
          </cell>
          <cell r="AF25">
            <v>-16769.4711838</v>
          </cell>
          <cell r="AG25">
            <v>-7954.3486112299997</v>
          </cell>
          <cell r="AH25">
            <v>-17075.534410849999</v>
          </cell>
          <cell r="AI25">
            <v>-17075.534410849999</v>
          </cell>
          <cell r="AJ25">
            <v>-14709.025948500001</v>
          </cell>
          <cell r="AK25">
            <v>-16836.571979910001</v>
          </cell>
          <cell r="AL25">
            <v>-18036.68325668</v>
          </cell>
          <cell r="AM25">
            <v>-22156.001254999999</v>
          </cell>
          <cell r="AN25">
            <v>-31917.695027999998</v>
          </cell>
          <cell r="AO25">
            <v>-40604.445226999997</v>
          </cell>
          <cell r="AP25">
            <v>-48363.161495</v>
          </cell>
          <cell r="AQ25">
            <v>-57586.790177000003</v>
          </cell>
          <cell r="AR25">
            <v>-65135.626762</v>
          </cell>
          <cell r="AS25">
            <v>-65369.484311</v>
          </cell>
          <cell r="AT25">
            <v>-53935.516846999999</v>
          </cell>
          <cell r="AU25">
            <v>-56518.03757</v>
          </cell>
          <cell r="AV25">
            <v>-56518.03757</v>
          </cell>
          <cell r="AW25">
            <v>-59026.409398999996</v>
          </cell>
          <cell r="AX25">
            <v>-81905.814413</v>
          </cell>
          <cell r="AY25">
            <v>-93446.145455000005</v>
          </cell>
          <cell r="AZ25">
            <v>-95736.484737999999</v>
          </cell>
          <cell r="BA25">
            <v>-96741.816739000002</v>
          </cell>
          <cell r="BB25">
            <v>-108352.501806</v>
          </cell>
          <cell r="BC25">
            <v>-116696.123893</v>
          </cell>
          <cell r="BD25">
            <v>-116660</v>
          </cell>
          <cell r="BE25">
            <v>-117044</v>
          </cell>
          <cell r="BF25">
            <v>-103847</v>
          </cell>
          <cell r="BG25">
            <v>-102950</v>
          </cell>
          <cell r="BH25">
            <v>-64328.03757</v>
          </cell>
          <cell r="BJ25">
            <v>6765.976200000001</v>
          </cell>
          <cell r="BK25">
            <v>30039.5612</v>
          </cell>
          <cell r="BL25">
            <v>-7663.9440000000031</v>
          </cell>
          <cell r="BN25">
            <v>-7663.9440000000031</v>
          </cell>
          <cell r="BO25">
            <v>5774.0848340000011</v>
          </cell>
          <cell r="BP25">
            <v>-59.882207999999082</v>
          </cell>
          <cell r="BQ25">
            <v>-1732.1606399999982</v>
          </cell>
          <cell r="BR25">
            <v>-6892.7380799999992</v>
          </cell>
          <cell r="BS25">
            <v>-7250.1987739999968</v>
          </cell>
          <cell r="BT25">
            <v>-6137.9675900000002</v>
          </cell>
          <cell r="BU25">
            <v>-3771.0396659999969</v>
          </cell>
          <cell r="BV25">
            <v>-5078.8320809999968</v>
          </cell>
          <cell r="BW25">
            <v>-4977.8002229999947</v>
          </cell>
          <cell r="BX25">
            <v>7454.3765200000053</v>
          </cell>
          <cell r="BY25">
            <v>11748.764203999999</v>
          </cell>
          <cell r="BZ25">
            <v>9444.2725080000018</v>
          </cell>
          <cell r="CB25">
            <v>5696.860891999997</v>
          </cell>
          <cell r="CC25">
            <v>-8164.1604079999997</v>
          </cell>
          <cell r="CD25">
            <v>-17057.391345</v>
          </cell>
          <cell r="CE25">
            <v>-21238.926757000001</v>
          </cell>
          <cell r="CF25">
            <v>-16667.840424999999</v>
          </cell>
          <cell r="CG25">
            <v>-14959.103677020001</v>
          </cell>
          <cell r="CH25">
            <v>-20199.4253942</v>
          </cell>
          <cell r="CI25">
            <v>-21307.216151199998</v>
          </cell>
          <cell r="CJ25">
            <v>-20989.804240199999</v>
          </cell>
          <cell r="CK25">
            <v>-23321.649624199999</v>
          </cell>
          <cell r="CL25">
            <v>-32136.772196769998</v>
          </cell>
          <cell r="CM25">
            <v>-23015.58639715</v>
          </cell>
        </row>
        <row r="26">
          <cell r="A26" t="str">
            <v xml:space="preserve">      ICP</v>
          </cell>
          <cell r="C26">
            <v>-4424.3</v>
          </cell>
          <cell r="D26">
            <v>-8346</v>
          </cell>
          <cell r="E26">
            <v>-8346</v>
          </cell>
          <cell r="F26">
            <v>-12253.5</v>
          </cell>
          <cell r="G26">
            <v>-12253.5</v>
          </cell>
          <cell r="H26">
            <v>-24029.75</v>
          </cell>
          <cell r="I26">
            <v>-24029.75</v>
          </cell>
          <cell r="J26">
            <v>-25582.4925</v>
          </cell>
          <cell r="K26">
            <v>-32906</v>
          </cell>
          <cell r="L26">
            <v>-22282</v>
          </cell>
          <cell r="M26">
            <v>-25869.956999999999</v>
          </cell>
          <cell r="N26">
            <v>-31465</v>
          </cell>
          <cell r="O26">
            <v>-19931</v>
          </cell>
          <cell r="P26">
            <v>-27108</v>
          </cell>
          <cell r="Q26">
            <v>-4913</v>
          </cell>
          <cell r="R26">
            <v>-34727</v>
          </cell>
          <cell r="S26">
            <v>-29618.5</v>
          </cell>
          <cell r="T26">
            <v>-22266</v>
          </cell>
          <cell r="U26">
            <v>-25882</v>
          </cell>
          <cell r="V26">
            <v>-25882</v>
          </cell>
          <cell r="W26">
            <v>-13879</v>
          </cell>
          <cell r="X26">
            <v>-8629</v>
          </cell>
          <cell r="Y26">
            <v>-22632</v>
          </cell>
          <cell r="Z26">
            <v>-2134</v>
          </cell>
          <cell r="AA26">
            <v>-3027</v>
          </cell>
          <cell r="AB26">
            <v>-27</v>
          </cell>
          <cell r="AC26">
            <v>-18024</v>
          </cell>
          <cell r="AD26">
            <v>-12019</v>
          </cell>
          <cell r="AE26">
            <v>-2500</v>
          </cell>
          <cell r="AF26">
            <v>-1000</v>
          </cell>
          <cell r="AG26">
            <v>0</v>
          </cell>
          <cell r="AH26">
            <v>0</v>
          </cell>
          <cell r="AI26">
            <v>0</v>
          </cell>
          <cell r="AJ26">
            <v>-400</v>
          </cell>
          <cell r="AK26">
            <v>-200.01041667000001</v>
          </cell>
          <cell r="AL26">
            <v>0</v>
          </cell>
          <cell r="AM26">
            <v>-1000</v>
          </cell>
          <cell r="AN26">
            <v>-2000.104167</v>
          </cell>
          <cell r="AO26">
            <v>-5000.0520829999996</v>
          </cell>
          <cell r="AP26">
            <v>-400.01041700000002</v>
          </cell>
          <cell r="AQ26">
            <v>-2500</v>
          </cell>
          <cell r="AR26">
            <v>-2500</v>
          </cell>
          <cell r="AS26">
            <v>-16419</v>
          </cell>
          <cell r="AT26">
            <v>-36194</v>
          </cell>
          <cell r="AU26">
            <v>-27770</v>
          </cell>
          <cell r="AV26">
            <v>-27770</v>
          </cell>
          <cell r="AW26">
            <v>-13640</v>
          </cell>
          <cell r="AX26">
            <v>-5750</v>
          </cell>
          <cell r="AY26">
            <v>-9500</v>
          </cell>
          <cell r="AZ26">
            <v>-19362</v>
          </cell>
          <cell r="BA26">
            <v>-5464.5</v>
          </cell>
          <cell r="BB26">
            <v>-8825</v>
          </cell>
          <cell r="BC26">
            <v>-31.429908000000001</v>
          </cell>
          <cell r="BD26">
            <v>-22301</v>
          </cell>
          <cell r="BE26">
            <v>-9015.7000000000007</v>
          </cell>
          <cell r="BF26">
            <v>0</v>
          </cell>
          <cell r="BG26">
            <v>0</v>
          </cell>
          <cell r="BH26">
            <v>-27770</v>
          </cell>
          <cell r="BJ26">
            <v>3921.7</v>
          </cell>
          <cell r="BK26">
            <v>3907.5</v>
          </cell>
          <cell r="BL26">
            <v>11776.25</v>
          </cell>
          <cell r="BN26">
            <v>11776.25</v>
          </cell>
          <cell r="BO26">
            <v>1552.7425000000003</v>
          </cell>
          <cell r="BP26">
            <v>8876.25</v>
          </cell>
          <cell r="BQ26">
            <v>-1747.75</v>
          </cell>
          <cell r="BR26">
            <v>1840.2069999999985</v>
          </cell>
          <cell r="BS26">
            <v>7435.25</v>
          </cell>
          <cell r="BT26">
            <v>-4098.75</v>
          </cell>
          <cell r="BU26">
            <v>3078.25</v>
          </cell>
          <cell r="BV26">
            <v>-19116.75</v>
          </cell>
          <cell r="BW26">
            <v>10697.25</v>
          </cell>
          <cell r="BX26">
            <v>5588.75</v>
          </cell>
          <cell r="BY26">
            <v>-1763.75</v>
          </cell>
          <cell r="BZ26">
            <v>1852.25</v>
          </cell>
          <cell r="CB26">
            <v>-12003</v>
          </cell>
          <cell r="CC26">
            <v>-17253</v>
          </cell>
          <cell r="CD26">
            <v>-3250</v>
          </cell>
          <cell r="CE26">
            <v>-23748</v>
          </cell>
          <cell r="CF26">
            <v>-22855</v>
          </cell>
          <cell r="CG26">
            <v>-25855</v>
          </cell>
          <cell r="CH26">
            <v>-7858</v>
          </cell>
          <cell r="CI26">
            <v>-13863</v>
          </cell>
          <cell r="CJ26">
            <v>-23382</v>
          </cell>
          <cell r="CK26">
            <v>-24882</v>
          </cell>
          <cell r="CL26">
            <v>-25882</v>
          </cell>
          <cell r="CM26">
            <v>-25882</v>
          </cell>
        </row>
        <row r="27">
          <cell r="A27" t="str">
            <v xml:space="preserve">   BEM sector privado</v>
          </cell>
          <cell r="C27">
            <v>-40490.062980000002</v>
          </cell>
          <cell r="D27">
            <v>-61175.665760000004</v>
          </cell>
          <cell r="E27">
            <v>-61175.665760000004</v>
          </cell>
          <cell r="F27">
            <v>-78892.839540000015</v>
          </cell>
          <cell r="G27">
            <v>-78892.839540000015</v>
          </cell>
          <cell r="H27">
            <v>-11000.36842000001</v>
          </cell>
          <cell r="I27">
            <v>-11000.36842000001</v>
          </cell>
          <cell r="J27">
            <v>-8715.1588460000003</v>
          </cell>
          <cell r="K27">
            <v>-10558.042868</v>
          </cell>
          <cell r="L27">
            <v>-10454.512319999998</v>
          </cell>
          <cell r="M27">
            <v>-46393.280099999989</v>
          </cell>
          <cell r="N27">
            <v>-52056.412473999982</v>
          </cell>
          <cell r="O27">
            <v>-72271.49424</v>
          </cell>
          <cell r="P27">
            <v>-100174.455286</v>
          </cell>
          <cell r="Q27">
            <v>-124490.12370100002</v>
          </cell>
          <cell r="R27">
            <v>-125981.15591300001</v>
          </cell>
          <cell r="S27">
            <v>-115416.37716</v>
          </cell>
          <cell r="T27">
            <v>-99028.417476000002</v>
          </cell>
          <cell r="U27">
            <v>-87678.024111999985</v>
          </cell>
          <cell r="V27">
            <v>-87678.024111999985</v>
          </cell>
          <cell r="W27">
            <v>-98310.552320000017</v>
          </cell>
          <cell r="X27">
            <v>-113380.06152</v>
          </cell>
          <cell r="Y27">
            <v>-124907.16754164982</v>
          </cell>
          <cell r="Z27">
            <v>-123432.1675996</v>
          </cell>
          <cell r="AA27">
            <v>-137130.67319903997</v>
          </cell>
          <cell r="AB27">
            <v>-125573.13553818001</v>
          </cell>
          <cell r="AC27">
            <v>-102364.79693618001</v>
          </cell>
          <cell r="AD27">
            <v>-104048.33764410908</v>
          </cell>
          <cell r="AE27">
            <v>-101970.45655080989</v>
          </cell>
          <cell r="AF27">
            <v>-84271.345088959817</v>
          </cell>
          <cell r="AG27">
            <v>-84409.896071129697</v>
          </cell>
          <cell r="AH27">
            <v>-88747.921087090101</v>
          </cell>
          <cell r="AI27">
            <v>-88747.921087090101</v>
          </cell>
          <cell r="AJ27">
            <v>-93290.596546469271</v>
          </cell>
          <cell r="AK27">
            <v>-112941.1541404594</v>
          </cell>
          <cell r="AL27">
            <v>-130719.74006047967</v>
          </cell>
          <cell r="AM27">
            <v>-144337.58661645922</v>
          </cell>
          <cell r="AN27">
            <v>-166988.43906949999</v>
          </cell>
          <cell r="AO27">
            <v>-182984.47946165942</v>
          </cell>
          <cell r="AP27">
            <v>-172951.7456833098</v>
          </cell>
          <cell r="AQ27">
            <v>-186544.81352217006</v>
          </cell>
          <cell r="AR27">
            <v>-196807.11115184924</v>
          </cell>
          <cell r="AS27">
            <v>-181895.67542515983</v>
          </cell>
          <cell r="AT27">
            <v>-168287.88157938921</v>
          </cell>
          <cell r="AU27">
            <v>-170128.61483705949</v>
          </cell>
          <cell r="AV27">
            <v>-170128.61483705949</v>
          </cell>
          <cell r="AW27">
            <v>-195686.30582052996</v>
          </cell>
          <cell r="AX27">
            <v>-218138.24147501955</v>
          </cell>
          <cell r="AY27">
            <v>-238319.54383382981</v>
          </cell>
          <cell r="AZ27">
            <v>-233256.46008347938</v>
          </cell>
          <cell r="BA27">
            <v>-241573.99787888941</v>
          </cell>
          <cell r="BB27">
            <v>-230605.49888676929</v>
          </cell>
          <cell r="BC27">
            <v>-221475.63809586945</v>
          </cell>
          <cell r="BD27">
            <v>-179580.5624588292</v>
          </cell>
          <cell r="BE27">
            <v>-173110.67159108003</v>
          </cell>
          <cell r="BF27">
            <v>-211481.73067271334</v>
          </cell>
          <cell r="BG27">
            <v>-125256.02498393835</v>
          </cell>
          <cell r="BH27">
            <v>-95472.253968349483</v>
          </cell>
          <cell r="BJ27">
            <v>20685.602780000001</v>
          </cell>
          <cell r="BK27">
            <v>17717.173780000012</v>
          </cell>
          <cell r="BL27">
            <v>-67892.471120000002</v>
          </cell>
          <cell r="BN27">
            <v>-67892.471120000002</v>
          </cell>
          <cell r="BO27">
            <v>-2285.2095740000095</v>
          </cell>
          <cell r="BP27">
            <v>-442.32555200000934</v>
          </cell>
          <cell r="BQ27">
            <v>-545.85610000001179</v>
          </cell>
          <cell r="BR27">
            <v>35392.911679999976</v>
          </cell>
          <cell r="BS27">
            <v>41056.044053999969</v>
          </cell>
          <cell r="BT27">
            <v>61271.125819999987</v>
          </cell>
          <cell r="BU27">
            <v>89174.086865999983</v>
          </cell>
          <cell r="BV27">
            <v>113489.75528100001</v>
          </cell>
          <cell r="BW27">
            <v>114980.787493</v>
          </cell>
          <cell r="BX27">
            <v>104416.00873999999</v>
          </cell>
          <cell r="BY27">
            <v>88028.049055999989</v>
          </cell>
          <cell r="BZ27">
            <v>76677.655691999971</v>
          </cell>
          <cell r="CB27">
            <v>10632.528208000032</v>
          </cell>
          <cell r="CC27">
            <v>25702.037408000018</v>
          </cell>
          <cell r="CD27">
            <v>37229.143429649834</v>
          </cell>
          <cell r="CE27">
            <v>35754.143487600013</v>
          </cell>
          <cell r="CF27">
            <v>49452.649087039987</v>
          </cell>
          <cell r="CG27">
            <v>37895.111426180025</v>
          </cell>
          <cell r="CH27">
            <v>14686.772824180021</v>
          </cell>
          <cell r="CI27">
            <v>16370.313532109096</v>
          </cell>
          <cell r="CJ27">
            <v>14292.432438809905</v>
          </cell>
          <cell r="CK27">
            <v>-3406.6790230401675</v>
          </cell>
          <cell r="CL27">
            <v>-3268.1280408702878</v>
          </cell>
          <cell r="CM27">
            <v>1069.896975090116</v>
          </cell>
        </row>
        <row r="28">
          <cell r="A28" t="str">
            <v xml:space="preserve">   ICP sector privado</v>
          </cell>
          <cell r="C28">
            <v>-9296.9579999999987</v>
          </cell>
          <cell r="D28">
            <v>-4027.5</v>
          </cell>
          <cell r="E28">
            <v>-4027.5</v>
          </cell>
          <cell r="F28">
            <v>-3548.76</v>
          </cell>
          <cell r="G28">
            <v>-3548.76</v>
          </cell>
          <cell r="H28">
            <v>-7589.4000000000015</v>
          </cell>
          <cell r="I28">
            <v>-7589.4000000000015</v>
          </cell>
          <cell r="J28">
            <v>-8133.7574999999979</v>
          </cell>
          <cell r="K28">
            <v>-15198.800000000003</v>
          </cell>
          <cell r="L28">
            <v>-6695.0999999999967</v>
          </cell>
          <cell r="M28">
            <v>-697.49300000000073</v>
          </cell>
          <cell r="N28">
            <v>-4257.4000000000015</v>
          </cell>
          <cell r="O28">
            <v>-1043.5999999999999</v>
          </cell>
          <cell r="P28">
            <v>-3147.7500000000014</v>
          </cell>
          <cell r="Q28">
            <v>-5424.9500000000007</v>
          </cell>
          <cell r="R28">
            <v>-4395.6000000000004</v>
          </cell>
          <cell r="S28">
            <v>-7909.5000000000018</v>
          </cell>
          <cell r="T28">
            <v>-10474.85</v>
          </cell>
          <cell r="U28">
            <v>-7362.7500000000018</v>
          </cell>
          <cell r="V28">
            <v>-7362.7500000000018</v>
          </cell>
          <cell r="W28">
            <v>-591.49999999999966</v>
          </cell>
          <cell r="X28">
            <v>-7188.6000000000013</v>
          </cell>
          <cell r="Y28">
            <v>-1071.5999999999992</v>
          </cell>
          <cell r="Z28">
            <v>-6841.4500000000007</v>
          </cell>
          <cell r="AA28">
            <v>-361.69999999999965</v>
          </cell>
          <cell r="AB28">
            <v>-2326.75</v>
          </cell>
          <cell r="AC28">
            <v>-1998.4500000000014</v>
          </cell>
          <cell r="AD28">
            <v>-4606.0999999999995</v>
          </cell>
          <cell r="AE28">
            <v>-55.749999999999815</v>
          </cell>
          <cell r="AF28">
            <v>-19.05</v>
          </cell>
          <cell r="AG28">
            <v>-5009.2999999999993</v>
          </cell>
          <cell r="AH28">
            <v>-2126.8000000000002</v>
          </cell>
          <cell r="AI28">
            <v>-2126.8000000000002</v>
          </cell>
          <cell r="AJ28">
            <v>-8.8000000000000007</v>
          </cell>
          <cell r="AK28">
            <v>-8.7895833299997328</v>
          </cell>
          <cell r="AL28">
            <v>-608.79999999999995</v>
          </cell>
          <cell r="AM28">
            <v>-8.8000000000000007</v>
          </cell>
          <cell r="AN28">
            <v>-8.6958329999995847</v>
          </cell>
          <cell r="AO28">
            <v>-8.7479169999995072</v>
          </cell>
          <cell r="AP28">
            <v>-8.7895829999995847</v>
          </cell>
          <cell r="AQ28">
            <v>-1384.9499999999996</v>
          </cell>
          <cell r="AR28">
            <v>-1068.3999999999994</v>
          </cell>
          <cell r="AS28">
            <v>-73.8</v>
          </cell>
          <cell r="AT28">
            <v>-144.89999999999856</v>
          </cell>
          <cell r="AU28">
            <v>-2474.4999999999973</v>
          </cell>
          <cell r="AV28">
            <v>-2474.4999999999973</v>
          </cell>
          <cell r="AW28">
            <v>-390.55</v>
          </cell>
          <cell r="AX28">
            <v>-2295.3500000000013</v>
          </cell>
          <cell r="AY28">
            <v>-30.000000000000728</v>
          </cell>
          <cell r="AZ28">
            <v>-218.09999999999928</v>
          </cell>
          <cell r="BA28">
            <v>-23.8</v>
          </cell>
          <cell r="BB28">
            <v>-676.8</v>
          </cell>
          <cell r="BC28">
            <v>-15.370091999999932</v>
          </cell>
          <cell r="BD28">
            <v>-136.10000000000292</v>
          </cell>
          <cell r="BE28">
            <v>-58.8</v>
          </cell>
          <cell r="BF28">
            <v>0</v>
          </cell>
          <cell r="BG28">
            <v>0</v>
          </cell>
          <cell r="BH28">
            <v>-2474.4999999999973</v>
          </cell>
          <cell r="BJ28">
            <v>-5269.4579999999987</v>
          </cell>
          <cell r="BK28">
            <v>-478.73999999999978</v>
          </cell>
          <cell r="BL28">
            <v>4040.6400000000012</v>
          </cell>
          <cell r="BN28">
            <v>4040.6400000000012</v>
          </cell>
          <cell r="BO28">
            <v>544.35749999999643</v>
          </cell>
          <cell r="BP28">
            <v>7609.4000000000015</v>
          </cell>
          <cell r="BQ28">
            <v>-894.30000000000473</v>
          </cell>
          <cell r="BR28">
            <v>-6891.9070000000011</v>
          </cell>
          <cell r="BS28">
            <v>-3332</v>
          </cell>
          <cell r="BT28">
            <v>-6545.8000000000011</v>
          </cell>
          <cell r="BU28">
            <v>-4441.6499999999996</v>
          </cell>
          <cell r="BV28">
            <v>-2164.4500000000007</v>
          </cell>
          <cell r="BW28">
            <v>-3193.8000000000011</v>
          </cell>
          <cell r="BX28">
            <v>320.10000000000036</v>
          </cell>
          <cell r="BY28">
            <v>2885.4499999999989</v>
          </cell>
          <cell r="BZ28">
            <v>-226.64999999999964</v>
          </cell>
          <cell r="CB28">
            <v>-6771.2500000000018</v>
          </cell>
          <cell r="CC28">
            <v>-174.15000000000055</v>
          </cell>
          <cell r="CD28">
            <v>-6291.1500000000024</v>
          </cell>
          <cell r="CE28">
            <v>-521.30000000000109</v>
          </cell>
          <cell r="CF28">
            <v>-7001.050000000002</v>
          </cell>
          <cell r="CG28">
            <v>-5036.0000000000018</v>
          </cell>
          <cell r="CH28">
            <v>-5364.3</v>
          </cell>
          <cell r="CI28">
            <v>-2756.6500000000024</v>
          </cell>
          <cell r="CJ28">
            <v>-7307.0000000000018</v>
          </cell>
          <cell r="CK28">
            <v>-7343.7000000000016</v>
          </cell>
          <cell r="CL28">
            <v>-2353.4500000000025</v>
          </cell>
          <cell r="CM28">
            <v>-5235.9500000000016</v>
          </cell>
        </row>
        <row r="29">
          <cell r="A29" t="str">
            <v xml:space="preserve">   Cambio en depósitos</v>
          </cell>
          <cell r="C29">
            <v>-93947.674499999994</v>
          </cell>
          <cell r="D29">
            <v>-106292.12087999999</v>
          </cell>
          <cell r="E29">
            <v>-121658.4336</v>
          </cell>
          <cell r="F29">
            <v>-142229.17180000001</v>
          </cell>
          <cell r="G29">
            <v>-164315.03652000002</v>
          </cell>
          <cell r="H29">
            <v>-192090.93948</v>
          </cell>
          <cell r="I29">
            <v>-214544.08799999999</v>
          </cell>
          <cell r="J29">
            <v>-224854.864</v>
          </cell>
          <cell r="K29">
            <v>-221969.712</v>
          </cell>
          <cell r="L29">
            <v>-226268.44</v>
          </cell>
          <cell r="M29">
            <v>-224904.74400000001</v>
          </cell>
          <cell r="N29">
            <v>-233473.432</v>
          </cell>
          <cell r="O29">
            <v>-243653.128</v>
          </cell>
          <cell r="P29">
            <v>-236153.26400000002</v>
          </cell>
          <cell r="Q29">
            <v>-241423.60800000004</v>
          </cell>
          <cell r="R29">
            <v>-246741.28</v>
          </cell>
          <cell r="S29">
            <v>-240254.09599999999</v>
          </cell>
          <cell r="T29">
            <v>-228978.43199999997</v>
          </cell>
          <cell r="U29">
            <v>-233061.864</v>
          </cell>
          <cell r="V29">
            <v>-258316.92977999998</v>
          </cell>
          <cell r="W29">
            <v>-263969.38125999999</v>
          </cell>
          <cell r="X29">
            <v>-253422.01274000001</v>
          </cell>
          <cell r="Y29">
            <v>-272443.9651351964</v>
          </cell>
          <cell r="Z29">
            <v>-277979.30452159914</v>
          </cell>
          <cell r="AA29">
            <v>-274989.55858536734</v>
          </cell>
          <cell r="AB29">
            <v>-285253.50249113637</v>
          </cell>
          <cell r="AC29">
            <v>-295430.40199721878</v>
          </cell>
          <cell r="AD29">
            <v>-300670.10696762777</v>
          </cell>
          <cell r="AE29">
            <v>-296735.22319761576</v>
          </cell>
          <cell r="AF29">
            <v>-288201.16167043243</v>
          </cell>
          <cell r="AG29">
            <v>-251923.38129535978</v>
          </cell>
          <cell r="AH29">
            <v>-226286.14945494218</v>
          </cell>
          <cell r="AI29">
            <v>-248163.23460485999</v>
          </cell>
          <cell r="AJ29">
            <v>-242690.87157192003</v>
          </cell>
          <cell r="AK29">
            <v>-242317.71583895999</v>
          </cell>
          <cell r="AL29">
            <v>-233588.98979046001</v>
          </cell>
          <cell r="AM29">
            <v>-240388.60721592</v>
          </cell>
          <cell r="AN29">
            <v>-239888.7467172</v>
          </cell>
          <cell r="AO29">
            <v>-245832.57471006</v>
          </cell>
          <cell r="AP29">
            <v>-253956.47676912</v>
          </cell>
          <cell r="AQ29">
            <v>-236298.48475158002</v>
          </cell>
          <cell r="AR29">
            <v>-212852.70821448002</v>
          </cell>
          <cell r="AS29">
            <v>-208294.29523884002</v>
          </cell>
          <cell r="AT29">
            <v>-201375.48668664001</v>
          </cell>
          <cell r="AU29">
            <v>-204137.44290863999</v>
          </cell>
          <cell r="AV29">
            <v>-223031.01475231201</v>
          </cell>
          <cell r="AW29">
            <v>-222881.09920475102</v>
          </cell>
          <cell r="AX29">
            <v>-227711.93266918202</v>
          </cell>
          <cell r="AY29">
            <v>-217886.09749292102</v>
          </cell>
          <cell r="AZ29">
            <v>-192433.74489292203</v>
          </cell>
          <cell r="BA29">
            <v>-164371.17725449201</v>
          </cell>
          <cell r="BB29">
            <v>-178596.11233748702</v>
          </cell>
          <cell r="BC29">
            <v>-202533.44293115701</v>
          </cell>
          <cell r="BD29">
            <v>-204938.43736594802</v>
          </cell>
          <cell r="BE29">
            <v>-194908.61833950001</v>
          </cell>
          <cell r="BF29">
            <v>-194908.61833950001</v>
          </cell>
          <cell r="BG29">
            <v>-194908.61833950001</v>
          </cell>
          <cell r="BH29">
            <v>-177124.11475231202</v>
          </cell>
          <cell r="BJ29">
            <v>12344.446379999994</v>
          </cell>
          <cell r="BK29">
            <v>20570.738200000007</v>
          </cell>
          <cell r="BL29">
            <v>27775.902959999978</v>
          </cell>
          <cell r="BN29">
            <v>27775.902959999978</v>
          </cell>
          <cell r="BO29">
            <v>10310.776000000013</v>
          </cell>
          <cell r="BP29">
            <v>7425.6240000000107</v>
          </cell>
          <cell r="BQ29">
            <v>11724.352000000014</v>
          </cell>
          <cell r="BR29">
            <v>10360.656000000017</v>
          </cell>
          <cell r="BS29">
            <v>18929.344000000012</v>
          </cell>
          <cell r="BT29">
            <v>29109.040000000008</v>
          </cell>
          <cell r="BU29">
            <v>21609.176000000036</v>
          </cell>
          <cell r="BV29">
            <v>26879.520000000048</v>
          </cell>
          <cell r="BW29">
            <v>32197.19200000001</v>
          </cell>
          <cell r="BX29">
            <v>25710.008000000002</v>
          </cell>
          <cell r="BY29">
            <v>14434.343999999983</v>
          </cell>
          <cell r="BZ29">
            <v>18517.776000000013</v>
          </cell>
          <cell r="CB29">
            <v>5652.4514800000179</v>
          </cell>
          <cell r="CC29">
            <v>-4894.9170399999712</v>
          </cell>
          <cell r="CD29">
            <v>14127.035355196422</v>
          </cell>
          <cell r="CE29">
            <v>19662.374741599167</v>
          </cell>
          <cell r="CF29">
            <v>16672.628805367363</v>
          </cell>
          <cell r="CG29">
            <v>26936.572711136396</v>
          </cell>
          <cell r="CH29">
            <v>37113.472217218805</v>
          </cell>
          <cell r="CI29">
            <v>42353.177187627793</v>
          </cell>
          <cell r="CJ29">
            <v>38418.293417615787</v>
          </cell>
          <cell r="CK29">
            <v>29884.231890432449</v>
          </cell>
          <cell r="CL29">
            <v>-6393.548484640196</v>
          </cell>
          <cell r="CM29">
            <v>-32030.7803250578</v>
          </cell>
        </row>
        <row r="30">
          <cell r="A30" t="str">
            <v xml:space="preserve">   BEM SPFNB</v>
          </cell>
          <cell r="C30">
            <v>-188</v>
          </cell>
          <cell r="D30">
            <v>-4799</v>
          </cell>
          <cell r="E30">
            <v>-4799</v>
          </cell>
          <cell r="F30">
            <v>-2559</v>
          </cell>
          <cell r="G30">
            <v>-2559</v>
          </cell>
          <cell r="H30">
            <v>-578</v>
          </cell>
          <cell r="I30">
            <v>-578</v>
          </cell>
          <cell r="J30">
            <v>-5</v>
          </cell>
          <cell r="K30">
            <v>-5</v>
          </cell>
          <cell r="L30">
            <v>-5</v>
          </cell>
          <cell r="M30">
            <v>-1182</v>
          </cell>
          <cell r="N30">
            <v>-4383</v>
          </cell>
          <cell r="O30">
            <v>-5580</v>
          </cell>
          <cell r="P30">
            <v>-12191</v>
          </cell>
          <cell r="Q30">
            <v>-20020</v>
          </cell>
          <cell r="R30">
            <v>-24564</v>
          </cell>
          <cell r="S30">
            <v>-33112</v>
          </cell>
          <cell r="T30">
            <v>-28957</v>
          </cell>
          <cell r="U30">
            <v>-30639</v>
          </cell>
          <cell r="V30">
            <v>-30639</v>
          </cell>
          <cell r="W30">
            <v>-28015</v>
          </cell>
          <cell r="X30">
            <v>-29332</v>
          </cell>
          <cell r="Y30">
            <v>-34343</v>
          </cell>
          <cell r="Z30">
            <v>-37592</v>
          </cell>
          <cell r="AA30">
            <v>-45214</v>
          </cell>
          <cell r="AB30">
            <v>-48704</v>
          </cell>
          <cell r="AC30">
            <v>-44538</v>
          </cell>
          <cell r="AD30">
            <v>-39001</v>
          </cell>
          <cell r="AE30">
            <v>-28617</v>
          </cell>
          <cell r="AF30">
            <v>-29103</v>
          </cell>
          <cell r="AG30">
            <v>-22559</v>
          </cell>
          <cell r="AH30">
            <v>-27902</v>
          </cell>
          <cell r="AI30">
            <v>-27902</v>
          </cell>
          <cell r="AJ30">
            <v>-37605</v>
          </cell>
          <cell r="AK30">
            <v>-35927</v>
          </cell>
          <cell r="AL30">
            <v>-37243</v>
          </cell>
          <cell r="AM30">
            <v>-36358</v>
          </cell>
          <cell r="AN30">
            <v>-36532</v>
          </cell>
          <cell r="AO30">
            <v>-36774</v>
          </cell>
          <cell r="AP30">
            <v>-39155</v>
          </cell>
          <cell r="AQ30">
            <v>-54243</v>
          </cell>
          <cell r="AR30">
            <v>-56885</v>
          </cell>
          <cell r="AS30">
            <v>-54779</v>
          </cell>
          <cell r="AT30">
            <v>-56813</v>
          </cell>
          <cell r="AU30">
            <v>-50735</v>
          </cell>
          <cell r="AV30">
            <v>-50735</v>
          </cell>
          <cell r="AW30">
            <v>-62098</v>
          </cell>
          <cell r="AX30">
            <v>-64482</v>
          </cell>
          <cell r="AY30">
            <v>-62559</v>
          </cell>
          <cell r="AZ30">
            <v>-62825</v>
          </cell>
          <cell r="BA30">
            <v>-65621</v>
          </cell>
          <cell r="BB30">
            <v>-65993</v>
          </cell>
          <cell r="BC30">
            <v>-66499</v>
          </cell>
          <cell r="BD30">
            <v>-66499</v>
          </cell>
          <cell r="BE30">
            <v>-66499</v>
          </cell>
          <cell r="BF30">
            <v>-66499</v>
          </cell>
          <cell r="BG30">
            <v>-66499</v>
          </cell>
          <cell r="BH30">
            <v>-50735</v>
          </cell>
          <cell r="BJ30">
            <v>4611</v>
          </cell>
          <cell r="BK30">
            <v>-2240</v>
          </cell>
          <cell r="BL30">
            <v>-1981</v>
          </cell>
          <cell r="BN30">
            <v>-1981</v>
          </cell>
          <cell r="BO30">
            <v>-573</v>
          </cell>
          <cell r="BP30">
            <v>-573</v>
          </cell>
          <cell r="BQ30">
            <v>-573</v>
          </cell>
          <cell r="BR30">
            <v>604</v>
          </cell>
          <cell r="BS30">
            <v>3805</v>
          </cell>
          <cell r="BT30">
            <v>5002</v>
          </cell>
          <cell r="BU30">
            <v>11613</v>
          </cell>
          <cell r="BV30">
            <v>19442</v>
          </cell>
          <cell r="BW30">
            <v>23986</v>
          </cell>
          <cell r="BX30">
            <v>32534</v>
          </cell>
          <cell r="BY30">
            <v>28379</v>
          </cell>
          <cell r="BZ30">
            <v>30061</v>
          </cell>
          <cell r="CB30">
            <v>-2624</v>
          </cell>
          <cell r="CC30">
            <v>-1307</v>
          </cell>
          <cell r="CD30">
            <v>3704</v>
          </cell>
          <cell r="CE30">
            <v>6953</v>
          </cell>
          <cell r="CF30">
            <v>14575</v>
          </cell>
          <cell r="CG30">
            <v>18065</v>
          </cell>
          <cell r="CH30">
            <v>13899</v>
          </cell>
          <cell r="CI30">
            <v>8362</v>
          </cell>
          <cell r="CJ30">
            <v>-2022</v>
          </cell>
          <cell r="CK30">
            <v>-1536</v>
          </cell>
          <cell r="CL30">
            <v>-8080</v>
          </cell>
          <cell r="CM30">
            <v>-2737</v>
          </cell>
        </row>
        <row r="31">
          <cell r="A31" t="str">
            <v xml:space="preserve">   Otros</v>
          </cell>
          <cell r="C31">
            <v>299910.34794999997</v>
          </cell>
          <cell r="D31">
            <v>336688.95409999992</v>
          </cell>
          <cell r="E31">
            <v>361372.97542999993</v>
          </cell>
          <cell r="F31">
            <v>417970.71642299998</v>
          </cell>
          <cell r="G31">
            <v>446377.85062300001</v>
          </cell>
          <cell r="H31">
            <v>269165.01190199994</v>
          </cell>
          <cell r="I31">
            <v>289953.2468299999</v>
          </cell>
          <cell r="J31">
            <v>291610.48978399992</v>
          </cell>
          <cell r="K31">
            <v>288606.25536800001</v>
          </cell>
          <cell r="L31">
            <v>283665.55309000006</v>
          </cell>
          <cell r="M31">
            <v>283951.19574000011</v>
          </cell>
          <cell r="N31">
            <v>287525.72233999998</v>
          </cell>
          <cell r="O31">
            <v>283773.97469999996</v>
          </cell>
          <cell r="P31">
            <v>284490.14621999988</v>
          </cell>
          <cell r="Q31">
            <v>282572.40714000002</v>
          </cell>
          <cell r="R31">
            <v>276289.02517999994</v>
          </cell>
          <cell r="S31">
            <v>286280.61226000014</v>
          </cell>
          <cell r="T31">
            <v>288175.8922399999</v>
          </cell>
          <cell r="U31">
            <v>282263.19804000005</v>
          </cell>
          <cell r="V31">
            <v>299097.52026000002</v>
          </cell>
          <cell r="W31">
            <v>303496.96357999998</v>
          </cell>
          <cell r="X31">
            <v>301990.09130000003</v>
          </cell>
          <cell r="Y31">
            <v>292668.31413569092</v>
          </cell>
          <cell r="Z31">
            <v>295893.59864569356</v>
          </cell>
          <cell r="AA31">
            <v>294679.32929548837</v>
          </cell>
          <cell r="AB31">
            <v>299263.10622579569</v>
          </cell>
          <cell r="AC31">
            <v>302839.74402195902</v>
          </cell>
          <cell r="AD31">
            <v>302399.62907493056</v>
          </cell>
          <cell r="AE31">
            <v>303457.93430379528</v>
          </cell>
          <cell r="AF31">
            <v>298480.18887827662</v>
          </cell>
          <cell r="AG31">
            <v>303660.57270187198</v>
          </cell>
          <cell r="AH31">
            <v>294291.84197600523</v>
          </cell>
          <cell r="AI31">
            <v>312528.2246610304</v>
          </cell>
          <cell r="AJ31">
            <v>306347.48781411076</v>
          </cell>
          <cell r="AK31">
            <v>294607.68937477586</v>
          </cell>
          <cell r="AL31">
            <v>290865.49073667929</v>
          </cell>
          <cell r="AM31">
            <v>288853.12647112668</v>
          </cell>
          <cell r="AN31">
            <v>286734.36842355068</v>
          </cell>
          <cell r="AO31">
            <v>290322.52042625495</v>
          </cell>
          <cell r="AP31">
            <v>291793.47361923597</v>
          </cell>
          <cell r="AQ31">
            <v>310355.41681880463</v>
          </cell>
          <cell r="AR31">
            <v>318332.86837048916</v>
          </cell>
          <cell r="AS31">
            <v>324683.0656593116</v>
          </cell>
          <cell r="AT31">
            <v>411140.90425629675</v>
          </cell>
          <cell r="AU31">
            <v>418447.66053703555</v>
          </cell>
          <cell r="AV31">
            <v>417883.34182401246</v>
          </cell>
          <cell r="AW31">
            <v>424174.72317927645</v>
          </cell>
          <cell r="AX31">
            <v>408688.14672817144</v>
          </cell>
          <cell r="AY31">
            <v>416429.24252443458</v>
          </cell>
          <cell r="AZ31">
            <v>420003.60268588085</v>
          </cell>
          <cell r="BA31">
            <v>426409.31499985122</v>
          </cell>
          <cell r="BB31">
            <v>434427.19240025216</v>
          </cell>
          <cell r="BC31">
            <v>433658.64732609788</v>
          </cell>
          <cell r="BD31">
            <v>438721.96313601127</v>
          </cell>
          <cell r="BE31">
            <v>442704.34505444003</v>
          </cell>
          <cell r="BF31">
            <v>436417.77682597039</v>
          </cell>
          <cell r="BG31">
            <v>441214.00183723914</v>
          </cell>
          <cell r="BH31">
            <v>467261.36311003019</v>
          </cell>
          <cell r="BJ31">
            <v>36778.606149999927</v>
          </cell>
          <cell r="BK31">
            <v>56597.740993000079</v>
          </cell>
          <cell r="BL31">
            <v>-177212.83872100001</v>
          </cell>
          <cell r="BN31">
            <v>-177212.83872100001</v>
          </cell>
          <cell r="BO31">
            <v>1657.2429540000412</v>
          </cell>
          <cell r="BP31">
            <v>-1346.9914619998672</v>
          </cell>
          <cell r="BQ31">
            <v>-6287.6937399998133</v>
          </cell>
          <cell r="BR31">
            <v>-6002.0510899997535</v>
          </cell>
          <cell r="BS31">
            <v>-2427.5244899999016</v>
          </cell>
          <cell r="BT31">
            <v>-6179.272129999983</v>
          </cell>
          <cell r="BU31">
            <v>-5463.1006100000595</v>
          </cell>
          <cell r="BV31">
            <v>-7380.8396899999061</v>
          </cell>
          <cell r="BW31">
            <v>-13664.221649999934</v>
          </cell>
          <cell r="BX31">
            <v>-3672.6345699997692</v>
          </cell>
          <cell r="BY31">
            <v>-1777.3545899999881</v>
          </cell>
          <cell r="BZ31">
            <v>-7690.0487899998334</v>
          </cell>
          <cell r="CB31">
            <v>4399.4433199999676</v>
          </cell>
          <cell r="CC31">
            <v>2892.5710399999807</v>
          </cell>
          <cell r="CD31">
            <v>-6429.2061243091084</v>
          </cell>
          <cell r="CE31">
            <v>-3203.9216143064477</v>
          </cell>
          <cell r="CF31">
            <v>-4418.1909645116684</v>
          </cell>
          <cell r="CG31">
            <v>165.58596579568984</v>
          </cell>
          <cell r="CH31">
            <v>3742.2237619590451</v>
          </cell>
          <cell r="CI31">
            <v>3302.1088149305506</v>
          </cell>
          <cell r="CJ31">
            <v>4360.4140437952447</v>
          </cell>
          <cell r="CK31">
            <v>-617.33138172345571</v>
          </cell>
          <cell r="CL31">
            <v>4563.0524418719651</v>
          </cell>
          <cell r="CM31">
            <v>-4805.6782839948028</v>
          </cell>
        </row>
        <row r="32">
          <cell r="A32" t="str">
            <v xml:space="preserve">      d/c Cuentas de déficit</v>
          </cell>
          <cell r="C32">
            <v>167048.06269999998</v>
          </cell>
          <cell r="D32">
            <v>185859.06269999998</v>
          </cell>
          <cell r="E32">
            <v>185859.06269999998</v>
          </cell>
          <cell r="F32">
            <v>216389.06269999998</v>
          </cell>
          <cell r="G32">
            <v>216389.06269999998</v>
          </cell>
          <cell r="H32">
            <v>255290.06269999998</v>
          </cell>
          <cell r="I32">
            <v>255290.06269999998</v>
          </cell>
          <cell r="J32">
            <v>253379.36269999997</v>
          </cell>
          <cell r="K32">
            <v>252628.76269999999</v>
          </cell>
          <cell r="L32">
            <v>249551.26269999999</v>
          </cell>
          <cell r="M32">
            <v>248833.56269999998</v>
          </cell>
          <cell r="N32">
            <v>247925.96269999997</v>
          </cell>
          <cell r="O32">
            <v>245720.46269999997</v>
          </cell>
          <cell r="P32">
            <v>245250.46269999997</v>
          </cell>
          <cell r="Q32">
            <v>244135.06269999998</v>
          </cell>
          <cell r="R32">
            <v>243347.76269999999</v>
          </cell>
          <cell r="S32">
            <v>243843.16269999999</v>
          </cell>
          <cell r="T32">
            <v>243602.46269999997</v>
          </cell>
          <cell r="U32">
            <v>243955.46269999997</v>
          </cell>
          <cell r="V32">
            <v>243955.46269999997</v>
          </cell>
          <cell r="W32">
            <v>241171.16269999999</v>
          </cell>
          <cell r="X32">
            <v>240106.47269999998</v>
          </cell>
          <cell r="Y32">
            <v>240999.46269999997</v>
          </cell>
          <cell r="Z32">
            <v>241885.46269999997</v>
          </cell>
          <cell r="AA32">
            <v>243426.46269999997</v>
          </cell>
          <cell r="AB32">
            <v>244178.46269999997</v>
          </cell>
          <cell r="AC32">
            <v>245717.46269999997</v>
          </cell>
          <cell r="AD32">
            <v>247133.46269999997</v>
          </cell>
          <cell r="AE32">
            <v>247869.46269999997</v>
          </cell>
          <cell r="AF32">
            <v>249052.46269999997</v>
          </cell>
          <cell r="AG32">
            <v>251988.46269999997</v>
          </cell>
          <cell r="AH32">
            <v>253789.46269999997</v>
          </cell>
          <cell r="AI32">
            <v>253789.46269999997</v>
          </cell>
          <cell r="AJ32">
            <v>257514.46269999997</v>
          </cell>
          <cell r="AK32">
            <v>261465.46269999997</v>
          </cell>
          <cell r="AL32">
            <v>266157.46269999997</v>
          </cell>
          <cell r="AM32">
            <v>272278.46269999997</v>
          </cell>
          <cell r="AN32">
            <v>278821.46269999997</v>
          </cell>
          <cell r="AO32">
            <v>284755.46269999997</v>
          </cell>
          <cell r="AP32">
            <v>290987.46269999997</v>
          </cell>
          <cell r="AQ32">
            <v>297033.46269999997</v>
          </cell>
          <cell r="AR32">
            <v>303207.46269999997</v>
          </cell>
          <cell r="AS32">
            <v>309646.46269999997</v>
          </cell>
          <cell r="AT32">
            <v>317788.46269999997</v>
          </cell>
          <cell r="AU32">
            <v>325015.46269999997</v>
          </cell>
          <cell r="AV32">
            <v>325015.46269999997</v>
          </cell>
          <cell r="AW32">
            <v>331568.3627</v>
          </cell>
          <cell r="AX32">
            <v>338544.06269999995</v>
          </cell>
          <cell r="AY32">
            <v>346754.76269999996</v>
          </cell>
          <cell r="AZ32">
            <v>354495.16269999999</v>
          </cell>
          <cell r="BA32">
            <v>362698.06269999995</v>
          </cell>
          <cell r="BB32">
            <v>370249.8627</v>
          </cell>
          <cell r="BC32">
            <v>378155.96269999997</v>
          </cell>
          <cell r="BD32">
            <v>385449.66269999999</v>
          </cell>
          <cell r="BE32">
            <v>394017.46269999997</v>
          </cell>
          <cell r="BF32">
            <v>402737.06270000001</v>
          </cell>
          <cell r="BG32">
            <v>411984.8627</v>
          </cell>
          <cell r="BH32">
            <v>424731.96269999997</v>
          </cell>
          <cell r="BJ32">
            <v>18811</v>
          </cell>
          <cell r="BK32">
            <v>30530</v>
          </cell>
          <cell r="BL32">
            <v>38901</v>
          </cell>
          <cell r="BN32">
            <v>38901</v>
          </cell>
          <cell r="BO32">
            <v>-1910.7000000000116</v>
          </cell>
          <cell r="BP32">
            <v>-2661.2999999999884</v>
          </cell>
          <cell r="BQ32">
            <v>-5738.7999999999884</v>
          </cell>
          <cell r="BR32">
            <v>-6456.5</v>
          </cell>
          <cell r="BS32">
            <v>-7364.1000000000058</v>
          </cell>
          <cell r="BT32">
            <v>-9569.6000000000058</v>
          </cell>
          <cell r="BU32">
            <v>-10039.600000000006</v>
          </cell>
          <cell r="BV32">
            <v>-11155</v>
          </cell>
          <cell r="BW32">
            <v>-11942.299999999988</v>
          </cell>
          <cell r="BX32">
            <v>-11446.899999999994</v>
          </cell>
          <cell r="BY32">
            <v>-11687.600000000006</v>
          </cell>
          <cell r="BZ32">
            <v>-11334.600000000006</v>
          </cell>
          <cell r="CB32">
            <v>-2784.2999999999884</v>
          </cell>
          <cell r="CC32">
            <v>-3848.9899999999907</v>
          </cell>
          <cell r="CD32">
            <v>-2956</v>
          </cell>
          <cell r="CE32">
            <v>-2070</v>
          </cell>
          <cell r="CF32">
            <v>-529</v>
          </cell>
          <cell r="CG32">
            <v>223</v>
          </cell>
          <cell r="CH32">
            <v>1762</v>
          </cell>
          <cell r="CI32">
            <v>3178</v>
          </cell>
          <cell r="CJ32">
            <v>3914</v>
          </cell>
          <cell r="CK32">
            <v>5097</v>
          </cell>
          <cell r="CL32">
            <v>8033</v>
          </cell>
          <cell r="CM32">
            <v>9834</v>
          </cell>
        </row>
        <row r="33">
          <cell r="A33" t="str">
            <v xml:space="preserve">               - Artículo 175</v>
          </cell>
          <cell r="H33">
            <v>-46480.262000000002</v>
          </cell>
          <cell r="I33">
            <v>-46480.262000000002</v>
          </cell>
          <cell r="J33">
            <v>-51068.566000000006</v>
          </cell>
          <cell r="K33">
            <v>-55656.639999999999</v>
          </cell>
          <cell r="L33">
            <v>-60246.104000000007</v>
          </cell>
          <cell r="M33">
            <v>-64836.729000000007</v>
          </cell>
          <cell r="N33">
            <v>-69427.120999999999</v>
          </cell>
          <cell r="O33">
            <v>-74009.394000000015</v>
          </cell>
          <cell r="P33">
            <v>-77339.524000000005</v>
          </cell>
          <cell r="Q33">
            <v>-81785.853000000003</v>
          </cell>
          <cell r="R33">
            <v>-86190.982000000004</v>
          </cell>
          <cell r="S33">
            <v>-90382.188000000009</v>
          </cell>
          <cell r="T33">
            <v>-94823.49500000001</v>
          </cell>
          <cell r="U33">
            <v>-99228.623000000007</v>
          </cell>
          <cell r="V33">
            <v>-99486.232580000011</v>
          </cell>
          <cell r="W33">
            <v>-85700.646740000011</v>
          </cell>
          <cell r="X33">
            <v>-90109.413800000009</v>
          </cell>
          <cell r="Y33">
            <v>-94518.181859999997</v>
          </cell>
          <cell r="Z33">
            <v>-98926.94892000001</v>
          </cell>
          <cell r="AA33">
            <v>-62846.176000000007</v>
          </cell>
          <cell r="AB33">
            <v>-62846.176000000007</v>
          </cell>
          <cell r="AC33">
            <v>-62846.176000000007</v>
          </cell>
          <cell r="AD33">
            <v>-62846.176000000007</v>
          </cell>
          <cell r="AE33">
            <v>-62846.176000000007</v>
          </cell>
          <cell r="AF33">
            <v>-62846.176000000007</v>
          </cell>
          <cell r="AG33">
            <v>-62846.176000000007</v>
          </cell>
          <cell r="AH33">
            <v>-62846.176000000007</v>
          </cell>
          <cell r="AI33">
            <v>-62846.176000000007</v>
          </cell>
          <cell r="AJ33">
            <v>-62846.176000000007</v>
          </cell>
          <cell r="AK33">
            <v>-62846.176000000007</v>
          </cell>
          <cell r="AL33">
            <v>-62846.176000000007</v>
          </cell>
          <cell r="AM33">
            <v>-62846.176000000007</v>
          </cell>
          <cell r="AN33">
            <v>-62846.176000000007</v>
          </cell>
          <cell r="AO33">
            <v>-62846.176000000007</v>
          </cell>
          <cell r="AP33">
            <v>-62846.176000000007</v>
          </cell>
          <cell r="AQ33">
            <v>-62846.176000000007</v>
          </cell>
          <cell r="AR33">
            <v>-62846.176000000007</v>
          </cell>
          <cell r="AS33">
            <v>-62846.176000000007</v>
          </cell>
          <cell r="AT33">
            <v>-62846.176000000007</v>
          </cell>
          <cell r="AU33">
            <v>-62846.176000000007</v>
          </cell>
          <cell r="AV33">
            <v>-62846.176000000007</v>
          </cell>
          <cell r="AW33">
            <v>-62846.176000000007</v>
          </cell>
          <cell r="AX33">
            <v>-62846.176000000007</v>
          </cell>
          <cell r="AY33">
            <v>-62846.176000000007</v>
          </cell>
          <cell r="AZ33">
            <v>-62846.176000000007</v>
          </cell>
          <cell r="BA33">
            <v>-62846.176000000007</v>
          </cell>
          <cell r="BB33">
            <v>-62846.176000000007</v>
          </cell>
          <cell r="BC33">
            <v>-62846.176000000007</v>
          </cell>
          <cell r="BD33">
            <v>-62846.176000000007</v>
          </cell>
          <cell r="BE33">
            <v>-62846.176000000007</v>
          </cell>
          <cell r="BF33">
            <v>-62958.302200000006</v>
          </cell>
          <cell r="BG33">
            <v>-63070.428400000004</v>
          </cell>
          <cell r="BH33">
            <v>-63182.554600000003</v>
          </cell>
          <cell r="BJ33">
            <v>99486.232580000011</v>
          </cell>
          <cell r="BK33">
            <v>99486.232580000011</v>
          </cell>
          <cell r="BL33">
            <v>53005.970580000008</v>
          </cell>
          <cell r="BN33">
            <v>-46480.262000000002</v>
          </cell>
          <cell r="BO33">
            <v>-4588.3040000000037</v>
          </cell>
          <cell r="BP33">
            <v>-9176.377999999997</v>
          </cell>
          <cell r="BQ33">
            <v>-13765.842000000004</v>
          </cell>
          <cell r="BR33">
            <v>-18356.467000000004</v>
          </cell>
          <cell r="BS33">
            <v>-22946.858999999997</v>
          </cell>
          <cell r="BT33">
            <v>-27529.132000000012</v>
          </cell>
          <cell r="BU33">
            <v>-30859.262000000002</v>
          </cell>
          <cell r="BV33">
            <v>-35305.591</v>
          </cell>
          <cell r="BW33">
            <v>-39710.720000000001</v>
          </cell>
          <cell r="BX33">
            <v>-43901.926000000007</v>
          </cell>
          <cell r="BY33">
            <v>-48343.233000000007</v>
          </cell>
          <cell r="BZ33">
            <v>-52748.361000000004</v>
          </cell>
          <cell r="CB33">
            <v>13785.58584</v>
          </cell>
          <cell r="CC33">
            <v>9376.8187800000014</v>
          </cell>
          <cell r="CD33">
            <v>4968.0507200000138</v>
          </cell>
          <cell r="CE33">
            <v>559.28366000000096</v>
          </cell>
          <cell r="CF33">
            <v>36640.056580000004</v>
          </cell>
          <cell r="CG33">
            <v>36640.056580000004</v>
          </cell>
          <cell r="CH33">
            <v>36640.056580000004</v>
          </cell>
          <cell r="CI33">
            <v>36640.056580000004</v>
          </cell>
          <cell r="CJ33">
            <v>36640.056580000004</v>
          </cell>
          <cell r="CK33">
            <v>36640.056580000004</v>
          </cell>
          <cell r="CL33">
            <v>36640.056580000004</v>
          </cell>
          <cell r="CM33">
            <v>36640.056580000004</v>
          </cell>
        </row>
        <row r="34">
          <cell r="A34" t="str">
            <v xml:space="preserve">            Cuentas de fluctuación</v>
          </cell>
          <cell r="C34">
            <v>168444.0877</v>
          </cell>
          <cell r="D34">
            <v>171739.50618</v>
          </cell>
          <cell r="E34">
            <v>189404.38883999997</v>
          </cell>
          <cell r="F34">
            <v>186020.079857</v>
          </cell>
          <cell r="G34">
            <v>202704.96296899999</v>
          </cell>
          <cell r="H34">
            <v>147120.41808</v>
          </cell>
          <cell r="I34">
            <v>163405.45112000004</v>
          </cell>
          <cell r="J34">
            <v>163775.55410000007</v>
          </cell>
          <cell r="K34">
            <v>162591.42266800007</v>
          </cell>
          <cell r="L34">
            <v>159534.67411000005</v>
          </cell>
          <cell r="M34">
            <v>158713.1267600001</v>
          </cell>
          <cell r="N34">
            <v>158054.95514000003</v>
          </cell>
          <cell r="O34">
            <v>156272.63014999998</v>
          </cell>
          <cell r="P34">
            <v>158247.15708</v>
          </cell>
          <cell r="Q34">
            <v>157158.33010000002</v>
          </cell>
          <cell r="R34">
            <v>164329.81211000006</v>
          </cell>
          <cell r="S34">
            <v>170373.28888000001</v>
          </cell>
          <cell r="T34">
            <v>173105.86408000006</v>
          </cell>
          <cell r="U34">
            <v>173656.75408000004</v>
          </cell>
          <cell r="V34">
            <v>184859.59060000003</v>
          </cell>
          <cell r="W34">
            <v>190914.44029999999</v>
          </cell>
          <cell r="X34">
            <v>191576.08833999999</v>
          </cell>
          <cell r="Y34">
            <v>186217.89294769824</v>
          </cell>
          <cell r="Z34">
            <v>183714.79394332104</v>
          </cell>
          <cell r="AA34">
            <v>181392.41081872891</v>
          </cell>
          <cell r="AB34">
            <v>184574.28984014763</v>
          </cell>
          <cell r="AC34">
            <v>184481.64041824781</v>
          </cell>
          <cell r="AD34">
            <v>183470.27054637024</v>
          </cell>
          <cell r="AE34">
            <v>183094.28956494722</v>
          </cell>
          <cell r="AF34">
            <v>183212.56401789366</v>
          </cell>
          <cell r="AG34">
            <v>184652.02397198012</v>
          </cell>
          <cell r="AH34">
            <v>184779.24095087359</v>
          </cell>
          <cell r="AI34">
            <v>197749.56049462513</v>
          </cell>
          <cell r="AJ34">
            <v>199910.27777552689</v>
          </cell>
          <cell r="AK34">
            <v>200126.69029896744</v>
          </cell>
          <cell r="AL34">
            <v>199993.47315313236</v>
          </cell>
          <cell r="AM34">
            <v>197375.75717132166</v>
          </cell>
          <cell r="AN34">
            <v>195195.10884432207</v>
          </cell>
          <cell r="AO34">
            <v>193875.04081246624</v>
          </cell>
          <cell r="AP34">
            <v>190907.50035972742</v>
          </cell>
          <cell r="AQ34">
            <v>202995.60344031831</v>
          </cell>
          <cell r="AR34">
            <v>204783.3757547274</v>
          </cell>
          <cell r="AS34">
            <v>206505.40497075577</v>
          </cell>
          <cell r="AT34">
            <v>305115.512181748</v>
          </cell>
          <cell r="AU34">
            <v>303285.61984234967</v>
          </cell>
          <cell r="AV34">
            <v>301831.06696859677</v>
          </cell>
          <cell r="AW34">
            <v>303803.28207930131</v>
          </cell>
          <cell r="AX34">
            <v>300723.3309780102</v>
          </cell>
          <cell r="AY34">
            <v>299938.25166450121</v>
          </cell>
          <cell r="AZ34">
            <v>301087.44585351163</v>
          </cell>
          <cell r="BA34">
            <v>297679.66406816145</v>
          </cell>
          <cell r="BB34">
            <v>295191.14449928346</v>
          </cell>
          <cell r="BC34">
            <v>295657.79925911035</v>
          </cell>
          <cell r="BD34">
            <v>294331.00258821726</v>
          </cell>
          <cell r="BE34">
            <v>289714.16373353999</v>
          </cell>
          <cell r="BF34">
            <v>289714.16373353999</v>
          </cell>
          <cell r="BG34">
            <v>289714.16373353999</v>
          </cell>
          <cell r="BH34">
            <v>301831.06696859677</v>
          </cell>
          <cell r="BJ34">
            <v>3295.418479999993</v>
          </cell>
          <cell r="BK34">
            <v>-3384.3089829999662</v>
          </cell>
          <cell r="BL34">
            <v>-55584.544888999983</v>
          </cell>
          <cell r="BN34">
            <v>-55584.544888999983</v>
          </cell>
          <cell r="BO34">
            <v>370.10298000002513</v>
          </cell>
          <cell r="BP34">
            <v>-814.02845199996955</v>
          </cell>
          <cell r="BQ34">
            <v>-3870.7770099999907</v>
          </cell>
          <cell r="BR34">
            <v>-4692.3243599999405</v>
          </cell>
          <cell r="BS34">
            <v>-5350.495980000007</v>
          </cell>
          <cell r="BT34">
            <v>-7132.8209700000589</v>
          </cell>
          <cell r="BU34">
            <v>-5158.2940400000371</v>
          </cell>
          <cell r="BV34">
            <v>-6247.1210200000205</v>
          </cell>
          <cell r="BW34">
            <v>924.36099000001559</v>
          </cell>
          <cell r="BX34">
            <v>6967.8377599999658</v>
          </cell>
          <cell r="BY34">
            <v>9700.412960000016</v>
          </cell>
          <cell r="BZ34">
            <v>10251.302960000001</v>
          </cell>
          <cell r="CB34">
            <v>6054.8496999999625</v>
          </cell>
          <cell r="CC34">
            <v>6716.4977399999625</v>
          </cell>
          <cell r="CD34">
            <v>1358.3023476982198</v>
          </cell>
          <cell r="CE34">
            <v>-1144.7966566789837</v>
          </cell>
          <cell r="CF34">
            <v>-3467.1797812711156</v>
          </cell>
          <cell r="CG34">
            <v>-285.30075985239819</v>
          </cell>
          <cell r="CH34">
            <v>-377.95018175221048</v>
          </cell>
          <cell r="CI34">
            <v>-1389.3200536297809</v>
          </cell>
          <cell r="CJ34">
            <v>-1765.3010350528057</v>
          </cell>
          <cell r="CK34">
            <v>-1647.0265821063658</v>
          </cell>
          <cell r="CL34">
            <v>-207.56662801990751</v>
          </cell>
          <cell r="CM34">
            <v>-80.349649126437725</v>
          </cell>
        </row>
        <row r="35">
          <cell r="A35" t="str">
            <v xml:space="preserve">            Otros</v>
          </cell>
          <cell r="C35">
            <v>-35581.802450000032</v>
          </cell>
          <cell r="D35">
            <v>-20909.614780000062</v>
          </cell>
          <cell r="E35">
            <v>-13890.476110000018</v>
          </cell>
          <cell r="F35">
            <v>15561.573865999992</v>
          </cell>
          <cell r="G35">
            <v>27283.82495400004</v>
          </cell>
          <cell r="H35">
            <v>-133245.46887799999</v>
          </cell>
          <cell r="I35">
            <v>-128742.26699</v>
          </cell>
          <cell r="J35">
            <v>-125544.42701600002</v>
          </cell>
          <cell r="K35">
            <v>-126613.93</v>
          </cell>
          <cell r="L35">
            <v>-125420.38371999998</v>
          </cell>
          <cell r="M35">
            <v>-123595.49371999998</v>
          </cell>
          <cell r="N35">
            <v>-118455.1955</v>
          </cell>
          <cell r="O35">
            <v>-118219.11814999999</v>
          </cell>
          <cell r="P35">
            <v>-119007.47356</v>
          </cell>
          <cell r="Q35">
            <v>-118720.98566000001</v>
          </cell>
          <cell r="R35">
            <v>-131388.54963000002</v>
          </cell>
          <cell r="S35">
            <v>-127935.83931999994</v>
          </cell>
          <cell r="T35">
            <v>-128532.43454000003</v>
          </cell>
          <cell r="U35">
            <v>-135349.01873999997</v>
          </cell>
          <cell r="V35">
            <v>-129717.53303999998</v>
          </cell>
          <cell r="W35">
            <v>-128588.63941999998</v>
          </cell>
          <cell r="X35">
            <v>-129692.46973999996</v>
          </cell>
          <cell r="Y35">
            <v>-134549.04151200727</v>
          </cell>
          <cell r="Z35">
            <v>-129706.65799762748</v>
          </cell>
          <cell r="AA35">
            <v>-130139.54422324052</v>
          </cell>
          <cell r="AB35">
            <v>-129489.64631435188</v>
          </cell>
          <cell r="AC35">
            <v>-127359.35909628871</v>
          </cell>
          <cell r="AD35">
            <v>-128204.10417143969</v>
          </cell>
          <cell r="AE35">
            <v>-127505.81796115192</v>
          </cell>
          <cell r="AF35">
            <v>-133784.83783961713</v>
          </cell>
          <cell r="AG35">
            <v>-132979.9139701082</v>
          </cell>
          <cell r="AH35">
            <v>-144276.86167486833</v>
          </cell>
          <cell r="AI35">
            <v>-139010.7985335947</v>
          </cell>
          <cell r="AJ35">
            <v>-151077.25266141613</v>
          </cell>
          <cell r="AK35">
            <v>-166984.4636241915</v>
          </cell>
          <cell r="AL35">
            <v>-175285.44511645299</v>
          </cell>
          <cell r="AM35">
            <v>-180801.09340019495</v>
          </cell>
          <cell r="AN35">
            <v>-187282.20312077133</v>
          </cell>
          <cell r="AO35">
            <v>-188307.98308621137</v>
          </cell>
          <cell r="AP35">
            <v>-190101.48944049131</v>
          </cell>
          <cell r="AQ35">
            <v>-189673.64932151366</v>
          </cell>
          <cell r="AR35">
            <v>-189657.97008423816</v>
          </cell>
          <cell r="AS35">
            <v>-191468.80201144409</v>
          </cell>
          <cell r="AT35">
            <v>-211763.07062545122</v>
          </cell>
          <cell r="AU35">
            <v>-209853.42200531403</v>
          </cell>
          <cell r="AV35">
            <v>-208963.18784458432</v>
          </cell>
          <cell r="AW35">
            <v>-211196.92160002474</v>
          </cell>
          <cell r="AX35">
            <v>-230579.24694983879</v>
          </cell>
          <cell r="AY35">
            <v>-230263.7718400665</v>
          </cell>
          <cell r="AZ35">
            <v>-235579.00586763085</v>
          </cell>
          <cell r="BA35">
            <v>-233968.41176831009</v>
          </cell>
          <cell r="BB35">
            <v>-231013.81479903127</v>
          </cell>
          <cell r="BC35">
            <v>-240155.11463301253</v>
          </cell>
          <cell r="BD35">
            <v>-241058.70215220598</v>
          </cell>
          <cell r="BE35">
            <v>-241027.28137909996</v>
          </cell>
          <cell r="BF35">
            <v>-256033.44960756961</v>
          </cell>
          <cell r="BG35">
            <v>-260485.02459630085</v>
          </cell>
          <cell r="BH35">
            <v>-259301.6665585665</v>
          </cell>
          <cell r="BJ35">
            <v>14672.18766999997</v>
          </cell>
          <cell r="BK35">
            <v>29452.049976000009</v>
          </cell>
          <cell r="BL35">
            <v>-160529.29383200002</v>
          </cell>
          <cell r="BN35">
            <v>-160529.29383200002</v>
          </cell>
          <cell r="BO35">
            <v>3197.8399739999877</v>
          </cell>
          <cell r="BP35">
            <v>2128.3369900000107</v>
          </cell>
          <cell r="BQ35">
            <v>3321.8832700000203</v>
          </cell>
          <cell r="BR35">
            <v>5146.7732700000197</v>
          </cell>
          <cell r="BS35">
            <v>10287.071490000002</v>
          </cell>
          <cell r="BT35">
            <v>10523.148840000009</v>
          </cell>
          <cell r="BU35">
            <v>9734.7934300000052</v>
          </cell>
          <cell r="BV35">
            <v>10021.281329999998</v>
          </cell>
          <cell r="BW35">
            <v>-2646.2826400000195</v>
          </cell>
          <cell r="BX35">
            <v>806.42767000006279</v>
          </cell>
          <cell r="BY35">
            <v>209.8324499999726</v>
          </cell>
          <cell r="BZ35">
            <v>-6606.7517499999667</v>
          </cell>
          <cell r="CB35">
            <v>1128.8936200000026</v>
          </cell>
          <cell r="CC35">
            <v>25.063300000023446</v>
          </cell>
          <cell r="CD35">
            <v>-4831.5084720072919</v>
          </cell>
          <cell r="CE35">
            <v>10.875042372499593</v>
          </cell>
          <cell r="CF35">
            <v>-422.01118324053823</v>
          </cell>
          <cell r="CG35">
            <v>227.88672564810258</v>
          </cell>
          <cell r="CH35">
            <v>2358.1739437112701</v>
          </cell>
          <cell r="CI35">
            <v>1513.4288685602951</v>
          </cell>
          <cell r="CJ35">
            <v>2211.7150788480649</v>
          </cell>
          <cell r="CK35">
            <v>-4067.3047996171517</v>
          </cell>
          <cell r="CL35">
            <v>-3262.3809301082219</v>
          </cell>
          <cell r="CM35">
            <v>-14559.328634868347</v>
          </cell>
        </row>
        <row r="37">
          <cell r="A37" t="str">
            <v>BRECHA</v>
          </cell>
          <cell r="C37">
            <v>-0.7122199999721488</v>
          </cell>
          <cell r="D37">
            <v>-3.5999995452584699E-4</v>
          </cell>
          <cell r="E37">
            <v>-3.5999989631818607E-4</v>
          </cell>
          <cell r="F37">
            <v>-9.3699994613416493E-4</v>
          </cell>
          <cell r="G37">
            <v>-9.3699996796203777E-4</v>
          </cell>
          <cell r="H37">
            <v>-1.5829999931156635E-2</v>
          </cell>
          <cell r="I37">
            <v>-1.5829999931156635E-2</v>
          </cell>
          <cell r="J37">
            <v>2.8796000056900084E-2</v>
          </cell>
          <cell r="K37">
            <v>4.2621999949915335E-2</v>
          </cell>
          <cell r="L37">
            <v>-1.1000000522471964E-3</v>
          </cell>
          <cell r="M37">
            <v>-2.5000001769512892E-3</v>
          </cell>
          <cell r="N37">
            <v>-1.3300000573508441E-3</v>
          </cell>
          <cell r="O37">
            <v>7.31500000692904E-2</v>
          </cell>
          <cell r="P37">
            <v>-0.69820999994408339</v>
          </cell>
          <cell r="Q37">
            <v>-1.2099999294150621E-3</v>
          </cell>
          <cell r="R37">
            <v>-1.1799999629147351E-3</v>
          </cell>
          <cell r="S37">
            <v>5.2679999847896397E-2</v>
          </cell>
          <cell r="T37">
            <v>5.1820000051520765E-2</v>
          </cell>
          <cell r="U37">
            <v>-0.29224000009708107</v>
          </cell>
          <cell r="V37">
            <v>-0.2922400001261849</v>
          </cell>
          <cell r="W37">
            <v>-5.1800000946968794E-3</v>
          </cell>
          <cell r="X37">
            <v>3.6199998576194048E-3</v>
          </cell>
          <cell r="Y37">
            <v>-2.890047680324642</v>
          </cell>
          <cell r="Z37">
            <v>-2.8833099468029104</v>
          </cell>
          <cell r="AA37">
            <v>9.8406565957702696E-3</v>
          </cell>
          <cell r="AB37">
            <v>-4.7396831505466253E-3</v>
          </cell>
          <cell r="AC37">
            <v>3.0128327547572553E-2</v>
          </cell>
          <cell r="AD37">
            <v>-7.6104014238808304E-2</v>
          </cell>
          <cell r="AE37">
            <v>1.4573432679753751E-2</v>
          </cell>
          <cell r="AF37">
            <v>-3.1550163839710876E-2</v>
          </cell>
          <cell r="AG37">
            <v>6.0285379731794819E-2</v>
          </cell>
          <cell r="AH37">
            <v>-2.3793587344698608E-2</v>
          </cell>
          <cell r="AI37">
            <v>-2.379358746111393E-2</v>
          </cell>
          <cell r="AJ37">
            <v>0.38334741142170969</v>
          </cell>
          <cell r="AK37">
            <v>5.4563084180699661E-2</v>
          </cell>
          <cell r="AL37">
            <v>0.11935076583176851</v>
          </cell>
          <cell r="AM37">
            <v>1.6139967017807066E-2</v>
          </cell>
          <cell r="AN37">
            <v>-4.6886856871424243E-3</v>
          </cell>
          <cell r="AO37">
            <v>5.7396395422983915E-3</v>
          </cell>
          <cell r="AP37">
            <v>9.2624869488645345E-2</v>
          </cell>
          <cell r="AQ37">
            <v>9.3196370798978023E-2</v>
          </cell>
          <cell r="AR37">
            <v>9.3809659651014954E-2</v>
          </cell>
          <cell r="AS37">
            <v>9.4507399742724374E-2</v>
          </cell>
          <cell r="AT37">
            <v>2.7258858608547598E-4</v>
          </cell>
          <cell r="AU37">
            <v>2.725890080910176E-4</v>
          </cell>
          <cell r="AV37">
            <v>2.7258883346803486E-4</v>
          </cell>
          <cell r="AW37">
            <v>2.7259087073616683E-4</v>
          </cell>
          <cell r="AX37">
            <v>2.725892118178308E-4</v>
          </cell>
          <cell r="AY37">
            <v>0</v>
          </cell>
          <cell r="AZ37">
            <v>-1.0360963642597198E-8</v>
          </cell>
          <cell r="BA37">
            <v>-7.5669959187507629E-10</v>
          </cell>
          <cell r="BB37">
            <v>-6.4028427004814148E-10</v>
          </cell>
          <cell r="BC37">
            <v>-4.6566128730773926E-10</v>
          </cell>
          <cell r="BD37">
            <v>-1.0477378964424133E-9</v>
          </cell>
          <cell r="BE37">
            <v>1.6444400534965098E-3</v>
          </cell>
          <cell r="BF37">
            <v>-8.097019512206316E-2</v>
          </cell>
          <cell r="BG37">
            <v>0.18314377739443444</v>
          </cell>
          <cell r="BH37">
            <v>0.43393877390190028</v>
          </cell>
          <cell r="BJ37">
            <v>0.71186000001762295</v>
          </cell>
          <cell r="BK37">
            <v>-5.7700004981597885E-4</v>
          </cell>
          <cell r="BL37">
            <v>-1.4892999963194598E-2</v>
          </cell>
          <cell r="BN37">
            <v>-1.4892999963194598E-2</v>
          </cell>
          <cell r="BO37">
            <v>4.4625999988056719E-2</v>
          </cell>
          <cell r="BP37">
            <v>5.845199988107197E-2</v>
          </cell>
          <cell r="BQ37">
            <v>1.4729999878909439E-2</v>
          </cell>
          <cell r="BR37">
            <v>1.3329999754205346E-2</v>
          </cell>
          <cell r="BS37">
            <v>1.4499999873805791E-2</v>
          </cell>
          <cell r="BT37">
            <v>8.8980000000447035E-2</v>
          </cell>
          <cell r="BU37">
            <v>-0.68238000001292676</v>
          </cell>
          <cell r="BV37">
            <v>1.4620000001741573E-2</v>
          </cell>
          <cell r="BW37">
            <v>1.46499999682419E-2</v>
          </cell>
          <cell r="BX37">
            <v>6.8509999779053032E-2</v>
          </cell>
          <cell r="BY37">
            <v>6.76499999826774E-2</v>
          </cell>
          <cell r="BZ37">
            <v>-0.27641000016592443</v>
          </cell>
          <cell r="CB37">
            <v>0.28706000003148802</v>
          </cell>
          <cell r="CC37">
            <v>0.2958599999838043</v>
          </cell>
          <cell r="CD37">
            <v>-2.5978076801984571</v>
          </cell>
          <cell r="CE37">
            <v>-2.5910699466767255</v>
          </cell>
          <cell r="CF37">
            <v>0.30208065672195517</v>
          </cell>
          <cell r="CG37">
            <v>0.28750031697563827</v>
          </cell>
          <cell r="CH37">
            <v>0.32236832767375745</v>
          </cell>
          <cell r="CI37">
            <v>0.21613598588737659</v>
          </cell>
          <cell r="CJ37">
            <v>0.30681343280593865</v>
          </cell>
          <cell r="CK37">
            <v>0.26068983628647402</v>
          </cell>
          <cell r="CL37">
            <v>0.35252537985797971</v>
          </cell>
          <cell r="CM37">
            <v>0.26844641278148629</v>
          </cell>
        </row>
        <row r="39">
          <cell r="A39" t="str">
            <v>NUMERARIO DEL PUBLICO</v>
          </cell>
          <cell r="C39">
            <v>53696.272599999997</v>
          </cell>
          <cell r="D39">
            <v>73068.218900000007</v>
          </cell>
          <cell r="E39">
            <v>73068.218900000007</v>
          </cell>
          <cell r="F39">
            <v>80667.872700000007</v>
          </cell>
          <cell r="G39">
            <v>80667.872700000007</v>
          </cell>
          <cell r="H39">
            <v>91743.196599999996</v>
          </cell>
          <cell r="I39">
            <v>91743.196599999996</v>
          </cell>
          <cell r="J39">
            <v>80650.385399999999</v>
          </cell>
          <cell r="K39">
            <v>80593.680900000007</v>
          </cell>
          <cell r="L39">
            <v>78669.5049</v>
          </cell>
          <cell r="M39">
            <v>79119.371099999989</v>
          </cell>
          <cell r="N39">
            <v>79825.696100000001</v>
          </cell>
          <cell r="O39">
            <v>76587.113499999992</v>
          </cell>
          <cell r="P39">
            <v>77475.1783</v>
          </cell>
          <cell r="Q39">
            <v>81026.564399999988</v>
          </cell>
          <cell r="R39">
            <v>77588.65310000001</v>
          </cell>
          <cell r="S39">
            <v>83700.949200000003</v>
          </cell>
          <cell r="T39">
            <v>92631.541100000002</v>
          </cell>
          <cell r="U39">
            <v>106814.88740000001</v>
          </cell>
          <cell r="V39">
            <v>106814.88740000001</v>
          </cell>
          <cell r="W39">
            <v>100873.5209</v>
          </cell>
          <cell r="X39">
            <v>98129.2255</v>
          </cell>
          <cell r="Y39">
            <v>92583.344433849998</v>
          </cell>
          <cell r="Z39">
            <v>95994.370574850007</v>
          </cell>
          <cell r="AA39">
            <v>95367.399720149988</v>
          </cell>
          <cell r="AB39">
            <v>89263.798483149993</v>
          </cell>
          <cell r="AC39">
            <v>92043.951789149985</v>
          </cell>
          <cell r="AD39">
            <v>89844.951084649991</v>
          </cell>
          <cell r="AE39">
            <v>88714.540307150004</v>
          </cell>
          <cell r="AF39">
            <v>95453.821664899995</v>
          </cell>
          <cell r="AG39">
            <v>97564.69670890001</v>
          </cell>
          <cell r="AH39">
            <v>124166.60307590001</v>
          </cell>
          <cell r="AI39">
            <v>124166.60307590001</v>
          </cell>
          <cell r="AJ39">
            <v>109090.44898189999</v>
          </cell>
          <cell r="AK39">
            <v>107027.30082939999</v>
          </cell>
          <cell r="AL39">
            <v>108002.13425239999</v>
          </cell>
          <cell r="AM39">
            <v>106011.46355489999</v>
          </cell>
          <cell r="AN39">
            <v>100986.35409990001</v>
          </cell>
          <cell r="AO39">
            <v>97256.818038400015</v>
          </cell>
          <cell r="AP39">
            <v>103558.429156</v>
          </cell>
          <cell r="AQ39">
            <v>98260.429014000023</v>
          </cell>
          <cell r="AR39">
            <v>101087.90062</v>
          </cell>
          <cell r="AS39">
            <v>107503.95507949998</v>
          </cell>
          <cell r="AT39">
            <v>114000.63733100001</v>
          </cell>
          <cell r="AU39">
            <v>144264.32780324999</v>
          </cell>
          <cell r="AV39">
            <v>144264.32780324999</v>
          </cell>
          <cell r="AW39">
            <v>125121.65333525001</v>
          </cell>
          <cell r="AX39">
            <v>116103.769806</v>
          </cell>
          <cell r="AY39">
            <v>118339.30807510001</v>
          </cell>
          <cell r="AZ39">
            <v>119176.1300011</v>
          </cell>
          <cell r="BA39">
            <v>111020.97714134998</v>
          </cell>
          <cell r="BB39">
            <v>114359.91861485</v>
          </cell>
          <cell r="BC39">
            <v>113619.14342635</v>
          </cell>
          <cell r="BD39">
            <v>113392.68521634999</v>
          </cell>
          <cell r="BE39">
            <v>118731.415611</v>
          </cell>
          <cell r="BF39">
            <v>127051.77740137951</v>
          </cell>
          <cell r="BG39">
            <v>138002.80945409046</v>
          </cell>
          <cell r="BH39">
            <v>163912.53682743039</v>
          </cell>
          <cell r="BJ39">
            <v>19371.946300000011</v>
          </cell>
          <cell r="BK39">
            <v>7599.6538</v>
          </cell>
          <cell r="BL39">
            <v>11075.323899999988</v>
          </cell>
          <cell r="BN39">
            <v>11075.323899999988</v>
          </cell>
          <cell r="BO39">
            <v>-11092.811199999996</v>
          </cell>
          <cell r="BP39">
            <v>-11149.515699999989</v>
          </cell>
          <cell r="BQ39">
            <v>-13073.691699999996</v>
          </cell>
          <cell r="BR39">
            <v>-12623.825500000006</v>
          </cell>
          <cell r="BS39">
            <v>-11917.500499999995</v>
          </cell>
          <cell r="BT39">
            <v>-15156.083100000003</v>
          </cell>
          <cell r="BU39">
            <v>-14268.018299999996</v>
          </cell>
          <cell r="BV39">
            <v>-10716.632200000007</v>
          </cell>
          <cell r="BW39">
            <v>-14154.543499999985</v>
          </cell>
          <cell r="BX39">
            <v>-8042.2473999999929</v>
          </cell>
          <cell r="BY39">
            <v>888.34450000000652</v>
          </cell>
          <cell r="BZ39">
            <v>15071.690800000011</v>
          </cell>
          <cell r="CB39">
            <v>-5941.3665000000037</v>
          </cell>
          <cell r="CC39">
            <v>-8685.6619000000064</v>
          </cell>
          <cell r="CD39">
            <v>-14231.542966150009</v>
          </cell>
          <cell r="CE39">
            <v>-10820.51682515</v>
          </cell>
          <cell r="CF39">
            <v>-11447.487679850019</v>
          </cell>
          <cell r="CG39">
            <v>-17551.088916850014</v>
          </cell>
          <cell r="CH39">
            <v>-14770.935610850021</v>
          </cell>
          <cell r="CI39">
            <v>-16969.936315350016</v>
          </cell>
          <cell r="CJ39">
            <v>-18100.347092850003</v>
          </cell>
          <cell r="CK39">
            <v>-11361.065735100012</v>
          </cell>
          <cell r="CL39">
            <v>-9250.1906910999969</v>
          </cell>
          <cell r="CM39">
            <v>17351.715675900006</v>
          </cell>
        </row>
        <row r="41">
          <cell r="A41" t="str">
            <v>Control</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J41">
            <v>-1.8189894035458565E-11</v>
          </cell>
          <cell r="BK41">
            <v>0</v>
          </cell>
          <cell r="BL41">
            <v>2.1827872842550278E-11</v>
          </cell>
          <cell r="BN41">
            <v>2.1827872842550278E-11</v>
          </cell>
          <cell r="BO41">
            <v>0</v>
          </cell>
          <cell r="BP41">
            <v>0</v>
          </cell>
          <cell r="BQ41">
            <v>1.8189894035458565E-12</v>
          </cell>
          <cell r="BR41">
            <v>1.8189894035458565E-12</v>
          </cell>
          <cell r="BS41">
            <v>0</v>
          </cell>
          <cell r="BT41">
            <v>0</v>
          </cell>
          <cell r="BU41">
            <v>0</v>
          </cell>
          <cell r="BV41">
            <v>0</v>
          </cell>
          <cell r="BW41">
            <v>0</v>
          </cell>
          <cell r="BX41">
            <v>0</v>
          </cell>
          <cell r="BY41">
            <v>0</v>
          </cell>
          <cell r="BZ41">
            <v>0</v>
          </cell>
          <cell r="CB41">
            <v>0</v>
          </cell>
          <cell r="CC41">
            <v>0</v>
          </cell>
          <cell r="CD41">
            <v>0</v>
          </cell>
          <cell r="CE41">
            <v>0</v>
          </cell>
          <cell r="CF41">
            <v>0</v>
          </cell>
          <cell r="CG41">
            <v>0</v>
          </cell>
          <cell r="CH41">
            <v>0</v>
          </cell>
          <cell r="CI41">
            <v>0</v>
          </cell>
          <cell r="CJ41">
            <v>0</v>
          </cell>
          <cell r="CK41">
            <v>0</v>
          </cell>
          <cell r="CL41">
            <v>0</v>
          </cell>
          <cell r="CM41">
            <v>0</v>
          </cell>
        </row>
        <row r="42">
          <cell r="A42" t="str">
            <v>Absorción total</v>
          </cell>
          <cell r="C42">
            <v>95815.048089999982</v>
          </cell>
          <cell r="D42">
            <v>141370.88316999999</v>
          </cell>
          <cell r="E42">
            <v>141370.88316999993</v>
          </cell>
          <cell r="F42">
            <v>194391.05177699996</v>
          </cell>
          <cell r="G42">
            <v>194391.05177699999</v>
          </cell>
          <cell r="H42">
            <v>206393.88865999994</v>
          </cell>
          <cell r="I42">
            <v>206393.88865999994</v>
          </cell>
          <cell r="J42">
            <v>216372.58112399993</v>
          </cell>
          <cell r="K42">
            <v>226239.67126800003</v>
          </cell>
          <cell r="L42">
            <v>238490.82904000004</v>
          </cell>
          <cell r="M42">
            <v>246288.32878000016</v>
          </cell>
          <cell r="N42">
            <v>246123.97324000005</v>
          </cell>
          <cell r="O42">
            <v>254731.03074999992</v>
          </cell>
          <cell r="P42">
            <v>262697.60912999994</v>
          </cell>
          <cell r="Q42">
            <v>276618.86906999996</v>
          </cell>
          <cell r="R42">
            <v>278897.64092000003</v>
          </cell>
          <cell r="S42">
            <v>271402.57222000015</v>
          </cell>
          <cell r="T42">
            <v>268786.33913999994</v>
          </cell>
          <cell r="U42">
            <v>269376.79810000013</v>
          </cell>
          <cell r="V42">
            <v>269376.79810000013</v>
          </cell>
          <cell r="W42">
            <v>265210.06930000015</v>
          </cell>
          <cell r="X42">
            <v>265210.06930000015</v>
          </cell>
          <cell r="Y42">
            <v>271476.12723226973</v>
          </cell>
          <cell r="Z42">
            <v>271485.10654745903</v>
          </cell>
          <cell r="AA42">
            <v>295948.44532399398</v>
          </cell>
          <cell r="AB42">
            <v>290289.83002937183</v>
          </cell>
          <cell r="AC42">
            <v>267766.68792010943</v>
          </cell>
          <cell r="AD42">
            <v>264097.06013639405</v>
          </cell>
          <cell r="AE42">
            <v>253223.09822936711</v>
          </cell>
          <cell r="AF42">
            <v>260787.34666611598</v>
          </cell>
          <cell r="AG42">
            <v>274042.26516467158</v>
          </cell>
          <cell r="AH42">
            <v>278671.29780192376</v>
          </cell>
          <cell r="AI42">
            <v>278671.29780192388</v>
          </cell>
          <cell r="AJ42">
            <v>297589.66880937433</v>
          </cell>
          <cell r="AK42">
            <v>304090.43876505713</v>
          </cell>
          <cell r="AL42">
            <v>328067.67108933639</v>
          </cell>
          <cell r="AM42">
            <v>353283.87304736173</v>
          </cell>
          <cell r="AN42">
            <v>384686.87007711281</v>
          </cell>
          <cell r="AO42">
            <v>413831.7540541428</v>
          </cell>
          <cell r="AP42">
            <v>405072.09858648782</v>
          </cell>
          <cell r="AQ42">
            <v>451093.37272375438</v>
          </cell>
          <cell r="AR42">
            <v>475593.27117823606</v>
          </cell>
          <cell r="AS42">
            <v>473511.6391192649</v>
          </cell>
          <cell r="AT42">
            <v>473406.45279105863</v>
          </cell>
          <cell r="AU42">
            <v>445934.22019265185</v>
          </cell>
          <cell r="AV42">
            <v>445934.22019265208</v>
          </cell>
          <cell r="AW42">
            <v>496404.29376701475</v>
          </cell>
          <cell r="AX42">
            <v>537129.5106832576</v>
          </cell>
          <cell r="AY42">
            <v>561986.11783964105</v>
          </cell>
          <cell r="AZ42">
            <v>564235.7042288644</v>
          </cell>
          <cell r="BA42">
            <v>566424.57562234218</v>
          </cell>
          <cell r="BB42">
            <v>583684.14078934514</v>
          </cell>
          <cell r="BC42">
            <v>575038.9399150575</v>
          </cell>
          <cell r="BD42">
            <v>570115.90781500726</v>
          </cell>
          <cell r="BE42">
            <v>559730.38559225004</v>
          </cell>
          <cell r="BF42">
            <v>562341.38209423865</v>
          </cell>
          <cell r="BG42">
            <v>482111.62053343339</v>
          </cell>
          <cell r="BH42">
            <v>429328.32624563144</v>
          </cell>
          <cell r="BJ42">
            <v>45555.835080000004</v>
          </cell>
          <cell r="BK42">
            <v>53020.168607000029</v>
          </cell>
          <cell r="BL42">
            <v>12002.836882999953</v>
          </cell>
          <cell r="BN42">
            <v>12002.836882999953</v>
          </cell>
          <cell r="BO42">
            <v>9978.6924639999925</v>
          </cell>
          <cell r="BP42">
            <v>19845.782608000096</v>
          </cell>
          <cell r="BQ42">
            <v>32096.940380000102</v>
          </cell>
          <cell r="BR42">
            <v>39894.440120000218</v>
          </cell>
          <cell r="BS42">
            <v>39730.084580000112</v>
          </cell>
          <cell r="BT42">
            <v>48337.142089999979</v>
          </cell>
          <cell r="BU42">
            <v>56303.72047</v>
          </cell>
          <cell r="BV42">
            <v>70224.980410000018</v>
          </cell>
          <cell r="BW42">
            <v>72503.752260000096</v>
          </cell>
          <cell r="BX42">
            <v>65008.683560000209</v>
          </cell>
          <cell r="BY42">
            <v>62392.45048</v>
          </cell>
          <cell r="BZ42">
            <v>62982.909440000192</v>
          </cell>
          <cell r="CB42">
            <v>-4166.7287999999826</v>
          </cell>
          <cell r="CC42">
            <v>-4166.7287999999826</v>
          </cell>
          <cell r="CD42">
            <v>2099.3291322696023</v>
          </cell>
          <cell r="CE42">
            <v>2108.3084474588977</v>
          </cell>
          <cell r="CF42">
            <v>26571.647223993845</v>
          </cell>
          <cell r="CG42">
            <v>20913.031929371704</v>
          </cell>
          <cell r="CH42">
            <v>-1610.1101798907039</v>
          </cell>
          <cell r="CI42">
            <v>-5279.7379636060796</v>
          </cell>
          <cell r="CJ42">
            <v>-16153.69987063302</v>
          </cell>
          <cell r="CK42">
            <v>-8589.4514338841545</v>
          </cell>
          <cell r="CL42">
            <v>4665.4670646714512</v>
          </cell>
          <cell r="CM42">
            <v>9294.4997019236325</v>
          </cell>
        </row>
        <row r="44">
          <cell r="A44" t="str">
            <v>BANCOS COMERCIALES</v>
          </cell>
        </row>
        <row r="46">
          <cell r="A46" t="str">
            <v>ACTIVOS EXTERNOS NETOS</v>
          </cell>
          <cell r="C46">
            <v>9829.6940039999972</v>
          </cell>
          <cell r="D46">
            <v>14423.434819999995</v>
          </cell>
          <cell r="E46">
            <v>16884.869524999998</v>
          </cell>
          <cell r="F46">
            <v>5532.1294390000112</v>
          </cell>
          <cell r="G46">
            <v>7421.8611350000065</v>
          </cell>
          <cell r="H46">
            <v>10266.959037000001</v>
          </cell>
          <cell r="I46">
            <v>11834.762341000009</v>
          </cell>
          <cell r="J46">
            <v>7378.474417999998</v>
          </cell>
          <cell r="K46">
            <v>4350.9676629999994</v>
          </cell>
          <cell r="L46">
            <v>11161.186142000002</v>
          </cell>
          <cell r="M46">
            <v>6912.3253059999988</v>
          </cell>
          <cell r="N46">
            <v>6908.6278470000034</v>
          </cell>
          <cell r="O46">
            <v>-1255.0763749999896</v>
          </cell>
          <cell r="P46">
            <v>77.716982999998436</v>
          </cell>
          <cell r="Q46">
            <v>-3428.1144220000024</v>
          </cell>
          <cell r="R46">
            <v>-8263.0968780000021</v>
          </cell>
          <cell r="S46">
            <v>-4710.440547999995</v>
          </cell>
          <cell r="T46">
            <v>-7753.4771360000086</v>
          </cell>
          <cell r="U46">
            <v>-17964.001599999996</v>
          </cell>
          <cell r="V46">
            <v>-19588.915443999991</v>
          </cell>
          <cell r="W46">
            <v>-6838.0680699999975</v>
          </cell>
          <cell r="X46">
            <v>7320.774251999992</v>
          </cell>
          <cell r="Y46">
            <v>-6212.2267597425234</v>
          </cell>
          <cell r="Z46">
            <v>-1932.0858490234132</v>
          </cell>
          <cell r="AA46">
            <v>990.93258993649215</v>
          </cell>
          <cell r="AB46">
            <v>-11802.184976378378</v>
          </cell>
          <cell r="AC46">
            <v>-6562.2290638507075</v>
          </cell>
          <cell r="AD46">
            <v>-14691.426282524179</v>
          </cell>
          <cell r="AE46">
            <v>-33728.48018346708</v>
          </cell>
          <cell r="AF46">
            <v>-26151.890755030538</v>
          </cell>
          <cell r="AG46">
            <v>-21766.690809413867</v>
          </cell>
          <cell r="AH46">
            <v>-21717.539837019278</v>
          </cell>
          <cell r="AI46">
            <v>-22933.294251350606</v>
          </cell>
          <cell r="AJ46">
            <v>-17770.914634281766</v>
          </cell>
          <cell r="AK46">
            <v>-29475.911085878899</v>
          </cell>
          <cell r="AL46">
            <v>-33489.880307650921</v>
          </cell>
          <cell r="AM46">
            <v>-22275.716597637176</v>
          </cell>
          <cell r="AN46">
            <v>-37829.111214703793</v>
          </cell>
          <cell r="AO46">
            <v>-40132.089886179019</v>
          </cell>
          <cell r="AP46">
            <v>-35562.738806167014</v>
          </cell>
          <cell r="AQ46">
            <v>-46814.444700910855</v>
          </cell>
          <cell r="AR46">
            <v>-34837.91666612064</v>
          </cell>
          <cell r="AS46">
            <v>-28426.360412467362</v>
          </cell>
          <cell r="AT46">
            <v>-42792.372808599699</v>
          </cell>
          <cell r="AU46">
            <v>-51762.916731457801</v>
          </cell>
          <cell r="AV46">
            <v>-55708.087764796997</v>
          </cell>
          <cell r="AW46">
            <v>-59859.536070125585</v>
          </cell>
          <cell r="AX46">
            <v>-60491.573745228176</v>
          </cell>
          <cell r="AY46">
            <v>-42680.63514171014</v>
          </cell>
          <cell r="AZ46">
            <v>-30437.574711653466</v>
          </cell>
          <cell r="BA46">
            <v>-12830.920360654571</v>
          </cell>
          <cell r="BB46">
            <v>-40973.17560103241</v>
          </cell>
          <cell r="BC46">
            <v>-68820.645280765995</v>
          </cell>
          <cell r="BD46">
            <v>-68728.215280766002</v>
          </cell>
          <cell r="BE46">
            <v>-68635.785280765995</v>
          </cell>
          <cell r="BF46">
            <v>-68543.355280766002</v>
          </cell>
          <cell r="BG46">
            <v>-68450.925280765994</v>
          </cell>
          <cell r="BH46">
            <v>-54598.927764796994</v>
          </cell>
          <cell r="BJ46">
            <v>4593.7408159999977</v>
          </cell>
          <cell r="BK46">
            <v>-11352.740085999987</v>
          </cell>
          <cell r="BL46">
            <v>2845.0979019999941</v>
          </cell>
          <cell r="BN46">
            <v>2845.0979019999941</v>
          </cell>
          <cell r="BO46">
            <v>-4456.2879230000108</v>
          </cell>
          <cell r="BP46">
            <v>-7483.7946780000093</v>
          </cell>
          <cell r="BQ46">
            <v>-673.57619900000645</v>
          </cell>
          <cell r="BR46">
            <v>-4922.4370350000099</v>
          </cell>
          <cell r="BS46">
            <v>-4926.1344940000054</v>
          </cell>
          <cell r="BT46">
            <v>-13089.838715999998</v>
          </cell>
          <cell r="BU46">
            <v>-11757.04535800001</v>
          </cell>
          <cell r="BV46">
            <v>-15262.876763000011</v>
          </cell>
          <cell r="BW46">
            <v>-20097.859219000013</v>
          </cell>
          <cell r="BX46">
            <v>-16545.202889000004</v>
          </cell>
          <cell r="BY46">
            <v>-19588.239477000017</v>
          </cell>
          <cell r="BZ46">
            <v>-29798.763941000005</v>
          </cell>
          <cell r="CB46">
            <v>12750.847373999994</v>
          </cell>
          <cell r="CC46">
            <v>26909.689695999983</v>
          </cell>
          <cell r="CD46">
            <v>13376.688684257468</v>
          </cell>
          <cell r="CE46">
            <v>17656.829594976578</v>
          </cell>
          <cell r="CF46">
            <v>20579.848033936483</v>
          </cell>
          <cell r="CG46">
            <v>7786.7304676216136</v>
          </cell>
          <cell r="CH46">
            <v>13026.686380149284</v>
          </cell>
          <cell r="CI46">
            <v>4897.4891614758126</v>
          </cell>
          <cell r="CJ46">
            <v>-14139.564739467089</v>
          </cell>
          <cell r="CK46">
            <v>-6562.9753110305464</v>
          </cell>
          <cell r="CL46">
            <v>-2177.775365413876</v>
          </cell>
          <cell r="CM46">
            <v>-2128.6243930192868</v>
          </cell>
        </row>
        <row r="47">
          <cell r="A47" t="str">
            <v xml:space="preserve">   Reservas internacionales netas</v>
          </cell>
          <cell r="C47">
            <v>15037.173196999996</v>
          </cell>
          <cell r="D47">
            <v>24406.019354999997</v>
          </cell>
          <cell r="E47">
            <v>28017.486188999999</v>
          </cell>
          <cell r="F47">
            <v>23626.061442000009</v>
          </cell>
          <cell r="G47">
            <v>27355.883074000005</v>
          </cell>
          <cell r="H47">
            <v>30464.903856000001</v>
          </cell>
          <cell r="I47">
            <v>34129.583804000009</v>
          </cell>
          <cell r="J47">
            <v>29267.764501999998</v>
          </cell>
          <cell r="K47">
            <v>26109.190485000003</v>
          </cell>
          <cell r="L47">
            <v>32168.599580000002</v>
          </cell>
          <cell r="M47">
            <v>27090.625042000003</v>
          </cell>
          <cell r="N47">
            <v>26745.564981</v>
          </cell>
          <cell r="O47">
            <v>19049.164295000006</v>
          </cell>
          <cell r="P47">
            <v>22156.240802999997</v>
          </cell>
          <cell r="Q47">
            <v>17193.516076999997</v>
          </cell>
          <cell r="R47">
            <v>12429.883688999997</v>
          </cell>
          <cell r="S47">
            <v>17492.795232000004</v>
          </cell>
          <cell r="T47">
            <v>16050.495095999991</v>
          </cell>
          <cell r="U47">
            <v>9268.740736000007</v>
          </cell>
          <cell r="V47">
            <v>10342.15337200001</v>
          </cell>
          <cell r="W47">
            <v>20618.421084000001</v>
          </cell>
          <cell r="X47">
            <v>32512.680149999993</v>
          </cell>
          <cell r="Y47">
            <v>18706.549327782606</v>
          </cell>
          <cell r="Z47">
            <v>24765.664768611223</v>
          </cell>
          <cell r="AA47">
            <v>26867.959976702979</v>
          </cell>
          <cell r="AB47">
            <v>14868.199745487136</v>
          </cell>
          <cell r="AC47">
            <v>19501.424597598208</v>
          </cell>
          <cell r="AD47">
            <v>11469.270605911035</v>
          </cell>
          <cell r="AE47">
            <v>-6850.7729069128354</v>
          </cell>
          <cell r="AF47">
            <v>2947.7496699438839</v>
          </cell>
          <cell r="AG47">
            <v>9248.0888078355965</v>
          </cell>
          <cell r="AH47">
            <v>10542.905309323114</v>
          </cell>
          <cell r="AI47">
            <v>11853.322040248662</v>
          </cell>
          <cell r="AJ47">
            <v>20029.77300451283</v>
          </cell>
          <cell r="AK47">
            <v>8461.4334814484318</v>
          </cell>
          <cell r="AL47">
            <v>6895.5244585199798</v>
          </cell>
          <cell r="AM47">
            <v>18136.212599760569</v>
          </cell>
          <cell r="AN47">
            <v>1619.2952286347663</v>
          </cell>
          <cell r="AO47">
            <v>453.86139907244529</v>
          </cell>
          <cell r="AP47">
            <v>4285.2206789716856</v>
          </cell>
          <cell r="AQ47">
            <v>2570.6768099724445</v>
          </cell>
          <cell r="AR47">
            <v>12800.699335466172</v>
          </cell>
          <cell r="AS47">
            <v>19535.227272654851</v>
          </cell>
          <cell r="AT47">
            <v>4244.2194913215189</v>
          </cell>
          <cell r="AU47">
            <v>-2437.9182346610633</v>
          </cell>
          <cell r="AV47">
            <v>-2542.4231197935292</v>
          </cell>
          <cell r="AW47">
            <v>-3596.7154636095038</v>
          </cell>
          <cell r="AX47">
            <v>3362.6158135521223</v>
          </cell>
          <cell r="AY47">
            <v>17329.625307823859</v>
          </cell>
          <cell r="AZ47">
            <v>28296.318447463531</v>
          </cell>
          <cell r="BA47">
            <v>46164.766831223438</v>
          </cell>
          <cell r="BB47">
            <v>20029.742553855591</v>
          </cell>
          <cell r="BC47">
            <v>-5281.0823540999963</v>
          </cell>
          <cell r="BD47">
            <v>-5281.0823540999963</v>
          </cell>
          <cell r="BE47">
            <v>-5281.0823540999963</v>
          </cell>
          <cell r="BF47">
            <v>-5281.0823540999963</v>
          </cell>
          <cell r="BG47">
            <v>-5281.0823540999963</v>
          </cell>
          <cell r="BH47">
            <v>-2542.4231197935292</v>
          </cell>
          <cell r="BJ47">
            <v>9368.8461580000003</v>
          </cell>
          <cell r="BK47">
            <v>-4391.42474699999</v>
          </cell>
          <cell r="BL47">
            <v>3109.020781999996</v>
          </cell>
          <cell r="BN47">
            <v>3109.020781999996</v>
          </cell>
          <cell r="BO47">
            <v>-4861.8193020000108</v>
          </cell>
          <cell r="BP47">
            <v>-8020.3933190000062</v>
          </cell>
          <cell r="BQ47">
            <v>-1960.9842240000071</v>
          </cell>
          <cell r="BR47">
            <v>-7038.9587620000057</v>
          </cell>
          <cell r="BS47">
            <v>-7384.0188230000094</v>
          </cell>
          <cell r="BT47">
            <v>-15080.419509000003</v>
          </cell>
          <cell r="BU47">
            <v>-11973.343001000012</v>
          </cell>
          <cell r="BV47">
            <v>-16936.067727000012</v>
          </cell>
          <cell r="BW47">
            <v>-21699.700115000014</v>
          </cell>
          <cell r="BX47">
            <v>-16636.788572000005</v>
          </cell>
          <cell r="BY47">
            <v>-18079.088708000018</v>
          </cell>
          <cell r="BZ47">
            <v>-24860.843068000002</v>
          </cell>
          <cell r="CB47">
            <v>10276.267711999992</v>
          </cell>
          <cell r="CC47">
            <v>22170.526777999985</v>
          </cell>
          <cell r="CD47">
            <v>8364.3959557825965</v>
          </cell>
          <cell r="CE47">
            <v>14423.511396611213</v>
          </cell>
          <cell r="CF47">
            <v>16525.806604702972</v>
          </cell>
          <cell r="CG47">
            <v>4526.0463734871264</v>
          </cell>
          <cell r="CH47">
            <v>9159.2712255981987</v>
          </cell>
          <cell r="CI47">
            <v>1127.1172339110253</v>
          </cell>
          <cell r="CJ47">
            <v>-17192.926278912844</v>
          </cell>
          <cell r="CK47">
            <v>-7394.4037020561263</v>
          </cell>
          <cell r="CL47">
            <v>-1094.0645641644132</v>
          </cell>
          <cell r="CM47">
            <v>200.75193732310436</v>
          </cell>
        </row>
        <row r="48">
          <cell r="A48" t="str">
            <v xml:space="preserve">   Endeudamiento M/L plazo</v>
          </cell>
          <cell r="C48">
            <v>-5207.4791930000001</v>
          </cell>
          <cell r="D48">
            <v>-9982.5845350000018</v>
          </cell>
          <cell r="E48">
            <v>-11132.616664000001</v>
          </cell>
          <cell r="F48">
            <v>-18093.932002999998</v>
          </cell>
          <cell r="G48">
            <v>-19934.021938999998</v>
          </cell>
          <cell r="H48">
            <v>-20197.944819</v>
          </cell>
          <cell r="I48">
            <v>-22294.821463</v>
          </cell>
          <cell r="J48">
            <v>-21889.290084</v>
          </cell>
          <cell r="K48">
            <v>-21758.222822000003</v>
          </cell>
          <cell r="L48">
            <v>-21007.413438</v>
          </cell>
          <cell r="M48">
            <v>-20178.299736000004</v>
          </cell>
          <cell r="N48">
            <v>-19836.937133999996</v>
          </cell>
          <cell r="O48">
            <v>-20304.240669999996</v>
          </cell>
          <cell r="P48">
            <v>-22078.523819999999</v>
          </cell>
          <cell r="Q48">
            <v>-20621.630498999999</v>
          </cell>
          <cell r="R48">
            <v>-20692.980566999999</v>
          </cell>
          <cell r="S48">
            <v>-22203.235779999999</v>
          </cell>
          <cell r="T48">
            <v>-23803.972232</v>
          </cell>
          <cell r="U48">
            <v>-27232.742336000003</v>
          </cell>
          <cell r="V48">
            <v>-29931.068816000003</v>
          </cell>
          <cell r="W48">
            <v>-27456.489153999999</v>
          </cell>
          <cell r="X48">
            <v>-25191.905898000001</v>
          </cell>
          <cell r="Y48">
            <v>-24918.77608752513</v>
          </cell>
          <cell r="Z48">
            <v>-26697.750617634636</v>
          </cell>
          <cell r="AA48">
            <v>-25877.027386766487</v>
          </cell>
          <cell r="AB48">
            <v>-26670.384721865514</v>
          </cell>
          <cell r="AC48">
            <v>-26063.653661448916</v>
          </cell>
          <cell r="AD48">
            <v>-26160.696888435214</v>
          </cell>
          <cell r="AE48">
            <v>-26877.707276554243</v>
          </cell>
          <cell r="AF48">
            <v>-29099.640424974423</v>
          </cell>
          <cell r="AG48">
            <v>-31014.779617249464</v>
          </cell>
          <cell r="AH48">
            <v>-32260.445146342394</v>
          </cell>
          <cell r="AI48">
            <v>-34786.616291599268</v>
          </cell>
          <cell r="AJ48">
            <v>-37800.687638794596</v>
          </cell>
          <cell r="AK48">
            <v>-37937.344567327331</v>
          </cell>
          <cell r="AL48">
            <v>-40385.404766170897</v>
          </cell>
          <cell r="AM48">
            <v>-40411.929197397745</v>
          </cell>
          <cell r="AN48">
            <v>-39448.406443338557</v>
          </cell>
          <cell r="AO48">
            <v>-40585.951285251467</v>
          </cell>
          <cell r="AP48">
            <v>-39847.959485138701</v>
          </cell>
          <cell r="AQ48">
            <v>-49385.121510883298</v>
          </cell>
          <cell r="AR48">
            <v>-47638.616001586815</v>
          </cell>
          <cell r="AS48">
            <v>-47961.587685122213</v>
          </cell>
          <cell r="AT48">
            <v>-47036.59229992122</v>
          </cell>
          <cell r="AU48">
            <v>-49324.998496796739</v>
          </cell>
          <cell r="AV48">
            <v>-53165.664645003468</v>
          </cell>
          <cell r="AW48">
            <v>-56262.820606516078</v>
          </cell>
          <cell r="AX48">
            <v>-63854.189558780301</v>
          </cell>
          <cell r="AY48">
            <v>-60010.260449533998</v>
          </cell>
          <cell r="AZ48">
            <v>-58733.893159116997</v>
          </cell>
          <cell r="BA48">
            <v>-58995.687191878009</v>
          </cell>
          <cell r="BB48">
            <v>-61002.918154888001</v>
          </cell>
          <cell r="BC48">
            <v>-63539.562926666003</v>
          </cell>
          <cell r="BD48">
            <v>-63447.132926666003</v>
          </cell>
          <cell r="BE48">
            <v>-63354.702926666003</v>
          </cell>
          <cell r="BF48">
            <v>-63262.272926666003</v>
          </cell>
          <cell r="BG48">
            <v>-63169.842926666002</v>
          </cell>
          <cell r="BH48">
            <v>-52056.504645003464</v>
          </cell>
          <cell r="BJ48">
            <v>4775.1053420000017</v>
          </cell>
          <cell r="BK48">
            <v>6961.315338999997</v>
          </cell>
          <cell r="BL48">
            <v>263.9228800000019</v>
          </cell>
          <cell r="BN48">
            <v>263.9228800000019</v>
          </cell>
          <cell r="BO48">
            <v>-405.53137900000002</v>
          </cell>
          <cell r="BP48">
            <v>-536.59864099999686</v>
          </cell>
          <cell r="BQ48">
            <v>-1287.4080250000006</v>
          </cell>
          <cell r="BR48">
            <v>-2116.5217269999957</v>
          </cell>
          <cell r="BS48">
            <v>-2457.8843290000041</v>
          </cell>
          <cell r="BT48">
            <v>-1990.5807930000046</v>
          </cell>
          <cell r="BU48">
            <v>-216.2976430000017</v>
          </cell>
          <cell r="BV48">
            <v>-1673.1909640000013</v>
          </cell>
          <cell r="BW48">
            <v>-1601.8408960000015</v>
          </cell>
          <cell r="BX48">
            <v>-91.585683000001154</v>
          </cell>
          <cell r="BY48">
            <v>1509.1507689999999</v>
          </cell>
          <cell r="BZ48">
            <v>4937.9208730000028</v>
          </cell>
          <cell r="CB48">
            <v>-2474.5796620000037</v>
          </cell>
          <cell r="CC48">
            <v>-4739.1629180000018</v>
          </cell>
          <cell r="CD48">
            <v>-5012.292728474873</v>
          </cell>
          <cell r="CE48">
            <v>-3233.3181983653667</v>
          </cell>
          <cell r="CF48">
            <v>-4054.0414292335154</v>
          </cell>
          <cell r="CG48">
            <v>-3260.684094134489</v>
          </cell>
          <cell r="CH48">
            <v>-3867.4151545510867</v>
          </cell>
          <cell r="CI48">
            <v>-3770.3719275647891</v>
          </cell>
          <cell r="CJ48">
            <v>-3053.3615394457593</v>
          </cell>
          <cell r="CK48">
            <v>-831.42839102557991</v>
          </cell>
          <cell r="CL48">
            <v>1083.7108012494609</v>
          </cell>
          <cell r="CM48">
            <v>2329.3763303423912</v>
          </cell>
        </row>
        <row r="50">
          <cell r="A50" t="str">
            <v>ACTIVOS INTERNOS NETOS</v>
          </cell>
          <cell r="C50">
            <v>373318.57461300003</v>
          </cell>
          <cell r="D50">
            <v>438274.74769900006</v>
          </cell>
          <cell r="E50">
            <v>456035.78677000001</v>
          </cell>
          <cell r="F50">
            <v>476600.24309699994</v>
          </cell>
          <cell r="G50">
            <v>503289.60766499996</v>
          </cell>
          <cell r="H50">
            <v>610991.30343099998</v>
          </cell>
          <cell r="I50">
            <v>638833.92968299997</v>
          </cell>
          <cell r="J50">
            <v>630914.48800400004</v>
          </cell>
          <cell r="K50">
            <v>625432.69437000004</v>
          </cell>
          <cell r="L50">
            <v>630462.06864199985</v>
          </cell>
          <cell r="M50">
            <v>644570.1170679999</v>
          </cell>
          <cell r="N50">
            <v>644031.33678100002</v>
          </cell>
          <cell r="O50">
            <v>676168.81157999998</v>
          </cell>
          <cell r="P50">
            <v>680554.25987399998</v>
          </cell>
          <cell r="Q50">
            <v>683028.09128800011</v>
          </cell>
          <cell r="R50">
            <v>692622.56489499996</v>
          </cell>
          <cell r="S50">
            <v>698713.924</v>
          </cell>
          <cell r="T50">
            <v>725270.35638800007</v>
          </cell>
          <cell r="U50">
            <v>753100.49108399998</v>
          </cell>
          <cell r="V50">
            <v>788220.58336799999</v>
          </cell>
          <cell r="W50">
            <v>802619.71105200006</v>
          </cell>
          <cell r="X50">
            <v>784816.67875599989</v>
          </cell>
          <cell r="Y50">
            <v>812086.41570989881</v>
          </cell>
          <cell r="Z50">
            <v>809373.71772348625</v>
          </cell>
          <cell r="AA50">
            <v>814581.10146997077</v>
          </cell>
          <cell r="AB50">
            <v>848366.13041562703</v>
          </cell>
          <cell r="AC50">
            <v>860680.24221974018</v>
          </cell>
          <cell r="AD50">
            <v>872735.5989439406</v>
          </cell>
          <cell r="AE50">
            <v>924430.70619082381</v>
          </cell>
          <cell r="AF50">
            <v>904237.10793186608</v>
          </cell>
          <cell r="AG50">
            <v>949600.81368452369</v>
          </cell>
          <cell r="AH50">
            <v>946582.34329009033</v>
          </cell>
          <cell r="AI50">
            <v>988650.03220522113</v>
          </cell>
          <cell r="AJ50">
            <v>1020473.4792453912</v>
          </cell>
          <cell r="AK50">
            <v>1041858.1324374821</v>
          </cell>
          <cell r="AL50">
            <v>1053248.9358935333</v>
          </cell>
          <cell r="AM50">
            <v>1108945.2284502708</v>
          </cell>
          <cell r="AN50">
            <v>1122947.515356563</v>
          </cell>
          <cell r="AO50">
            <v>1087174.2522911713</v>
          </cell>
          <cell r="AP50">
            <v>1098102.8644838894</v>
          </cell>
          <cell r="AQ50">
            <v>1124948.4239591833</v>
          </cell>
          <cell r="AR50">
            <v>1137362.8094196515</v>
          </cell>
          <cell r="AS50">
            <v>1135357.8892364306</v>
          </cell>
          <cell r="AT50">
            <v>1189323.0811952597</v>
          </cell>
          <cell r="AU50">
            <v>1168905.9226549617</v>
          </cell>
          <cell r="AV50">
            <v>1221001.1173383172</v>
          </cell>
          <cell r="AW50">
            <v>1270118.3440894694</v>
          </cell>
          <cell r="AX50">
            <v>1301047.1988284949</v>
          </cell>
          <cell r="AY50">
            <v>1290411.4245906817</v>
          </cell>
          <cell r="AZ50">
            <v>1288086.9472722858</v>
          </cell>
          <cell r="BA50">
            <v>1234463.8137954599</v>
          </cell>
          <cell r="BB50">
            <v>1311873.2017748684</v>
          </cell>
          <cell r="BC50">
            <v>1331607.6118245663</v>
          </cell>
          <cell r="BD50">
            <v>1292829.1662219556</v>
          </cell>
          <cell r="BE50">
            <v>1287063.8645297661</v>
          </cell>
          <cell r="BF50">
            <v>1289533.3451954534</v>
          </cell>
          <cell r="BG50">
            <v>1319080.6070694712</v>
          </cell>
          <cell r="BH50">
            <v>1368508.8922285924</v>
          </cell>
          <cell r="BJ50">
            <v>64956.173086000024</v>
          </cell>
          <cell r="BK50">
            <v>20564.456326999934</v>
          </cell>
          <cell r="BL50">
            <v>107701.69576600002</v>
          </cell>
          <cell r="BN50">
            <v>107701.69576600002</v>
          </cell>
          <cell r="BO50">
            <v>-7919.4416789999232</v>
          </cell>
          <cell r="BP50">
            <v>-13401.235312999925</v>
          </cell>
          <cell r="BQ50">
            <v>-8371.8610410001129</v>
          </cell>
          <cell r="BR50">
            <v>5736.1873849999392</v>
          </cell>
          <cell r="BS50">
            <v>5197.4070980000542</v>
          </cell>
          <cell r="BT50">
            <v>37334.881897000014</v>
          </cell>
          <cell r="BU50">
            <v>41720.330191000015</v>
          </cell>
          <cell r="BV50">
            <v>44194.161605000147</v>
          </cell>
          <cell r="BW50">
            <v>53788.635211999994</v>
          </cell>
          <cell r="BX50">
            <v>59879.994317000033</v>
          </cell>
          <cell r="BY50">
            <v>86436.426705000107</v>
          </cell>
          <cell r="BZ50">
            <v>114266.56140100001</v>
          </cell>
          <cell r="CB50">
            <v>14399.127684000065</v>
          </cell>
          <cell r="CC50">
            <v>-3403.9046120001003</v>
          </cell>
          <cell r="CD50">
            <v>23865.832341898815</v>
          </cell>
          <cell r="CE50">
            <v>21153.134355486254</v>
          </cell>
          <cell r="CF50">
            <v>26360.518101970782</v>
          </cell>
          <cell r="CG50">
            <v>60145.547047627042</v>
          </cell>
          <cell r="CH50">
            <v>72459.658851740183</v>
          </cell>
          <cell r="CI50">
            <v>84515.015575940604</v>
          </cell>
          <cell r="CJ50">
            <v>136210.12282282382</v>
          </cell>
          <cell r="CK50">
            <v>116016.52456386609</v>
          </cell>
          <cell r="CL50">
            <v>161380.2303165237</v>
          </cell>
          <cell r="CM50">
            <v>158361.75992209034</v>
          </cell>
        </row>
        <row r="51">
          <cell r="A51" t="str">
            <v xml:space="preserve">   Crédito neto Gobierno</v>
          </cell>
          <cell r="C51">
            <v>17937.270298000003</v>
          </cell>
          <cell r="D51">
            <v>26886.424152</v>
          </cell>
          <cell r="E51">
            <v>26875.509726000004</v>
          </cell>
          <cell r="F51">
            <v>34800.633947000002</v>
          </cell>
          <cell r="G51">
            <v>34763.307698999997</v>
          </cell>
          <cell r="H51">
            <v>97945.924171000006</v>
          </cell>
          <cell r="I51">
            <v>99130.280719000017</v>
          </cell>
          <cell r="J51">
            <v>92475.727513999998</v>
          </cell>
          <cell r="K51">
            <v>97014.135686000009</v>
          </cell>
          <cell r="L51">
            <v>97839.277776000003</v>
          </cell>
          <cell r="M51">
            <v>102043.729408</v>
          </cell>
          <cell r="N51">
            <v>101948.77705100001</v>
          </cell>
          <cell r="O51">
            <v>94615.756134999989</v>
          </cell>
          <cell r="P51">
            <v>97277.240501000007</v>
          </cell>
          <cell r="Q51">
            <v>91064.905590999988</v>
          </cell>
          <cell r="R51">
            <v>91180.347904999988</v>
          </cell>
          <cell r="S51">
            <v>79279.184448</v>
          </cell>
          <cell r="T51">
            <v>80537.045008000001</v>
          </cell>
          <cell r="U51">
            <v>88365.618084000002</v>
          </cell>
          <cell r="V51">
            <v>90525.216990000001</v>
          </cell>
          <cell r="W51">
            <v>93333.909579999992</v>
          </cell>
          <cell r="X51">
            <v>86826.924679999996</v>
          </cell>
          <cell r="Y51">
            <v>82842.279183880004</v>
          </cell>
          <cell r="Z51">
            <v>61804.480053190011</v>
          </cell>
          <cell r="AA51">
            <v>63233.847592619997</v>
          </cell>
          <cell r="AB51">
            <v>60554.397226493005</v>
          </cell>
          <cell r="AC51">
            <v>58622.483550902994</v>
          </cell>
          <cell r="AD51">
            <v>58109.787257509997</v>
          </cell>
          <cell r="AE51">
            <v>58752.925515359995</v>
          </cell>
          <cell r="AF51">
            <v>73622.127288659991</v>
          </cell>
          <cell r="AG51">
            <v>89610.618441729996</v>
          </cell>
          <cell r="AH51">
            <v>106978.00601556299</v>
          </cell>
          <cell r="AI51">
            <v>110952.75207388999</v>
          </cell>
          <cell r="AJ51">
            <v>106869.53006851001</v>
          </cell>
          <cell r="AK51">
            <v>100415.97739105001</v>
          </cell>
          <cell r="AL51">
            <v>88808.012791019981</v>
          </cell>
          <cell r="AM51">
            <v>94189.280224500006</v>
          </cell>
          <cell r="AN51">
            <v>96606.184560260008</v>
          </cell>
          <cell r="AO51">
            <v>84080.995541280019</v>
          </cell>
          <cell r="AP51">
            <v>73766.329733999999</v>
          </cell>
          <cell r="AQ51">
            <v>84380.344107500001</v>
          </cell>
          <cell r="AR51">
            <v>93081.921650999997</v>
          </cell>
          <cell r="AS51">
            <v>90896.104328639994</v>
          </cell>
          <cell r="AT51">
            <v>116465.98224244</v>
          </cell>
          <cell r="AU51">
            <v>120686.42592598</v>
          </cell>
          <cell r="AV51">
            <v>128450.05748590901</v>
          </cell>
          <cell r="AW51">
            <v>140073.610342603</v>
          </cell>
          <cell r="AX51">
            <v>138873.33136113599</v>
          </cell>
          <cell r="AY51">
            <v>135323.575359982</v>
          </cell>
          <cell r="AZ51">
            <v>127525.748880491</v>
          </cell>
          <cell r="BA51">
            <v>130613.622509401</v>
          </cell>
          <cell r="BB51">
            <v>124138.285287116</v>
          </cell>
          <cell r="BC51">
            <v>122361.8131532</v>
          </cell>
          <cell r="BD51">
            <v>126869.80000000002</v>
          </cell>
          <cell r="BE51">
            <v>130150.70000000001</v>
          </cell>
          <cell r="BF51">
            <v>124719.13739456248</v>
          </cell>
          <cell r="BG51">
            <v>121619.74044048433</v>
          </cell>
          <cell r="BH51">
            <v>128009.0556110964</v>
          </cell>
          <cell r="BJ51">
            <v>8949.1538539999965</v>
          </cell>
          <cell r="BK51">
            <v>7925.1242209999982</v>
          </cell>
          <cell r="BL51">
            <v>63182.616472000009</v>
          </cell>
          <cell r="BN51">
            <v>63182.616472000009</v>
          </cell>
          <cell r="BO51">
            <v>-6654.5532050000184</v>
          </cell>
          <cell r="BP51">
            <v>-2116.145033000008</v>
          </cell>
          <cell r="BQ51">
            <v>-1291.0029430000141</v>
          </cell>
          <cell r="BR51">
            <v>2913.4486889999826</v>
          </cell>
          <cell r="BS51">
            <v>2818.4963319999952</v>
          </cell>
          <cell r="BT51">
            <v>-4514.524584000028</v>
          </cell>
          <cell r="BU51">
            <v>-1853.0402180000092</v>
          </cell>
          <cell r="BV51">
            <v>-8065.3751280000288</v>
          </cell>
          <cell r="BW51">
            <v>-7949.9328140000289</v>
          </cell>
          <cell r="BX51">
            <v>-19851.096271000017</v>
          </cell>
          <cell r="BY51">
            <v>-18593.235711000016</v>
          </cell>
          <cell r="BZ51">
            <v>-10764.662635000015</v>
          </cell>
          <cell r="CB51">
            <v>2808.6925899999915</v>
          </cell>
          <cell r="CC51">
            <v>-3698.2923100000044</v>
          </cell>
          <cell r="CD51">
            <v>-7682.9378061199968</v>
          </cell>
          <cell r="CE51">
            <v>-28720.73693680999</v>
          </cell>
          <cell r="CF51">
            <v>-27291.369397380004</v>
          </cell>
          <cell r="CG51">
            <v>-29970.819763506996</v>
          </cell>
          <cell r="CH51">
            <v>-31902.733439097006</v>
          </cell>
          <cell r="CI51">
            <v>-32415.429732490004</v>
          </cell>
          <cell r="CJ51">
            <v>-31772.291474640006</v>
          </cell>
          <cell r="CK51">
            <v>-16903.08970134001</v>
          </cell>
          <cell r="CL51">
            <v>-914.59854827000527</v>
          </cell>
          <cell r="CM51">
            <v>16452.78902556299</v>
          </cell>
        </row>
        <row r="52">
          <cell r="A52" t="str">
            <v xml:space="preserve">   Obligaciones netas SPNF</v>
          </cell>
          <cell r="C52">
            <v>-28274.214506</v>
          </cell>
          <cell r="D52">
            <v>-31395.871047999997</v>
          </cell>
          <cell r="E52">
            <v>-31493.197023999997</v>
          </cell>
          <cell r="F52">
            <v>-32746.742262000003</v>
          </cell>
          <cell r="G52">
            <v>-32890.861054000001</v>
          </cell>
          <cell r="H52">
            <v>-67729.173028999998</v>
          </cell>
          <cell r="I52">
            <v>-68049.205280999988</v>
          </cell>
          <cell r="J52">
            <v>-63446.154819999996</v>
          </cell>
          <cell r="K52">
            <v>-72592.753841999991</v>
          </cell>
          <cell r="L52">
            <v>-70754.065256999995</v>
          </cell>
          <cell r="M52">
            <v>-78857.615886</v>
          </cell>
          <cell r="N52">
            <v>-78922.997410000011</v>
          </cell>
          <cell r="O52">
            <v>-74030.146710000001</v>
          </cell>
          <cell r="P52">
            <v>-77032.664846</v>
          </cell>
          <cell r="Q52">
            <v>-85055.16135699999</v>
          </cell>
          <cell r="R52">
            <v>-86886.643188000016</v>
          </cell>
          <cell r="S52">
            <v>-86965.427867999984</v>
          </cell>
          <cell r="T52">
            <v>-83865.162488000002</v>
          </cell>
          <cell r="U52">
            <v>-81985.569531999994</v>
          </cell>
          <cell r="V52">
            <v>-82536.241119999991</v>
          </cell>
          <cell r="W52">
            <v>-72929.272980000009</v>
          </cell>
          <cell r="X52">
            <v>-68671.295115999994</v>
          </cell>
          <cell r="Y52">
            <v>-74463.775027200012</v>
          </cell>
          <cell r="Z52">
            <v>-69640.784620252001</v>
          </cell>
          <cell r="AA52">
            <v>-75695.614855520005</v>
          </cell>
          <cell r="AB52">
            <v>-86371.154742101397</v>
          </cell>
          <cell r="AC52">
            <v>-90860.62477888001</v>
          </cell>
          <cell r="AD52">
            <v>-94529.039632759988</v>
          </cell>
          <cell r="AE52">
            <v>-103572.95251676721</v>
          </cell>
          <cell r="AF52">
            <v>-113809.49007125861</v>
          </cell>
          <cell r="AG52">
            <v>-88227.818084699989</v>
          </cell>
          <cell r="AH52">
            <v>-84642.393324933815</v>
          </cell>
          <cell r="AI52">
            <v>-85472.087699940006</v>
          </cell>
          <cell r="AJ52">
            <v>-78269.033038359979</v>
          </cell>
          <cell r="AK52">
            <v>-83107.177851400003</v>
          </cell>
          <cell r="AL52">
            <v>-85098.4898139</v>
          </cell>
          <cell r="AM52">
            <v>-90663.430985539992</v>
          </cell>
          <cell r="AN52">
            <v>-94102.135543519995</v>
          </cell>
          <cell r="AO52">
            <v>-94654.309739439981</v>
          </cell>
          <cell r="AP52">
            <v>-88651.976264240002</v>
          </cell>
          <cell r="AQ52">
            <v>-88568.619082199992</v>
          </cell>
          <cell r="AR52">
            <v>-91312.24238843999</v>
          </cell>
          <cell r="AS52">
            <v>-94589.781727440015</v>
          </cell>
          <cell r="AT52">
            <v>-88741.291234799995</v>
          </cell>
          <cell r="AU52">
            <v>-85588.899210269985</v>
          </cell>
          <cell r="AV52">
            <v>-86332.428241865986</v>
          </cell>
          <cell r="AW52">
            <v>-86123.041202033011</v>
          </cell>
          <cell r="AX52">
            <v>-78864.045819514999</v>
          </cell>
          <cell r="AY52">
            <v>-83672.253284469014</v>
          </cell>
          <cell r="AZ52">
            <v>-95360.045492178993</v>
          </cell>
          <cell r="BA52">
            <v>-103452.488036486</v>
          </cell>
          <cell r="BB52">
            <v>-107631.295703779</v>
          </cell>
          <cell r="BC52">
            <v>-115733.14394990001</v>
          </cell>
          <cell r="BD52">
            <v>-128718.70000000001</v>
          </cell>
          <cell r="BE52">
            <v>-125168.6</v>
          </cell>
          <cell r="BF52">
            <v>-108308.47383733347</v>
          </cell>
          <cell r="BG52">
            <v>-107531.67263619255</v>
          </cell>
          <cell r="BH52">
            <v>-86010.812376324349</v>
          </cell>
          <cell r="BJ52">
            <v>3121.656541999997</v>
          </cell>
          <cell r="BK52">
            <v>1253.5452380000061</v>
          </cell>
          <cell r="BL52">
            <v>34838.311974999997</v>
          </cell>
          <cell r="BN52">
            <v>34838.311974999997</v>
          </cell>
          <cell r="BO52">
            <v>-4603.0504609999916</v>
          </cell>
          <cell r="BP52">
            <v>4543.5485610000032</v>
          </cell>
          <cell r="BQ52">
            <v>2704.859976000007</v>
          </cell>
          <cell r="BR52">
            <v>10808.410605000012</v>
          </cell>
          <cell r="BS52">
            <v>10873.792129000023</v>
          </cell>
          <cell r="BT52">
            <v>5980.9414290000132</v>
          </cell>
          <cell r="BU52">
            <v>8983.4595650000119</v>
          </cell>
          <cell r="BV52">
            <v>17005.956076000002</v>
          </cell>
          <cell r="BW52">
            <v>18837.437907000029</v>
          </cell>
          <cell r="BX52">
            <v>18916.222586999997</v>
          </cell>
          <cell r="BY52">
            <v>15815.957207000014</v>
          </cell>
          <cell r="BZ52">
            <v>13936.364251000006</v>
          </cell>
          <cell r="CB52">
            <v>-9606.9681399999827</v>
          </cell>
          <cell r="CC52">
            <v>-13864.946003999998</v>
          </cell>
          <cell r="CD52">
            <v>-8072.4660927999794</v>
          </cell>
          <cell r="CE52">
            <v>-12895.45649974799</v>
          </cell>
          <cell r="CF52">
            <v>-6840.6262644799863</v>
          </cell>
          <cell r="CG52">
            <v>3834.9136221014051</v>
          </cell>
          <cell r="CH52">
            <v>8324.3836588800186</v>
          </cell>
          <cell r="CI52">
            <v>11992.798512759997</v>
          </cell>
          <cell r="CJ52">
            <v>21036.711396767219</v>
          </cell>
          <cell r="CK52">
            <v>31273.248951258618</v>
          </cell>
          <cell r="CL52">
            <v>5691.5769646999979</v>
          </cell>
          <cell r="CM52">
            <v>2106.1522049338237</v>
          </cell>
        </row>
        <row r="53">
          <cell r="A53" t="str">
            <v xml:space="preserve">   Crédito sector privado</v>
          </cell>
          <cell r="C53">
            <v>229028.024179</v>
          </cell>
          <cell r="D53">
            <v>264796.157252</v>
          </cell>
          <cell r="E53">
            <v>270634.05343999999</v>
          </cell>
          <cell r="F53">
            <v>266978.17004</v>
          </cell>
          <cell r="G53">
            <v>275586.89161600004</v>
          </cell>
          <cell r="H53">
            <v>334292.61511199997</v>
          </cell>
          <cell r="I53">
            <v>342520.2476</v>
          </cell>
          <cell r="J53">
            <v>343658.8982</v>
          </cell>
          <cell r="K53">
            <v>346542.35230000003</v>
          </cell>
          <cell r="L53">
            <v>352015.78700000001</v>
          </cell>
          <cell r="M53">
            <v>354740.14910000004</v>
          </cell>
          <cell r="N53">
            <v>358223.00080000004</v>
          </cell>
          <cell r="O53">
            <v>366261.16009999998</v>
          </cell>
          <cell r="P53">
            <v>371858.65750000003</v>
          </cell>
          <cell r="Q53">
            <v>378544.98529999994</v>
          </cell>
          <cell r="R53">
            <v>390745.91130000004</v>
          </cell>
          <cell r="S53">
            <v>399418.18829999998</v>
          </cell>
          <cell r="T53">
            <v>409407.61309999996</v>
          </cell>
          <cell r="U53">
            <v>426064.64610000001</v>
          </cell>
          <cell r="V53">
            <v>437361.91851599998</v>
          </cell>
          <cell r="W53">
            <v>440520.27835599997</v>
          </cell>
          <cell r="X53">
            <v>458518.38068200002</v>
          </cell>
          <cell r="Y53">
            <v>461888.61621742998</v>
          </cell>
          <cell r="Z53">
            <v>466377.4990085141</v>
          </cell>
          <cell r="AA53">
            <v>479915.10144917684</v>
          </cell>
          <cell r="AB53">
            <v>510885.64142081013</v>
          </cell>
          <cell r="AC53">
            <v>522490.32791791169</v>
          </cell>
          <cell r="AD53">
            <v>540266.41510781914</v>
          </cell>
          <cell r="AE53">
            <v>598664.67892324436</v>
          </cell>
          <cell r="AF53">
            <v>604348.18235688668</v>
          </cell>
          <cell r="AG53">
            <v>627409.38328779861</v>
          </cell>
          <cell r="AH53">
            <v>647202.23718941142</v>
          </cell>
          <cell r="AI53">
            <v>665659.16150439112</v>
          </cell>
          <cell r="AJ53">
            <v>678716.20574190235</v>
          </cell>
          <cell r="AK53">
            <v>692563.98803951987</v>
          </cell>
          <cell r="AL53">
            <v>714401.36011287104</v>
          </cell>
          <cell r="AM53">
            <v>712890.11058784812</v>
          </cell>
          <cell r="AN53">
            <v>708969.38565077819</v>
          </cell>
          <cell r="AO53">
            <v>714494.38518410176</v>
          </cell>
          <cell r="AP53">
            <v>713415.48097890755</v>
          </cell>
          <cell r="AQ53">
            <v>727823.37069778051</v>
          </cell>
          <cell r="AR53">
            <v>731691.14977638342</v>
          </cell>
          <cell r="AS53">
            <v>730921.32635335508</v>
          </cell>
          <cell r="AT53">
            <v>752024.68896268378</v>
          </cell>
          <cell r="AU53">
            <v>764756.58812623459</v>
          </cell>
          <cell r="AV53">
            <v>790217.81022643088</v>
          </cell>
          <cell r="AW53">
            <v>802511.15298071131</v>
          </cell>
          <cell r="AX53">
            <v>822192.4147770172</v>
          </cell>
          <cell r="AY53">
            <v>830846.65242327191</v>
          </cell>
          <cell r="AZ53">
            <v>840246.63163062709</v>
          </cell>
          <cell r="BA53">
            <v>857381.59387587535</v>
          </cell>
          <cell r="BB53">
            <v>883574.63585269754</v>
          </cell>
          <cell r="BC53">
            <v>890637.6342784001</v>
          </cell>
          <cell r="BD53">
            <v>900358.35869999998</v>
          </cell>
          <cell r="BE53">
            <v>910623.59409999999</v>
          </cell>
          <cell r="BF53">
            <v>955957.87884237361</v>
          </cell>
          <cell r="BG53">
            <v>977570.18081498158</v>
          </cell>
          <cell r="BH53">
            <v>979870.08468077425</v>
          </cell>
          <cell r="BJ53">
            <v>35768.133073000005</v>
          </cell>
          <cell r="BK53">
            <v>-3655.8833999999915</v>
          </cell>
          <cell r="BL53">
            <v>58705.723495999933</v>
          </cell>
          <cell r="BN53">
            <v>58705.723495999933</v>
          </cell>
          <cell r="BO53">
            <v>1138.6505999999936</v>
          </cell>
          <cell r="BP53">
            <v>4022.1047000000253</v>
          </cell>
          <cell r="BQ53">
            <v>9495.5394000000088</v>
          </cell>
          <cell r="BR53">
            <v>12219.901500000036</v>
          </cell>
          <cell r="BS53">
            <v>15702.753200000036</v>
          </cell>
          <cell r="BT53">
            <v>23740.912499999977</v>
          </cell>
          <cell r="BU53">
            <v>29338.409900000028</v>
          </cell>
          <cell r="BV53">
            <v>36024.73769999994</v>
          </cell>
          <cell r="BW53">
            <v>48225.663700000034</v>
          </cell>
          <cell r="BX53">
            <v>56897.940699999977</v>
          </cell>
          <cell r="BY53">
            <v>66887.365499999956</v>
          </cell>
          <cell r="BZ53">
            <v>83544.39850000001</v>
          </cell>
          <cell r="CB53">
            <v>3158.3598399999901</v>
          </cell>
          <cell r="CC53">
            <v>21156.462166000041</v>
          </cell>
          <cell r="CD53">
            <v>24526.697701430006</v>
          </cell>
          <cell r="CE53">
            <v>29015.580492514127</v>
          </cell>
          <cell r="CF53">
            <v>42553.182933176868</v>
          </cell>
          <cell r="CG53">
            <v>73523.722904810158</v>
          </cell>
          <cell r="CH53">
            <v>85128.409401911718</v>
          </cell>
          <cell r="CI53">
            <v>102904.49659181916</v>
          </cell>
          <cell r="CJ53">
            <v>161302.76040724438</v>
          </cell>
          <cell r="CK53">
            <v>166986.26384088671</v>
          </cell>
          <cell r="CL53">
            <v>190047.46477179864</v>
          </cell>
          <cell r="CM53">
            <v>209840.31867341144</v>
          </cell>
        </row>
        <row r="54">
          <cell r="A54" t="str">
            <v xml:space="preserve">   Posición neta BCCR</v>
          </cell>
          <cell r="C54">
            <v>143102.34219599998</v>
          </cell>
          <cell r="D54">
            <v>152889.62819500003</v>
          </cell>
          <cell r="E54">
            <v>167533.37457399999</v>
          </cell>
          <cell r="F54">
            <v>246816.08928999997</v>
          </cell>
          <cell r="G54">
            <v>268072.67975399998</v>
          </cell>
          <cell r="H54">
            <v>298774.70678799995</v>
          </cell>
          <cell r="I54">
            <v>320251.96198399994</v>
          </cell>
          <cell r="J54">
            <v>338628.32473599992</v>
          </cell>
          <cell r="K54">
            <v>335744.89388300001</v>
          </cell>
          <cell r="L54">
            <v>341352.59112200001</v>
          </cell>
          <cell r="M54">
            <v>331346.57497999998</v>
          </cell>
          <cell r="N54">
            <v>334561.20792400005</v>
          </cell>
          <cell r="O54">
            <v>354033.36455</v>
          </cell>
          <cell r="P54">
            <v>346960.16039999999</v>
          </cell>
          <cell r="Q54">
            <v>348871.90312599996</v>
          </cell>
          <cell r="R54">
            <v>370258.98574799998</v>
          </cell>
          <cell r="S54">
            <v>365643.10428000003</v>
          </cell>
          <cell r="T54">
            <v>371599.10323200002</v>
          </cell>
          <cell r="U54">
            <v>352541.02972399996</v>
          </cell>
          <cell r="V54">
            <v>375010.23405799991</v>
          </cell>
          <cell r="W54">
            <v>369428.94328399998</v>
          </cell>
          <cell r="X54">
            <v>344917.75932199997</v>
          </cell>
          <cell r="Y54">
            <v>305532.31329821015</v>
          </cell>
          <cell r="Z54">
            <v>314974.07750651811</v>
          </cell>
          <cell r="AA54">
            <v>329709.51377782994</v>
          </cell>
          <cell r="AB54">
            <v>358329.92492798949</v>
          </cell>
          <cell r="AC54">
            <v>381072.44167410466</v>
          </cell>
          <cell r="AD54">
            <v>386588.55027357908</v>
          </cell>
          <cell r="AE54">
            <v>394514.86539223185</v>
          </cell>
          <cell r="AF54">
            <v>357839.43287988845</v>
          </cell>
          <cell r="AG54">
            <v>334058.26800490334</v>
          </cell>
          <cell r="AH54">
            <v>300675.71772876737</v>
          </cell>
          <cell r="AI54">
            <v>316450.2349132612</v>
          </cell>
          <cell r="AJ54">
            <v>318028.54690864339</v>
          </cell>
          <cell r="AK54">
            <v>334439.69379934145</v>
          </cell>
          <cell r="AL54">
            <v>344086.34074199159</v>
          </cell>
          <cell r="AM54">
            <v>371133.60186364624</v>
          </cell>
          <cell r="AN54">
            <v>387275.48571518948</v>
          </cell>
          <cell r="AO54">
            <v>411656.3131364538</v>
          </cell>
          <cell r="AP54">
            <v>424939.38185812999</v>
          </cell>
          <cell r="AQ54">
            <v>429523.67537115148</v>
          </cell>
          <cell r="AR54">
            <v>424827.55560663511</v>
          </cell>
          <cell r="AS54">
            <v>436743.34741955256</v>
          </cell>
          <cell r="AT54">
            <v>444848.78123913624</v>
          </cell>
          <cell r="AU54">
            <v>421424.54003837646</v>
          </cell>
          <cell r="AV54">
            <v>440763.00777078903</v>
          </cell>
          <cell r="AW54">
            <v>453971.55907141068</v>
          </cell>
          <cell r="AX54">
            <v>464945.23112394736</v>
          </cell>
          <cell r="AY54">
            <v>453958.12142224214</v>
          </cell>
          <cell r="AZ54">
            <v>445324.59545243811</v>
          </cell>
          <cell r="BA54">
            <v>391696.12063900515</v>
          </cell>
          <cell r="BB54">
            <v>427834.33920857299</v>
          </cell>
          <cell r="BC54">
            <v>458099.58028646605</v>
          </cell>
          <cell r="BD54">
            <v>475515.37585933693</v>
          </cell>
          <cell r="BE54">
            <v>457600.41442551301</v>
          </cell>
          <cell r="BF54">
            <v>410641.07676327508</v>
          </cell>
          <cell r="BG54">
            <v>425152.11129582184</v>
          </cell>
          <cell r="BH54">
            <v>400743.09205519367</v>
          </cell>
          <cell r="BJ54">
            <v>9787.2859990000434</v>
          </cell>
          <cell r="BK54">
            <v>79282.714715999988</v>
          </cell>
          <cell r="BL54">
            <v>30702.02703399997</v>
          </cell>
          <cell r="BN54">
            <v>30702.02703399997</v>
          </cell>
          <cell r="BO54">
            <v>18376.362751999986</v>
          </cell>
          <cell r="BP54">
            <v>15492.931899000076</v>
          </cell>
          <cell r="BQ54">
            <v>21100.629138000077</v>
          </cell>
          <cell r="BR54">
            <v>11094.61299600004</v>
          </cell>
          <cell r="BS54">
            <v>14309.24594000011</v>
          </cell>
          <cell r="BT54">
            <v>33781.402566000063</v>
          </cell>
          <cell r="BU54">
            <v>26708.198416000057</v>
          </cell>
          <cell r="BV54">
            <v>28619.941142000025</v>
          </cell>
          <cell r="BW54">
            <v>50007.023764000041</v>
          </cell>
          <cell r="BX54">
            <v>45391.142296000093</v>
          </cell>
          <cell r="BY54">
            <v>51347.141248000087</v>
          </cell>
          <cell r="BZ54">
            <v>32289.067740000028</v>
          </cell>
          <cell r="CB54">
            <v>-5581.2907739999355</v>
          </cell>
          <cell r="CC54">
            <v>-30092.474735999946</v>
          </cell>
          <cell r="CD54">
            <v>-69477.920759789762</v>
          </cell>
          <cell r="CE54">
            <v>-60036.156551481807</v>
          </cell>
          <cell r="CF54">
            <v>-45300.720280169975</v>
          </cell>
          <cell r="CG54">
            <v>-16680.309130010428</v>
          </cell>
          <cell r="CH54">
            <v>6062.2076161047444</v>
          </cell>
          <cell r="CI54">
            <v>11578.316215579165</v>
          </cell>
          <cell r="CJ54">
            <v>19504.631334231934</v>
          </cell>
          <cell r="CK54">
            <v>-17170.801178111462</v>
          </cell>
          <cell r="CL54">
            <v>-40951.966053096578</v>
          </cell>
          <cell r="CM54">
            <v>-74334.516329232545</v>
          </cell>
        </row>
        <row r="55">
          <cell r="A55" t="str">
            <v xml:space="preserve">   Otros</v>
          </cell>
          <cell r="C55">
            <v>11629.426401999959</v>
          </cell>
          <cell r="D55">
            <v>25274.879104000029</v>
          </cell>
          <cell r="E55">
            <v>22662.516010000065</v>
          </cell>
          <cell r="F55">
            <v>-39247.909076999997</v>
          </cell>
          <cell r="G55">
            <v>-42242.387709000053</v>
          </cell>
          <cell r="H55">
            <v>-52292.576556000058</v>
          </cell>
          <cell r="I55">
            <v>-55019.162283999962</v>
          </cell>
          <cell r="J55">
            <v>-80403.877950000024</v>
          </cell>
          <cell r="K55">
            <v>-81276.146587999858</v>
          </cell>
          <cell r="L55">
            <v>-89991.827398999929</v>
          </cell>
          <cell r="M55">
            <v>-64703.096681999916</v>
          </cell>
          <cell r="N55">
            <v>-71778.672274000113</v>
          </cell>
          <cell r="O55">
            <v>-64711.364269999955</v>
          </cell>
          <cell r="P55">
            <v>-58509.158119999869</v>
          </cell>
          <cell r="Q55">
            <v>-50398.57727800007</v>
          </cell>
          <cell r="R55">
            <v>-72676.081537999853</v>
          </cell>
          <cell r="S55">
            <v>-58661.167847999714</v>
          </cell>
          <cell r="T55">
            <v>-52408.265435999878</v>
          </cell>
          <cell r="U55">
            <v>-31885.258276000135</v>
          </cell>
          <cell r="V55">
            <v>-32140.57006000006</v>
          </cell>
          <cell r="W55">
            <v>-27734.196440000025</v>
          </cell>
          <cell r="X55">
            <v>-36775.190672000012</v>
          </cell>
          <cell r="Y55">
            <v>36286.982037862137</v>
          </cell>
          <cell r="Z55">
            <v>35858.445708439416</v>
          </cell>
          <cell r="AA55">
            <v>17418.253149490774</v>
          </cell>
          <cell r="AB55">
            <v>4967.3212873976154</v>
          </cell>
          <cell r="AC55">
            <v>-10644.385403573968</v>
          </cell>
          <cell r="AD55">
            <v>-17700.113432176098</v>
          </cell>
          <cell r="AE55">
            <v>-23928.811350978358</v>
          </cell>
          <cell r="AF55">
            <v>-17763.145173776094</v>
          </cell>
          <cell r="AG55">
            <v>-13249.637724677865</v>
          </cell>
          <cell r="AH55">
            <v>-23631.224302362651</v>
          </cell>
          <cell r="AI55">
            <v>-18940.028570026261</v>
          </cell>
          <cell r="AJ55">
            <v>-4871.770434928505</v>
          </cell>
          <cell r="AK55">
            <v>-2454.3489405001455</v>
          </cell>
          <cell r="AL55">
            <v>-8948.2879389552763</v>
          </cell>
          <cell r="AM55">
            <v>21395.666761717795</v>
          </cell>
          <cell r="AN55">
            <v>24198.59497684893</v>
          </cell>
          <cell r="AO55">
            <v>-28403.131830434999</v>
          </cell>
          <cell r="AP55">
            <v>-25366.351822143195</v>
          </cell>
          <cell r="AQ55">
            <v>-28210.347135808617</v>
          </cell>
          <cell r="AR55">
            <v>-20925.575226822097</v>
          </cell>
          <cell r="AS55">
            <v>-28613.107137248669</v>
          </cell>
          <cell r="AT55">
            <v>-35275.080014247644</v>
          </cell>
          <cell r="AU55">
            <v>-52372.732224470179</v>
          </cell>
          <cell r="AV55">
            <v>-52097.329902056386</v>
          </cell>
          <cell r="AW55">
            <v>-40314.937104024968</v>
          </cell>
          <cell r="AX55">
            <v>-46099.732614342822</v>
          </cell>
          <cell r="AY55">
            <v>-46044.671329543096</v>
          </cell>
          <cell r="AZ55">
            <v>-29649.983198085356</v>
          </cell>
          <cell r="BA55">
            <v>-41775.035191336887</v>
          </cell>
          <cell r="BB55">
            <v>-16042.762869280865</v>
          </cell>
          <cell r="BC55">
            <v>-23758.272370199891</v>
          </cell>
          <cell r="BD55">
            <v>-81195.189542813838</v>
          </cell>
          <cell r="BE55">
            <v>-86142.543445250136</v>
          </cell>
          <cell r="BF55">
            <v>-93476.733188603102</v>
          </cell>
          <cell r="BG55">
            <v>-97729.48358609846</v>
          </cell>
          <cell r="BH55">
            <v>-54102.521462517936</v>
          </cell>
          <cell r="BJ55">
            <v>13645.452702000068</v>
          </cell>
          <cell r="BK55">
            <v>-61910.425087000061</v>
          </cell>
          <cell r="BL55">
            <v>-10050.188847000005</v>
          </cell>
          <cell r="BN55">
            <v>-10050.188847000005</v>
          </cell>
          <cell r="BO55">
            <v>-25384.715666000062</v>
          </cell>
          <cell r="BP55">
            <v>-26256.984303999896</v>
          </cell>
          <cell r="BQ55">
            <v>-34972.665114999967</v>
          </cell>
          <cell r="BR55">
            <v>-9683.9343979999539</v>
          </cell>
          <cell r="BS55">
            <v>-16759.509990000151</v>
          </cell>
          <cell r="BT55">
            <v>-9692.2019859999928</v>
          </cell>
          <cell r="BU55">
            <v>-3489.9958359999073</v>
          </cell>
          <cell r="BV55">
            <v>4620.585005999892</v>
          </cell>
          <cell r="BW55">
            <v>-17656.919253999891</v>
          </cell>
          <cell r="BX55">
            <v>-3642.0055639997518</v>
          </cell>
          <cell r="BY55">
            <v>2610.896848000084</v>
          </cell>
          <cell r="BZ55">
            <v>23133.904007999823</v>
          </cell>
          <cell r="CB55">
            <v>4406.3736200000276</v>
          </cell>
          <cell r="CC55">
            <v>-4634.6206119999551</v>
          </cell>
          <cell r="CD55">
            <v>68427.552097862208</v>
          </cell>
          <cell r="CE55">
            <v>67999.01576843948</v>
          </cell>
          <cell r="CF55">
            <v>49558.823209490845</v>
          </cell>
          <cell r="CG55">
            <v>37107.891347397672</v>
          </cell>
          <cell r="CH55">
            <v>21496.184656426092</v>
          </cell>
          <cell r="CI55">
            <v>14440.456627823965</v>
          </cell>
          <cell r="CJ55">
            <v>8211.7587090216985</v>
          </cell>
          <cell r="CK55">
            <v>14377.424886223962</v>
          </cell>
          <cell r="CL55">
            <v>18890.932335322199</v>
          </cell>
          <cell r="CM55">
            <v>8509.3457576374058</v>
          </cell>
        </row>
        <row r="56">
          <cell r="A56" t="str">
            <v xml:space="preserve">      Capital y reservas</v>
          </cell>
          <cell r="C56">
            <v>-43039.703899999993</v>
          </cell>
          <cell r="D56">
            <v>-29205.5046</v>
          </cell>
          <cell r="E56">
            <v>-29205.5046</v>
          </cell>
          <cell r="F56">
            <v>-86021.991700000013</v>
          </cell>
          <cell r="G56">
            <v>-86021.991700000013</v>
          </cell>
          <cell r="H56">
            <v>-95466.179499999998</v>
          </cell>
          <cell r="I56">
            <v>-95466.179499999998</v>
          </cell>
          <cell r="J56">
            <v>-95470.250100000005</v>
          </cell>
          <cell r="K56">
            <v>-95846.704799999992</v>
          </cell>
          <cell r="L56">
            <v>-95935.540299999993</v>
          </cell>
          <cell r="M56">
            <v>-97141.676900000006</v>
          </cell>
          <cell r="N56">
            <v>-97979.764899999995</v>
          </cell>
          <cell r="O56">
            <v>-109074.15410000001</v>
          </cell>
          <cell r="P56">
            <v>-109185.64929999999</v>
          </cell>
          <cell r="Q56">
            <v>-109534.0301</v>
          </cell>
          <cell r="R56">
            <v>-110278.289</v>
          </cell>
          <cell r="S56">
            <v>-109849.97529999999</v>
          </cell>
          <cell r="T56">
            <v>-108675.96599999999</v>
          </cell>
          <cell r="U56">
            <v>-121160.26319999999</v>
          </cell>
          <cell r="V56">
            <v>-121160.26319999999</v>
          </cell>
          <cell r="W56">
            <v>-119225.5306</v>
          </cell>
          <cell r="X56">
            <v>-120949.07579999999</v>
          </cell>
          <cell r="Y56">
            <v>-123265.85951000001</v>
          </cell>
          <cell r="Z56">
            <v>-123586.00631647455</v>
          </cell>
          <cell r="AA56">
            <v>-124941.88318555029</v>
          </cell>
          <cell r="AB56">
            <v>-131706.3218305597</v>
          </cell>
          <cell r="AC56">
            <v>-132110.20360940136</v>
          </cell>
          <cell r="AD56">
            <v>-133178.44270245222</v>
          </cell>
          <cell r="AE56">
            <v>-134899.22922901469</v>
          </cell>
          <cell r="AF56">
            <v>-135525.79542726686</v>
          </cell>
          <cell r="AG56">
            <v>-137140.81189616208</v>
          </cell>
          <cell r="AH56">
            <v>-147729.65848078174</v>
          </cell>
          <cell r="AI56">
            <v>-147881.20015586828</v>
          </cell>
          <cell r="AJ56">
            <v>-145484.57027945528</v>
          </cell>
          <cell r="AK56">
            <v>-144636.80230524309</v>
          </cell>
          <cell r="AL56">
            <v>-145675.5474191301</v>
          </cell>
          <cell r="AM56">
            <v>-146367.41923927839</v>
          </cell>
          <cell r="AN56">
            <v>-147016.13714278064</v>
          </cell>
          <cell r="AO56">
            <v>-158776.42080930871</v>
          </cell>
          <cell r="AP56">
            <v>-161847.10301494255</v>
          </cell>
          <cell r="AQ56">
            <v>-163649.89268454004</v>
          </cell>
          <cell r="AR56">
            <v>-164162.64884961062</v>
          </cell>
          <cell r="AS56">
            <v>-165198.89601528208</v>
          </cell>
          <cell r="AT56">
            <v>-167470.17657914283</v>
          </cell>
          <cell r="AU56">
            <v>-179224.30246737131</v>
          </cell>
          <cell r="AV56">
            <v>-179490.07654760993</v>
          </cell>
          <cell r="AW56">
            <v>-181391.67477196592</v>
          </cell>
          <cell r="AX56">
            <v>-180643.72298783445</v>
          </cell>
          <cell r="AY56">
            <v>-180491.0360924546</v>
          </cell>
          <cell r="AZ56">
            <v>-181080.79650229786</v>
          </cell>
          <cell r="BA56">
            <v>-181591.87944566389</v>
          </cell>
          <cell r="BB56">
            <v>-196269.60483843484</v>
          </cell>
          <cell r="BC56">
            <v>-197913.30035969999</v>
          </cell>
          <cell r="BD56">
            <v>-190104.0815939366</v>
          </cell>
          <cell r="BE56">
            <v>-191474.22317370132</v>
          </cell>
          <cell r="BF56">
            <v>-192854.23980682032</v>
          </cell>
          <cell r="BG56">
            <v>-194244.20266599581</v>
          </cell>
          <cell r="BH56">
            <v>-195644.18343689485</v>
          </cell>
          <cell r="BJ56">
            <v>-13834.199299999993</v>
          </cell>
          <cell r="BK56">
            <v>56816.487100000013</v>
          </cell>
          <cell r="BL56">
            <v>9444.1877999999851</v>
          </cell>
          <cell r="BN56">
            <v>9444.1877999999851</v>
          </cell>
          <cell r="BO56">
            <v>4.0706000000063796</v>
          </cell>
          <cell r="BP56">
            <v>380.52529999999388</v>
          </cell>
          <cell r="BQ56">
            <v>469.36079999999492</v>
          </cell>
          <cell r="BR56">
            <v>1675.4974000000075</v>
          </cell>
          <cell r="BS56">
            <v>2513.5853999999963</v>
          </cell>
          <cell r="BT56">
            <v>13607.974600000016</v>
          </cell>
          <cell r="BU56">
            <v>13719.469799999992</v>
          </cell>
          <cell r="BV56">
            <v>14067.850600000005</v>
          </cell>
          <cell r="BW56">
            <v>14812.109500000006</v>
          </cell>
          <cell r="BX56">
            <v>14383.795799999993</v>
          </cell>
          <cell r="BY56">
            <v>13209.786499999987</v>
          </cell>
          <cell r="BZ56">
            <v>25694.083699999988</v>
          </cell>
          <cell r="CB56">
            <v>-1934.7325999999885</v>
          </cell>
          <cell r="CC56">
            <v>-211.18739999999525</v>
          </cell>
          <cell r="CD56">
            <v>2105.5963100000226</v>
          </cell>
          <cell r="CE56">
            <v>2425.7431164745649</v>
          </cell>
          <cell r="CF56">
            <v>3781.6199855503073</v>
          </cell>
          <cell r="CG56">
            <v>10546.05863055971</v>
          </cell>
          <cell r="CH56">
            <v>10949.940409401373</v>
          </cell>
          <cell r="CI56">
            <v>12018.179502452229</v>
          </cell>
          <cell r="CJ56">
            <v>13738.9660290147</v>
          </cell>
          <cell r="CK56">
            <v>14365.532227266871</v>
          </cell>
          <cell r="CL56">
            <v>15980.548696162092</v>
          </cell>
          <cell r="CM56">
            <v>26569.395280781755</v>
          </cell>
        </row>
        <row r="57">
          <cell r="A57" t="str">
            <v xml:space="preserve">      Otros</v>
          </cell>
          <cell r="C57">
            <v>54669.130301999954</v>
          </cell>
          <cell r="D57">
            <v>54480.383704000029</v>
          </cell>
          <cell r="E57">
            <v>51868.020610000065</v>
          </cell>
          <cell r="F57">
            <v>46774.082623000017</v>
          </cell>
          <cell r="G57">
            <v>43779.60399099996</v>
          </cell>
          <cell r="H57">
            <v>43173.60294399994</v>
          </cell>
          <cell r="I57">
            <v>40447.017216000037</v>
          </cell>
          <cell r="J57">
            <v>15066.372149999981</v>
          </cell>
          <cell r="K57">
            <v>14570.558212000135</v>
          </cell>
          <cell r="L57">
            <v>5943.7129010000644</v>
          </cell>
          <cell r="M57">
            <v>32438.58021800009</v>
          </cell>
          <cell r="N57">
            <v>26201.092625999881</v>
          </cell>
          <cell r="O57">
            <v>44362.78983000006</v>
          </cell>
          <cell r="P57">
            <v>50676.491180000121</v>
          </cell>
          <cell r="Q57">
            <v>59135.452821999934</v>
          </cell>
          <cell r="R57">
            <v>37602.207462000151</v>
          </cell>
          <cell r="S57">
            <v>51188.807452000277</v>
          </cell>
          <cell r="T57">
            <v>56267.700564000108</v>
          </cell>
          <cell r="U57">
            <v>89275.004923999848</v>
          </cell>
          <cell r="V57">
            <v>89019.69313999993</v>
          </cell>
          <cell r="W57">
            <v>91491.334159999969</v>
          </cell>
          <cell r="X57">
            <v>84173.88512799998</v>
          </cell>
          <cell r="Y57">
            <v>159552.84154786216</v>
          </cell>
          <cell r="Z57">
            <v>159444.45202491398</v>
          </cell>
          <cell r="AA57">
            <v>142360.13633504108</v>
          </cell>
          <cell r="AB57">
            <v>136673.64311795731</v>
          </cell>
          <cell r="AC57">
            <v>121465.8182058274</v>
          </cell>
          <cell r="AD57">
            <v>115478.32927027612</v>
          </cell>
          <cell r="AE57">
            <v>110970.41787803633</v>
          </cell>
          <cell r="AF57">
            <v>117762.65025349076</v>
          </cell>
          <cell r="AG57">
            <v>123891.17417148422</v>
          </cell>
          <cell r="AH57">
            <v>124098.43417841909</v>
          </cell>
          <cell r="AI57">
            <v>128941.17158584202</v>
          </cell>
          <cell r="AJ57">
            <v>140612.79984452677</v>
          </cell>
          <cell r="AK57">
            <v>142182.45336474295</v>
          </cell>
          <cell r="AL57">
            <v>136727.25948017483</v>
          </cell>
          <cell r="AM57">
            <v>167763.08600099618</v>
          </cell>
          <cell r="AN57">
            <v>171214.73211962957</v>
          </cell>
          <cell r="AO57">
            <v>130373.28897887371</v>
          </cell>
          <cell r="AP57">
            <v>136480.75119279936</v>
          </cell>
          <cell r="AQ57">
            <v>135439.54554873143</v>
          </cell>
          <cell r="AR57">
            <v>143237.07362278854</v>
          </cell>
          <cell r="AS57">
            <v>136585.7888780334</v>
          </cell>
          <cell r="AT57">
            <v>132195.09656489518</v>
          </cell>
          <cell r="AU57">
            <v>126851.57024290113</v>
          </cell>
          <cell r="AV57">
            <v>127392.74664555355</v>
          </cell>
          <cell r="AW57">
            <v>141076.73766794096</v>
          </cell>
          <cell r="AX57">
            <v>134543.99037349163</v>
          </cell>
          <cell r="AY57">
            <v>134446.36476291151</v>
          </cell>
          <cell r="AZ57">
            <v>151430.8133042125</v>
          </cell>
          <cell r="BA57">
            <v>139816.84425432701</v>
          </cell>
          <cell r="BB57">
            <v>180226.84196915396</v>
          </cell>
          <cell r="BC57">
            <v>174155.02798950009</v>
          </cell>
          <cell r="BD57">
            <v>108908.89205112276</v>
          </cell>
          <cell r="BE57">
            <v>105331.67972845118</v>
          </cell>
          <cell r="BF57">
            <v>99377.506618217216</v>
          </cell>
          <cell r="BG57">
            <v>96514.719079897346</v>
          </cell>
          <cell r="BH57">
            <v>141541.66197437691</v>
          </cell>
          <cell r="BJ57">
            <v>-188.74659799992514</v>
          </cell>
          <cell r="BK57">
            <v>-5093.9379870000485</v>
          </cell>
          <cell r="BL57">
            <v>-606.00104700001975</v>
          </cell>
          <cell r="BN57">
            <v>-606.00104700001975</v>
          </cell>
          <cell r="BO57">
            <v>-25380.645066000056</v>
          </cell>
          <cell r="BP57">
            <v>-25876.459003999902</v>
          </cell>
          <cell r="BQ57">
            <v>-34503.304314999972</v>
          </cell>
          <cell r="BR57">
            <v>-8008.4369979999465</v>
          </cell>
          <cell r="BS57">
            <v>-14245.924590000155</v>
          </cell>
          <cell r="BT57">
            <v>3915.7726140000232</v>
          </cell>
          <cell r="BU57">
            <v>10229.473964000084</v>
          </cell>
          <cell r="BV57">
            <v>18688.435605999897</v>
          </cell>
          <cell r="BW57">
            <v>-2844.8097539998853</v>
          </cell>
          <cell r="BX57">
            <v>10741.790236000241</v>
          </cell>
          <cell r="BY57">
            <v>15820.683348000071</v>
          </cell>
          <cell r="BZ57">
            <v>48827.987707999811</v>
          </cell>
          <cell r="CB57">
            <v>2471.6410200000391</v>
          </cell>
          <cell r="CC57">
            <v>-4845.8080119999504</v>
          </cell>
          <cell r="CD57">
            <v>70533.148407862231</v>
          </cell>
          <cell r="CE57">
            <v>70424.758884914045</v>
          </cell>
          <cell r="CF57">
            <v>53340.443195041153</v>
          </cell>
          <cell r="CG57">
            <v>47653.949977957382</v>
          </cell>
          <cell r="CH57">
            <v>32446.125065827466</v>
          </cell>
          <cell r="CI57">
            <v>26458.636130276194</v>
          </cell>
          <cell r="CJ57">
            <v>21950.724738036399</v>
          </cell>
          <cell r="CK57">
            <v>28742.957113490833</v>
          </cell>
          <cell r="CL57">
            <v>34871.481031484291</v>
          </cell>
          <cell r="CM57">
            <v>35078.741038419161</v>
          </cell>
        </row>
        <row r="58">
          <cell r="A58" t="str">
            <v xml:space="preserve">   BRECHA</v>
          </cell>
          <cell r="C58">
            <v>-104.27395599993724</v>
          </cell>
          <cell r="D58">
            <v>-176.46995599996444</v>
          </cell>
          <cell r="E58">
            <v>-176.46995600002992</v>
          </cell>
          <cell r="F58">
            <v>1.1589999849093147E-3</v>
          </cell>
          <cell r="G58">
            <v>-2.2641000025032554E-2</v>
          </cell>
          <cell r="H58">
            <v>-0.19305499990878161</v>
          </cell>
          <cell r="I58">
            <v>-0.19305500003974885</v>
          </cell>
          <cell r="J58">
            <v>1.5703240001166705</v>
          </cell>
          <cell r="K58">
            <v>0.21293099989998154</v>
          </cell>
          <cell r="L58">
            <v>0.30539999970642384</v>
          </cell>
          <cell r="M58">
            <v>0.37614799983566627</v>
          </cell>
          <cell r="N58">
            <v>2.0690000019385479E-2</v>
          </cell>
          <cell r="O58">
            <v>4.1774999983317684E-2</v>
          </cell>
          <cell r="P58">
            <v>2.4438999891572166E-2</v>
          </cell>
          <cell r="Q58">
            <v>3.5906000295653939E-2</v>
          </cell>
          <cell r="R58">
            <v>4.4667999783996493E-2</v>
          </cell>
          <cell r="S58">
            <v>4.2687999775807839E-2</v>
          </cell>
          <cell r="T58">
            <v>2.2971999984292779E-2</v>
          </cell>
          <cell r="U58">
            <v>2.498400011609192E-2</v>
          </cell>
          <cell r="V58">
            <v>2.4984000137919793E-2</v>
          </cell>
          <cell r="W58">
            <v>4.925200010984554E-2</v>
          </cell>
          <cell r="X58">
            <v>9.9859999914770015E-2</v>
          </cell>
          <cell r="Y58">
            <v>-2.8342765290290117E-7</v>
          </cell>
          <cell r="Z58">
            <v>6.707668217131868E-5</v>
          </cell>
          <cell r="AA58">
            <v>3.563731734175235E-4</v>
          </cell>
          <cell r="AB58">
            <v>2.9503824771381915E-4</v>
          </cell>
          <cell r="AC58">
            <v>-7.4072520874324255E-4</v>
          </cell>
          <cell r="AD58">
            <v>-6.3003153627505526E-4</v>
          </cell>
          <cell r="AE58">
            <v>2.2773319506086409E-4</v>
          </cell>
          <cell r="AF58">
            <v>6.5146562701556832E-4</v>
          </cell>
          <cell r="AG58">
            <v>-2.405304039712064E-4</v>
          </cell>
          <cell r="AH58">
            <v>-1.6354955732822418E-5</v>
          </cell>
          <cell r="AI58">
            <v>-1.6354970284737647E-5</v>
          </cell>
          <cell r="AJ58">
            <v>-3.7610880099236965E-7</v>
          </cell>
          <cell r="AK58">
            <v>-5.2902032621204853E-7</v>
          </cell>
          <cell r="AL58">
            <v>5.0597736844792962E-7</v>
          </cell>
          <cell r="AM58">
            <v>-1.9013314158655703E-6</v>
          </cell>
          <cell r="AN58">
            <v>-2.9937436920590699E-6</v>
          </cell>
          <cell r="AO58">
            <v>-7.8931043390184641E-7</v>
          </cell>
          <cell r="AP58">
            <v>-7.6507421908900142E-7</v>
          </cell>
          <cell r="AQ58">
            <v>7.5979187386110425E-7</v>
          </cell>
          <cell r="AR58">
            <v>8.9516106527298689E-7</v>
          </cell>
          <cell r="AS58">
            <v>-4.2835745261982083E-7</v>
          </cell>
          <cell r="AT58">
            <v>4.7461071517318487E-8</v>
          </cell>
          <cell r="AU58">
            <v>-8.8923843577504158E-7</v>
          </cell>
          <cell r="AV58">
            <v>-8.8939850684255362E-7</v>
          </cell>
          <cell r="AW58">
            <v>8.0237805377691984E-7</v>
          </cell>
          <cell r="AX58">
            <v>2.5215558707714081E-7</v>
          </cell>
          <cell r="AY58">
            <v>-8.0223253462463617E-7</v>
          </cell>
          <cell r="AZ58">
            <v>-1.0060393833555281E-6</v>
          </cell>
          <cell r="BA58">
            <v>-9.9860335467383265E-7</v>
          </cell>
          <cell r="BB58">
            <v>-4.5834167394787073E-7</v>
          </cell>
          <cell r="BC58">
            <v>4.2659997416194528E-4</v>
          </cell>
          <cell r="BD58">
            <v>-0.47879456737427972</v>
          </cell>
          <cell r="BE58">
            <v>0.29944950330536813</v>
          </cell>
          <cell r="BF58">
            <v>0.45922117892769165</v>
          </cell>
          <cell r="BG58">
            <v>-0.26925952553574461</v>
          </cell>
          <cell r="BH58">
            <v>-6.2796295096632093E-3</v>
          </cell>
          <cell r="BJ58">
            <v>-72.196000000027198</v>
          </cell>
          <cell r="BK58">
            <v>176.47111500001483</v>
          </cell>
          <cell r="BL58">
            <v>-0.17041399988374906</v>
          </cell>
          <cell r="BN58">
            <v>-0.17041399988374906</v>
          </cell>
          <cell r="BO58">
            <v>1.7633790001564194</v>
          </cell>
          <cell r="BP58">
            <v>0.40598599993973039</v>
          </cell>
          <cell r="BQ58">
            <v>0.49845499974617269</v>
          </cell>
          <cell r="BR58">
            <v>0.56920299987541512</v>
          </cell>
          <cell r="BS58">
            <v>0.21374500005913433</v>
          </cell>
          <cell r="BT58">
            <v>0.23483000002306653</v>
          </cell>
          <cell r="BU58">
            <v>0.21749399993132101</v>
          </cell>
          <cell r="BV58">
            <v>0.22896100033540279</v>
          </cell>
          <cell r="BW58">
            <v>0.23772299982374534</v>
          </cell>
          <cell r="BX58">
            <v>0.23574299981555669</v>
          </cell>
          <cell r="BY58">
            <v>0.21602700002404163</v>
          </cell>
          <cell r="BZ58">
            <v>0.21803900015584077</v>
          </cell>
          <cell r="CB58">
            <v>2.4267999971925747E-2</v>
          </cell>
          <cell r="CC58">
            <v>7.4875999776850222E-2</v>
          </cell>
          <cell r="CD58">
            <v>-2.4984283565572696E-2</v>
          </cell>
          <cell r="CE58">
            <v>-2.4916923455748474E-2</v>
          </cell>
          <cell r="CF58">
            <v>-2.4627626964502269E-2</v>
          </cell>
          <cell r="CG58">
            <v>-2.4688961890205974E-2</v>
          </cell>
          <cell r="CH58">
            <v>-2.5724725346663035E-2</v>
          </cell>
          <cell r="CI58">
            <v>-2.5614031674194848E-2</v>
          </cell>
          <cell r="CJ58">
            <v>-2.4756266942858929E-2</v>
          </cell>
          <cell r="CK58">
            <v>-2.4332534510904225E-2</v>
          </cell>
          <cell r="CL58">
            <v>-2.5224530541890999E-2</v>
          </cell>
          <cell r="CM58">
            <v>-2.5000355093652615E-2</v>
          </cell>
        </row>
        <row r="60">
          <cell r="A60" t="str">
            <v>OBLIGACIONES SECTOR PRIVADO</v>
          </cell>
          <cell r="C60">
            <v>383148.26861700002</v>
          </cell>
          <cell r="D60">
            <v>452698.18251900002</v>
          </cell>
          <cell r="E60">
            <v>472920.65629499999</v>
          </cell>
          <cell r="F60">
            <v>482132.37253599998</v>
          </cell>
          <cell r="G60">
            <v>510711.46879999997</v>
          </cell>
          <cell r="H60">
            <v>621258.26246799994</v>
          </cell>
          <cell r="I60">
            <v>650668.69202399999</v>
          </cell>
          <cell r="J60">
            <v>638292.96242200001</v>
          </cell>
          <cell r="K60">
            <v>629783.66203300003</v>
          </cell>
          <cell r="L60">
            <v>641623.25478399987</v>
          </cell>
          <cell r="M60">
            <v>651482.44237399986</v>
          </cell>
          <cell r="N60">
            <v>650939.96462800005</v>
          </cell>
          <cell r="O60">
            <v>674913.73520500003</v>
          </cell>
          <cell r="P60">
            <v>680631.97685700003</v>
          </cell>
          <cell r="Q60">
            <v>679599.9768660001</v>
          </cell>
          <cell r="R60">
            <v>684359.46801700001</v>
          </cell>
          <cell r="S60">
            <v>694003.48345199996</v>
          </cell>
          <cell r="T60">
            <v>717516.87925200001</v>
          </cell>
          <cell r="U60">
            <v>735136.48948400002</v>
          </cell>
          <cell r="V60">
            <v>768631.66792399995</v>
          </cell>
          <cell r="W60">
            <v>795781.64298200002</v>
          </cell>
          <cell r="X60">
            <v>792137.45300799992</v>
          </cell>
          <cell r="Y60">
            <v>805874.18895015633</v>
          </cell>
          <cell r="Z60">
            <v>807441.63187446282</v>
          </cell>
          <cell r="AA60">
            <v>815572.03405990731</v>
          </cell>
          <cell r="AB60">
            <v>836563.9454392487</v>
          </cell>
          <cell r="AC60">
            <v>854118.01315588946</v>
          </cell>
          <cell r="AD60">
            <v>858044.17266141647</v>
          </cell>
          <cell r="AE60">
            <v>890702.22600735677</v>
          </cell>
          <cell r="AF60">
            <v>878085.21717683552</v>
          </cell>
          <cell r="AG60">
            <v>927834.12287510978</v>
          </cell>
          <cell r="AH60">
            <v>924864.80345307104</v>
          </cell>
          <cell r="AI60">
            <v>965716.73795387056</v>
          </cell>
          <cell r="AJ60">
            <v>1002702.5646111094</v>
          </cell>
          <cell r="AK60">
            <v>1012382.2213516033</v>
          </cell>
          <cell r="AL60">
            <v>1019759.0555858824</v>
          </cell>
          <cell r="AM60">
            <v>1086669.5118526337</v>
          </cell>
          <cell r="AN60">
            <v>1085118.4041418592</v>
          </cell>
          <cell r="AO60">
            <v>1047042.1624049924</v>
          </cell>
          <cell r="AP60">
            <v>1062540.1256777225</v>
          </cell>
          <cell r="AQ60">
            <v>1078133.9792582723</v>
          </cell>
          <cell r="AR60">
            <v>1102524.892753531</v>
          </cell>
          <cell r="AS60">
            <v>1106931.5288239634</v>
          </cell>
          <cell r="AT60">
            <v>1146530.7083866601</v>
          </cell>
          <cell r="AU60">
            <v>1117143.005923504</v>
          </cell>
          <cell r="AV60">
            <v>1165293.0295735202</v>
          </cell>
          <cell r="AW60">
            <v>1210258.8080193438</v>
          </cell>
          <cell r="AX60">
            <v>1240555.6250832668</v>
          </cell>
          <cell r="AY60">
            <v>1247730.7894489716</v>
          </cell>
          <cell r="AZ60">
            <v>1257649.3725606324</v>
          </cell>
          <cell r="BA60">
            <v>1221632.8934348053</v>
          </cell>
          <cell r="BB60">
            <v>1270900.0261738361</v>
          </cell>
          <cell r="BC60">
            <v>1262786.9665438002</v>
          </cell>
          <cell r="BD60">
            <v>1224100.9509411897</v>
          </cell>
          <cell r="BE60">
            <v>1218428.0792490002</v>
          </cell>
          <cell r="BF60">
            <v>1220989.9899146874</v>
          </cell>
          <cell r="BG60">
            <v>1250629.6817887051</v>
          </cell>
          <cell r="BH60">
            <v>1313909.9644637955</v>
          </cell>
          <cell r="BJ60">
            <v>69549.913902</v>
          </cell>
          <cell r="BK60">
            <v>9211.7162409999873</v>
          </cell>
          <cell r="BL60">
            <v>110546.79366799997</v>
          </cell>
          <cell r="BN60">
            <v>110546.79366799997</v>
          </cell>
          <cell r="BO60">
            <v>-12375.729601999978</v>
          </cell>
          <cell r="BP60">
            <v>-20885.029990999959</v>
          </cell>
          <cell r="BQ60">
            <v>-9045.4372400001157</v>
          </cell>
          <cell r="BR60">
            <v>813.7503499998711</v>
          </cell>
          <cell r="BS60">
            <v>271.27260400005616</v>
          </cell>
          <cell r="BT60">
            <v>24245.043181000045</v>
          </cell>
          <cell r="BU60">
            <v>29963.284833000042</v>
          </cell>
          <cell r="BV60">
            <v>28931.28484200011</v>
          </cell>
          <cell r="BW60">
            <v>33690.775993000017</v>
          </cell>
          <cell r="BX60">
            <v>43334.791427999968</v>
          </cell>
          <cell r="BY60">
            <v>66848.187228000024</v>
          </cell>
          <cell r="BZ60">
            <v>84467.797460000031</v>
          </cell>
          <cell r="CB60">
            <v>27149.975058000069</v>
          </cell>
          <cell r="CC60">
            <v>23505.785083999974</v>
          </cell>
          <cell r="CD60">
            <v>37242.521026156377</v>
          </cell>
          <cell r="CE60">
            <v>38809.963950462872</v>
          </cell>
          <cell r="CF60">
            <v>46940.366135907359</v>
          </cell>
          <cell r="CG60">
            <v>67932.277515248745</v>
          </cell>
          <cell r="CH60">
            <v>85486.345231889514</v>
          </cell>
          <cell r="CI60">
            <v>89412.504737416515</v>
          </cell>
          <cell r="CJ60">
            <v>122070.55808335682</v>
          </cell>
          <cell r="CK60">
            <v>109453.54925283557</v>
          </cell>
          <cell r="CL60">
            <v>159202.45495110983</v>
          </cell>
          <cell r="CM60">
            <v>156233.13552907109</v>
          </cell>
        </row>
        <row r="62">
          <cell r="A62" t="str">
            <v>Control</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J62">
            <v>72.19600000011269</v>
          </cell>
          <cell r="BK62">
            <v>-176.47111500004394</v>
          </cell>
          <cell r="BL62">
            <v>0.17041399993468076</v>
          </cell>
          <cell r="BN62">
            <v>0.17041399993468076</v>
          </cell>
          <cell r="BO62">
            <v>-1.7633790001418674</v>
          </cell>
          <cell r="BP62">
            <v>-0.40598599985605688</v>
          </cell>
          <cell r="BQ62">
            <v>-0.49845499979346641</v>
          </cell>
          <cell r="BR62">
            <v>-0.56920299978810363</v>
          </cell>
          <cell r="BS62">
            <v>-0.21374500009551411</v>
          </cell>
          <cell r="BT62">
            <v>-0.23483000003761845</v>
          </cell>
          <cell r="BU62">
            <v>-0.21749399989494123</v>
          </cell>
          <cell r="BV62">
            <v>-0.22896100029174704</v>
          </cell>
          <cell r="BW62">
            <v>-0.23772299990378087</v>
          </cell>
          <cell r="BX62">
            <v>-0.23574299967003753</v>
          </cell>
          <cell r="BY62">
            <v>-0.21602699994400609</v>
          </cell>
          <cell r="BZ62">
            <v>-0.21803900020313449</v>
          </cell>
          <cell r="CB62">
            <v>-2.4268000019219471E-2</v>
          </cell>
          <cell r="CC62">
            <v>-7.4875999853247777E-2</v>
          </cell>
          <cell r="CD62">
            <v>2.4984283525554929E-2</v>
          </cell>
          <cell r="CE62">
            <v>2.4916923503042199E-2</v>
          </cell>
          <cell r="CF62">
            <v>2.4627626844448969E-2</v>
          </cell>
          <cell r="CG62">
            <v>2.468896187201608E-2</v>
          </cell>
          <cell r="CH62">
            <v>2.572472530300729E-2</v>
          </cell>
          <cell r="CI62">
            <v>2.5614031590521336E-2</v>
          </cell>
          <cell r="CJ62">
            <v>2.4756266881013289E-2</v>
          </cell>
          <cell r="CK62">
            <v>2.43325344636105E-2</v>
          </cell>
          <cell r="CL62">
            <v>2.5224530545528978E-2</v>
          </cell>
          <cell r="CM62">
            <v>2.5000355090014637E-2</v>
          </cell>
        </row>
        <row r="65">
          <cell r="A65" t="str">
            <v>SISTEMA BANCARIO NACIONAL</v>
          </cell>
        </row>
        <row r="67">
          <cell r="A67" t="str">
            <v>ACTIVOS EXTERNOS NETOS</v>
          </cell>
          <cell r="C67">
            <v>-77693.118406000023</v>
          </cell>
          <cell r="D67">
            <v>-66496.923069999961</v>
          </cell>
          <cell r="E67">
            <v>-75733.886274999997</v>
          </cell>
          <cell r="F67">
            <v>-32977.200820999977</v>
          </cell>
          <cell r="G67">
            <v>-37067.338428999996</v>
          </cell>
          <cell r="H67">
            <v>-25594.36183499996</v>
          </cell>
          <cell r="I67">
            <v>-28218.32085899997</v>
          </cell>
          <cell r="J67">
            <v>-33197.235182000004</v>
          </cell>
          <cell r="K67">
            <v>-33881.588336999965</v>
          </cell>
          <cell r="L67">
            <v>-6486.5898579999921</v>
          </cell>
          <cell r="M67">
            <v>-14609.386694000015</v>
          </cell>
          <cell r="N67">
            <v>-14417.972152999952</v>
          </cell>
          <cell r="O67">
            <v>-1058.5723750000179</v>
          </cell>
          <cell r="P67">
            <v>4238.404983000044</v>
          </cell>
          <cell r="Q67">
            <v>5293.9255779999658</v>
          </cell>
          <cell r="R67">
            <v>12921.983122000005</v>
          </cell>
          <cell r="S67">
            <v>-4523.912547999993</v>
          </cell>
          <cell r="T67">
            <v>-1501.7731359999743</v>
          </cell>
          <cell r="U67">
            <v>20326.438400000072</v>
          </cell>
          <cell r="V67">
            <v>22850.755856000062</v>
          </cell>
          <cell r="W67">
            <v>9340.666450000077</v>
          </cell>
          <cell r="X67">
            <v>11017.933172000048</v>
          </cell>
          <cell r="Y67">
            <v>12834.340555026138</v>
          </cell>
          <cell r="Z67">
            <v>76854.413689071545</v>
          </cell>
          <cell r="AA67">
            <v>49167.376892650267</v>
          </cell>
          <cell r="AB67">
            <v>25337.783208262525</v>
          </cell>
          <cell r="AC67">
            <v>10471.842846749583</v>
          </cell>
          <cell r="AD67">
            <v>-2855.4544033638085</v>
          </cell>
          <cell r="AE67">
            <v>-37053.821823321952</v>
          </cell>
          <cell r="AF67">
            <v>-30400.048178123252</v>
          </cell>
          <cell r="AG67">
            <v>-34629.387247672712</v>
          </cell>
          <cell r="AH67">
            <v>-26955.776624513499</v>
          </cell>
          <cell r="AI67">
            <v>-28677.957757897151</v>
          </cell>
          <cell r="AJ67">
            <v>-32680.366824668192</v>
          </cell>
          <cell r="AK67">
            <v>-30031.996492117643</v>
          </cell>
          <cell r="AL67">
            <v>-11335.358077143843</v>
          </cell>
          <cell r="AM67">
            <v>25353.384018850455</v>
          </cell>
          <cell r="AN67">
            <v>96421.497390629491</v>
          </cell>
          <cell r="AO67">
            <v>96322.631591478887</v>
          </cell>
          <cell r="AP67">
            <v>103912.0250048915</v>
          </cell>
          <cell r="AQ67">
            <v>86429.979989398213</v>
          </cell>
          <cell r="AR67">
            <v>83314.791325824626</v>
          </cell>
          <cell r="AS67">
            <v>82451.894075071788</v>
          </cell>
          <cell r="AT67">
            <v>73239.876940579619</v>
          </cell>
          <cell r="AU67">
            <v>99090.286596421967</v>
          </cell>
          <cell r="AV67">
            <v>109107.0609774717</v>
          </cell>
          <cell r="AW67">
            <v>92812.414237714547</v>
          </cell>
          <cell r="AX67">
            <v>107153.92860897281</v>
          </cell>
          <cell r="AY67">
            <v>123556.53207032598</v>
          </cell>
          <cell r="AZ67">
            <v>125016.09105526004</v>
          </cell>
          <cell r="BA67">
            <v>86175.583030813548</v>
          </cell>
          <cell r="BB67">
            <v>79027.135576607776</v>
          </cell>
          <cell r="BC67">
            <v>142723.42344627989</v>
          </cell>
          <cell r="BD67">
            <v>128380.86475839058</v>
          </cell>
          <cell r="BE67">
            <v>113776.48962123395</v>
          </cell>
          <cell r="BF67">
            <v>120731.63207406964</v>
          </cell>
          <cell r="BG67">
            <v>110746.11107406957</v>
          </cell>
          <cell r="BH67">
            <v>122201.31097747164</v>
          </cell>
          <cell r="BJ67">
            <v>11196.195336000063</v>
          </cell>
          <cell r="BK67">
            <v>42756.68545400002</v>
          </cell>
          <cell r="BL67">
            <v>11472.976594000036</v>
          </cell>
          <cell r="BN67">
            <v>11472.976594000036</v>
          </cell>
          <cell r="BO67">
            <v>-4978.9143230000336</v>
          </cell>
          <cell r="BP67">
            <v>-5663.2674779999943</v>
          </cell>
          <cell r="BQ67">
            <v>21731.731000999978</v>
          </cell>
          <cell r="BR67">
            <v>13608.934164999955</v>
          </cell>
          <cell r="BS67">
            <v>13800.348706000019</v>
          </cell>
          <cell r="BT67">
            <v>27159.748483999952</v>
          </cell>
          <cell r="BU67">
            <v>32456.725842000014</v>
          </cell>
          <cell r="BV67">
            <v>33512.246436999936</v>
          </cell>
          <cell r="BW67">
            <v>41140.303980999975</v>
          </cell>
          <cell r="BX67">
            <v>23694.408310999977</v>
          </cell>
          <cell r="BY67">
            <v>26716.547722999996</v>
          </cell>
          <cell r="BZ67">
            <v>48544.759259000042</v>
          </cell>
          <cell r="CB67">
            <v>-13510.089405999985</v>
          </cell>
          <cell r="CC67">
            <v>-11832.822684000013</v>
          </cell>
          <cell r="CD67">
            <v>-10016.415300973924</v>
          </cell>
          <cell r="CE67">
            <v>54003.657833071484</v>
          </cell>
          <cell r="CF67">
            <v>26316.621036650205</v>
          </cell>
          <cell r="CG67">
            <v>2487.027352262463</v>
          </cell>
          <cell r="CH67">
            <v>-12378.913009250478</v>
          </cell>
          <cell r="CI67">
            <v>-25706.21025936387</v>
          </cell>
          <cell r="CJ67">
            <v>-59904.577679322014</v>
          </cell>
          <cell r="CK67">
            <v>-53250.804034123314</v>
          </cell>
          <cell r="CL67">
            <v>-57480.143103672774</v>
          </cell>
          <cell r="CM67">
            <v>-49806.532480513561</v>
          </cell>
        </row>
        <row r="68">
          <cell r="A68" t="str">
            <v xml:space="preserve">   Reservas internacionales netas</v>
          </cell>
          <cell r="C68">
            <v>150523.37094699999</v>
          </cell>
          <cell r="D68">
            <v>143409.39176500001</v>
          </cell>
          <cell r="E68">
            <v>164224.796389</v>
          </cell>
          <cell r="F68">
            <v>200929.23278200006</v>
          </cell>
          <cell r="G68">
            <v>232191.33775000006</v>
          </cell>
          <cell r="H68">
            <v>222550.31798400002</v>
          </cell>
          <cell r="I68">
            <v>248667.50060400006</v>
          </cell>
          <cell r="J68">
            <v>234888.83090199999</v>
          </cell>
          <cell r="K68">
            <v>232287.93848500002</v>
          </cell>
          <cell r="L68">
            <v>257347.10358</v>
          </cell>
          <cell r="M68">
            <v>246311.36904200001</v>
          </cell>
          <cell r="N68">
            <v>242898.80498100005</v>
          </cell>
          <cell r="O68">
            <v>256709.73229499997</v>
          </cell>
          <cell r="P68">
            <v>261935.66480300002</v>
          </cell>
          <cell r="Q68">
            <v>260581.93207699995</v>
          </cell>
          <cell r="R68">
            <v>266718.81968899997</v>
          </cell>
          <cell r="S68">
            <v>248861.98723199998</v>
          </cell>
          <cell r="T68">
            <v>249100.29509600002</v>
          </cell>
          <cell r="U68">
            <v>273831.56473600003</v>
          </cell>
          <cell r="V68">
            <v>303573.55235200003</v>
          </cell>
          <cell r="W68">
            <v>285677.30452400004</v>
          </cell>
          <cell r="X68">
            <v>284264.56859000004</v>
          </cell>
          <cell r="Y68">
            <v>284323.70694651309</v>
          </cell>
          <cell r="Z68">
            <v>347257.58389113762</v>
          </cell>
          <cell r="AA68">
            <v>315239.13446079881</v>
          </cell>
          <cell r="AB68">
            <v>291449.59474152629</v>
          </cell>
          <cell r="AC68">
            <v>274384.30380299431</v>
          </cell>
          <cell r="AD68">
            <v>259730.71598109155</v>
          </cell>
          <cell r="AE68">
            <v>225431.83501495261</v>
          </cell>
          <cell r="AF68">
            <v>245412.19231413776</v>
          </cell>
          <cell r="AG68">
            <v>237936.15014244674</v>
          </cell>
          <cell r="AH68">
            <v>265496.4322657375</v>
          </cell>
          <cell r="AI68">
            <v>291455.46329290816</v>
          </cell>
          <cell r="AJ68">
            <v>289962.6087196584</v>
          </cell>
          <cell r="AK68">
            <v>290437.76505008369</v>
          </cell>
          <cell r="AL68">
            <v>309877.25372527307</v>
          </cell>
          <cell r="AM68">
            <v>343900.88547048357</v>
          </cell>
          <cell r="AN68">
            <v>409086.90701188665</v>
          </cell>
          <cell r="AO68">
            <v>409788.47214094637</v>
          </cell>
          <cell r="AP68">
            <v>414903.47640534927</v>
          </cell>
          <cell r="AQ68">
            <v>406544.71591330023</v>
          </cell>
          <cell r="AR68">
            <v>400523.38506264408</v>
          </cell>
          <cell r="AS68">
            <v>397541.60961598711</v>
          </cell>
          <cell r="AT68">
            <v>384723.6987367543</v>
          </cell>
          <cell r="AU68">
            <v>412481.84565791284</v>
          </cell>
          <cell r="AV68">
            <v>450779.48913305055</v>
          </cell>
          <cell r="AW68">
            <v>435391.9671349391</v>
          </cell>
          <cell r="AX68">
            <v>456278.82415301836</v>
          </cell>
          <cell r="AY68">
            <v>464329.30038989568</v>
          </cell>
          <cell r="AZ68">
            <v>464403.90313972463</v>
          </cell>
          <cell r="BA68">
            <v>424205.85791381012</v>
          </cell>
          <cell r="BB68">
            <v>419152.20988316007</v>
          </cell>
          <cell r="BC68">
            <v>483363.26259998983</v>
          </cell>
          <cell r="BD68">
            <v>463516.6933436885</v>
          </cell>
          <cell r="BE68">
            <v>448866.15879089996</v>
          </cell>
          <cell r="BF68">
            <v>452393.68874373566</v>
          </cell>
          <cell r="BG68">
            <v>437481.64874373563</v>
          </cell>
          <cell r="BH68">
            <v>438332.2491330505</v>
          </cell>
          <cell r="BJ68">
            <v>-7113.9791819999809</v>
          </cell>
          <cell r="BK68">
            <v>36704.436393000069</v>
          </cell>
          <cell r="BL68">
            <v>-9641.0197660000413</v>
          </cell>
          <cell r="BN68">
            <v>-9641.0197660000413</v>
          </cell>
          <cell r="BO68">
            <v>-13778.669702000072</v>
          </cell>
          <cell r="BP68">
            <v>-16379.562119000038</v>
          </cell>
          <cell r="BQ68">
            <v>8679.6029759999365</v>
          </cell>
          <cell r="BR68">
            <v>-2356.1315620000532</v>
          </cell>
          <cell r="BS68">
            <v>-5768.6956230000069</v>
          </cell>
          <cell r="BT68">
            <v>8042.2316909999063</v>
          </cell>
          <cell r="BU68">
            <v>13268.164198999963</v>
          </cell>
          <cell r="BV68">
            <v>11914.431472999888</v>
          </cell>
          <cell r="BW68">
            <v>18051.319084999908</v>
          </cell>
          <cell r="BX68">
            <v>194.48662799992599</v>
          </cell>
          <cell r="BY68">
            <v>432.79449199995724</v>
          </cell>
          <cell r="BZ68">
            <v>25164.06413199997</v>
          </cell>
          <cell r="CB68">
            <v>-17896.247827999992</v>
          </cell>
          <cell r="CC68">
            <v>-19308.983761999989</v>
          </cell>
          <cell r="CD68">
            <v>-19249.845405486936</v>
          </cell>
          <cell r="CE68">
            <v>43684.031539137592</v>
          </cell>
          <cell r="CF68">
            <v>11665.582108798786</v>
          </cell>
          <cell r="CG68">
            <v>-12123.957610473735</v>
          </cell>
          <cell r="CH68">
            <v>-29189.248549005715</v>
          </cell>
          <cell r="CI68">
            <v>-43842.836370908481</v>
          </cell>
          <cell r="CJ68">
            <v>-78141.717337047419</v>
          </cell>
          <cell r="CK68">
            <v>-58161.360037862265</v>
          </cell>
          <cell r="CL68">
            <v>-65637.402209553286</v>
          </cell>
          <cell r="CM68">
            <v>-38077.120086262526</v>
          </cell>
        </row>
        <row r="69">
          <cell r="A69" t="str">
            <v xml:space="preserve">   Endeudamiento de M/L plazo</v>
          </cell>
          <cell r="C69">
            <v>-228216.48935300001</v>
          </cell>
          <cell r="D69">
            <v>-209906.31483499997</v>
          </cell>
          <cell r="E69">
            <v>-239958.68266399999</v>
          </cell>
          <cell r="F69">
            <v>-233906.43360300004</v>
          </cell>
          <cell r="G69">
            <v>-269258.67617900006</v>
          </cell>
          <cell r="H69">
            <v>-248144.67981899998</v>
          </cell>
          <cell r="I69">
            <v>-276885.82146300003</v>
          </cell>
          <cell r="J69">
            <v>-268086.06608399999</v>
          </cell>
          <cell r="K69">
            <v>-266169.52682199999</v>
          </cell>
          <cell r="L69">
            <v>-263833.69343799999</v>
          </cell>
          <cell r="M69">
            <v>-260920.75573600002</v>
          </cell>
          <cell r="N69">
            <v>-257316.777134</v>
          </cell>
          <cell r="O69">
            <v>-257768.30466999998</v>
          </cell>
          <cell r="P69">
            <v>-257697.25981999998</v>
          </cell>
          <cell r="Q69">
            <v>-255288.00649899998</v>
          </cell>
          <cell r="R69">
            <v>-253796.83656699996</v>
          </cell>
          <cell r="S69">
            <v>-253385.89977999998</v>
          </cell>
          <cell r="T69">
            <v>-250602.06823199999</v>
          </cell>
          <cell r="U69">
            <v>-253505.12633599996</v>
          </cell>
          <cell r="V69">
            <v>-280722.79649599997</v>
          </cell>
          <cell r="W69">
            <v>-276336.63807399996</v>
          </cell>
          <cell r="X69">
            <v>-273246.63541799999</v>
          </cell>
          <cell r="Y69">
            <v>-271489.36639148695</v>
          </cell>
          <cell r="Z69">
            <v>-270403.17020206607</v>
          </cell>
          <cell r="AA69">
            <v>-266071.75756814855</v>
          </cell>
          <cell r="AB69">
            <v>-266111.81153326377</v>
          </cell>
          <cell r="AC69">
            <v>-263912.46095624473</v>
          </cell>
          <cell r="AD69">
            <v>-262586.17038445536</v>
          </cell>
          <cell r="AE69">
            <v>-262485.65683827456</v>
          </cell>
          <cell r="AF69">
            <v>-275812.24049226101</v>
          </cell>
          <cell r="AG69">
            <v>-272565.53739011945</v>
          </cell>
          <cell r="AH69">
            <v>-292452.208890251</v>
          </cell>
          <cell r="AI69">
            <v>-320133.42105080531</v>
          </cell>
          <cell r="AJ69">
            <v>-322642.97554432659</v>
          </cell>
          <cell r="AK69">
            <v>-320469.76154220133</v>
          </cell>
          <cell r="AL69">
            <v>-321212.61180241691</v>
          </cell>
          <cell r="AM69">
            <v>-318547.50145163311</v>
          </cell>
          <cell r="AN69">
            <v>-312665.40962125716</v>
          </cell>
          <cell r="AO69">
            <v>-313465.84054946748</v>
          </cell>
          <cell r="AP69">
            <v>-310991.45140045776</v>
          </cell>
          <cell r="AQ69">
            <v>-320114.73592390202</v>
          </cell>
          <cell r="AR69">
            <v>-317208.59373681946</v>
          </cell>
          <cell r="AS69">
            <v>-315089.71554091532</v>
          </cell>
          <cell r="AT69">
            <v>-311483.82179617469</v>
          </cell>
          <cell r="AU69">
            <v>-313391.55906149087</v>
          </cell>
          <cell r="AV69">
            <v>-341672.42815557885</v>
          </cell>
          <cell r="AW69">
            <v>-342579.55289722455</v>
          </cell>
          <cell r="AX69">
            <v>-349124.89554404555</v>
          </cell>
          <cell r="AY69">
            <v>-340772.7683195697</v>
          </cell>
          <cell r="AZ69">
            <v>-339387.81208446459</v>
          </cell>
          <cell r="BA69">
            <v>-338030.27488299657</v>
          </cell>
          <cell r="BB69">
            <v>-340125.0743065523</v>
          </cell>
          <cell r="BC69">
            <v>-340639.83915370994</v>
          </cell>
          <cell r="BD69">
            <v>-335135.82858529792</v>
          </cell>
          <cell r="BE69">
            <v>-335089.66916966601</v>
          </cell>
          <cell r="BF69">
            <v>-331662.05666966602</v>
          </cell>
          <cell r="BG69">
            <v>-326735.53766966605</v>
          </cell>
          <cell r="BH69">
            <v>-316130.93815557886</v>
          </cell>
          <cell r="BJ69">
            <v>-18310.174518000043</v>
          </cell>
          <cell r="BK69">
            <v>-6052.2490609999513</v>
          </cell>
          <cell r="BL69">
            <v>-21113.996360000077</v>
          </cell>
          <cell r="BN69">
            <v>-21113.996360000077</v>
          </cell>
          <cell r="BO69">
            <v>-8799.7553790000384</v>
          </cell>
          <cell r="BP69">
            <v>-10716.294641000044</v>
          </cell>
          <cell r="BQ69">
            <v>-13052.128025000042</v>
          </cell>
          <cell r="BR69">
            <v>-15965.065727000008</v>
          </cell>
          <cell r="BS69">
            <v>-19569.044329000026</v>
          </cell>
          <cell r="BT69">
            <v>-19117.516793000046</v>
          </cell>
          <cell r="BU69">
            <v>-19188.561643000052</v>
          </cell>
          <cell r="BV69">
            <v>-21597.814964000048</v>
          </cell>
          <cell r="BW69">
            <v>-23088.984896000067</v>
          </cell>
          <cell r="BX69">
            <v>-23499.921683000051</v>
          </cell>
          <cell r="BY69">
            <v>-26283.753231000039</v>
          </cell>
          <cell r="BZ69">
            <v>-23380.695127000072</v>
          </cell>
          <cell r="CB69">
            <v>-4386.1584220000077</v>
          </cell>
          <cell r="CC69">
            <v>-7476.1610779999755</v>
          </cell>
          <cell r="CD69">
            <v>-9233.4301045130123</v>
          </cell>
          <cell r="CE69">
            <v>-10319.626293933892</v>
          </cell>
          <cell r="CF69">
            <v>-14651.038927851419</v>
          </cell>
          <cell r="CG69">
            <v>-14610.984962736198</v>
          </cell>
          <cell r="CH69">
            <v>-16810.335539755237</v>
          </cell>
          <cell r="CI69">
            <v>-18136.62611154461</v>
          </cell>
          <cell r="CJ69">
            <v>-18237.139657725405</v>
          </cell>
          <cell r="CK69">
            <v>-4910.5560037389514</v>
          </cell>
          <cell r="CL69">
            <v>-8157.2591058805119</v>
          </cell>
          <cell r="CM69">
            <v>11729.412394251034</v>
          </cell>
        </row>
        <row r="71">
          <cell r="A71" t="str">
            <v>ACTIVOS INTERNOS NETOS</v>
          </cell>
          <cell r="C71">
            <v>564324.6806030001</v>
          </cell>
          <cell r="D71">
            <v>657466.49024900002</v>
          </cell>
          <cell r="E71">
            <v>686925.92723000003</v>
          </cell>
          <cell r="F71">
            <v>678219.04559700005</v>
          </cell>
          <cell r="G71">
            <v>710888.27946899994</v>
          </cell>
          <cell r="H71">
            <v>757185.58932299993</v>
          </cell>
          <cell r="I71">
            <v>789219.97790299996</v>
          </cell>
          <cell r="J71">
            <v>768989.49934999994</v>
          </cell>
          <cell r="K71">
            <v>770015.7741380001</v>
          </cell>
          <cell r="L71">
            <v>743928.96186199994</v>
          </cell>
          <cell r="M71">
            <v>792301.97326799983</v>
          </cell>
          <cell r="N71">
            <v>801497.44535499997</v>
          </cell>
          <cell r="O71">
            <v>825874.51532000001</v>
          </cell>
          <cell r="P71">
            <v>857190.95545999997</v>
          </cell>
          <cell r="Q71">
            <v>885247.68938900018</v>
          </cell>
          <cell r="R71">
            <v>879402.89390800009</v>
          </cell>
          <cell r="S71">
            <v>905554.22236000001</v>
          </cell>
          <cell r="T71">
            <v>921153.46096400009</v>
          </cell>
          <cell r="U71">
            <v>916665.71259599994</v>
          </cell>
          <cell r="V71">
            <v>947636.57357999985</v>
          </cell>
          <cell r="W71">
            <v>986216.54975200002</v>
          </cell>
          <cell r="X71">
            <v>999817.40685599996</v>
          </cell>
          <cell r="Y71">
            <v>1011601.96037063</v>
          </cell>
          <cell r="Z71">
            <v>956855.20635984128</v>
          </cell>
          <cell r="AA71">
            <v>999264.43008644704</v>
          </cell>
          <cell r="AB71">
            <v>1028389.8462523163</v>
          </cell>
          <cell r="AC71">
            <v>1040053.3690344698</v>
          </cell>
          <cell r="AD71">
            <v>1059399.0157935394</v>
          </cell>
          <cell r="AE71">
            <v>1118496.7946886385</v>
          </cell>
          <cell r="AF71">
            <v>1088229.4821088186</v>
          </cell>
          <cell r="AG71">
            <v>1149447.4029028122</v>
          </cell>
          <cell r="AH71">
            <v>1166861.9042405747</v>
          </cell>
          <cell r="AI71">
            <v>1209436.0198747579</v>
          </cell>
          <cell r="AJ71">
            <v>1237772.7769641469</v>
          </cell>
          <cell r="AK71">
            <v>1262391.4623969104</v>
          </cell>
          <cell r="AL71">
            <v>1270425.0879759057</v>
          </cell>
          <cell r="AM71">
            <v>1311673.9780051424</v>
          </cell>
          <cell r="AN71">
            <v>1256680.3957536297</v>
          </cell>
          <cell r="AO71">
            <v>1230969.576230573</v>
          </cell>
          <cell r="AP71">
            <v>1235147.0650951408</v>
          </cell>
          <cell r="AQ71">
            <v>1277894.1918050442</v>
          </cell>
          <cell r="AR71">
            <v>1318173.5131995557</v>
          </cell>
          <cell r="AS71">
            <v>1313953.0652535511</v>
          </cell>
          <cell r="AT71">
            <v>1355724.2503564698</v>
          </cell>
          <cell r="AU71">
            <v>1334920.1619673916</v>
          </cell>
          <cell r="AV71">
            <v>1373053.4112363579</v>
          </cell>
          <cell r="AW71">
            <v>1438644.9029374092</v>
          </cell>
          <cell r="AX71">
            <v>1469939.0577553136</v>
          </cell>
          <cell r="AY71">
            <v>1480863.1092875756</v>
          </cell>
          <cell r="AZ71">
            <v>1485283.9715899518</v>
          </cell>
          <cell r="BA71">
            <v>1488076.0854242311</v>
          </cell>
          <cell r="BB71">
            <v>1537515.1080988478</v>
          </cell>
          <cell r="BC71">
            <v>1455173.6947117397</v>
          </cell>
          <cell r="BD71">
            <v>1388829.4338579783</v>
          </cell>
          <cell r="BE71">
            <v>1396552.4768298462</v>
          </cell>
          <cell r="BF71">
            <v>1438791.8659147106</v>
          </cell>
          <cell r="BG71">
            <v>1403142.4051526643</v>
          </cell>
          <cell r="BH71">
            <v>1453567.9442821038</v>
          </cell>
          <cell r="BJ71">
            <v>93141.809645999921</v>
          </cell>
          <cell r="BK71">
            <v>-8706.8816329999827</v>
          </cell>
          <cell r="BL71">
            <v>46297.309853999992</v>
          </cell>
          <cell r="BN71">
            <v>46297.309853999992</v>
          </cell>
          <cell r="BO71">
            <v>-20230.478553000023</v>
          </cell>
          <cell r="BP71">
            <v>-19204.203764999867</v>
          </cell>
          <cell r="BQ71">
            <v>-45291.016041000024</v>
          </cell>
          <cell r="BR71">
            <v>3081.9953649998643</v>
          </cell>
          <cell r="BS71">
            <v>12277.467452000012</v>
          </cell>
          <cell r="BT71">
            <v>36654.537417000043</v>
          </cell>
          <cell r="BU71">
            <v>67970.977557000006</v>
          </cell>
          <cell r="BV71">
            <v>96027.711486000218</v>
          </cell>
          <cell r="BW71">
            <v>90182.916005000123</v>
          </cell>
          <cell r="BX71">
            <v>116334.24445700005</v>
          </cell>
          <cell r="BY71">
            <v>131933.48306100012</v>
          </cell>
          <cell r="BZ71">
            <v>127445.73469299998</v>
          </cell>
          <cell r="CB71">
            <v>38579.97617200017</v>
          </cell>
          <cell r="CC71">
            <v>52180.833276000107</v>
          </cell>
          <cell r="CD71">
            <v>63965.386790630175</v>
          </cell>
          <cell r="CE71">
            <v>9218.6327798414277</v>
          </cell>
          <cell r="CF71">
            <v>51627.856506447191</v>
          </cell>
          <cell r="CG71">
            <v>80753.272672316409</v>
          </cell>
          <cell r="CH71">
            <v>92416.795454469975</v>
          </cell>
          <cell r="CI71">
            <v>111762.4422135395</v>
          </cell>
          <cell r="CJ71">
            <v>170860.22110863868</v>
          </cell>
          <cell r="CK71">
            <v>140592.90852881875</v>
          </cell>
          <cell r="CL71">
            <v>201810.82932281238</v>
          </cell>
          <cell r="CM71">
            <v>219225.33066057484</v>
          </cell>
        </row>
        <row r="72">
          <cell r="A72" t="str">
            <v xml:space="preserve">   Crédito neto SPNF</v>
          </cell>
          <cell r="C72">
            <v>22224.508831999996</v>
          </cell>
          <cell r="D72">
            <v>36576.122193999996</v>
          </cell>
          <cell r="E72">
            <v>38177.944792000009</v>
          </cell>
          <cell r="F72">
            <v>34316.406968999989</v>
          </cell>
          <cell r="G72">
            <v>33083.584072999998</v>
          </cell>
          <cell r="H72">
            <v>211410.78306199994</v>
          </cell>
          <cell r="I72">
            <v>217702.63427799998</v>
          </cell>
          <cell r="J72">
            <v>214482.971754</v>
          </cell>
          <cell r="K72">
            <v>214799.15286400006</v>
          </cell>
          <cell r="L72">
            <v>197012.70750900003</v>
          </cell>
          <cell r="M72">
            <v>218014.21260200004</v>
          </cell>
          <cell r="N72">
            <v>231200.65866100002</v>
          </cell>
          <cell r="O72">
            <v>247372.54157499998</v>
          </cell>
          <cell r="P72">
            <v>274651.13460500003</v>
          </cell>
          <cell r="Q72">
            <v>296943.11430400005</v>
          </cell>
          <cell r="R72">
            <v>311561.93372699997</v>
          </cell>
          <cell r="S72">
            <v>309421.32266000001</v>
          </cell>
          <cell r="T72">
            <v>305536.61147999996</v>
          </cell>
          <cell r="U72">
            <v>296643.06867200002</v>
          </cell>
          <cell r="V72">
            <v>302157.39442999999</v>
          </cell>
          <cell r="W72">
            <v>322607.52046000003</v>
          </cell>
          <cell r="X72">
            <v>330313.51532400009</v>
          </cell>
          <cell r="Y72">
            <v>325967.82831447659</v>
          </cell>
          <cell r="Z72">
            <v>264624.90831476205</v>
          </cell>
          <cell r="AA72">
            <v>315174.85048939759</v>
          </cell>
          <cell r="AB72">
            <v>311043.68258442869</v>
          </cell>
          <cell r="AC72">
            <v>305631.84007024311</v>
          </cell>
          <cell r="AD72">
            <v>306581.69795795518</v>
          </cell>
          <cell r="AE72">
            <v>295313.55990338943</v>
          </cell>
          <cell r="AF72">
            <v>278278.49756027397</v>
          </cell>
          <cell r="AG72">
            <v>301061.44628151896</v>
          </cell>
          <cell r="AH72">
            <v>329501.08073228097</v>
          </cell>
          <cell r="AI72">
            <v>336435.35130646365</v>
          </cell>
          <cell r="AJ72">
            <v>345807.77647574362</v>
          </cell>
          <cell r="AK72">
            <v>345068.26966320811</v>
          </cell>
          <cell r="AL72">
            <v>324453.70438974747</v>
          </cell>
          <cell r="AM72">
            <v>338454.85486570786</v>
          </cell>
          <cell r="AN72">
            <v>276350.79649783182</v>
          </cell>
          <cell r="AO72">
            <v>289588.6693955771</v>
          </cell>
          <cell r="AP72">
            <v>288899.54853342578</v>
          </cell>
          <cell r="AQ72">
            <v>311997.84554345568</v>
          </cell>
          <cell r="AR72">
            <v>325670.96907834517</v>
          </cell>
          <cell r="AS72">
            <v>321663.48038278928</v>
          </cell>
          <cell r="AT72">
            <v>264919.69472026458</v>
          </cell>
          <cell r="AU72">
            <v>243617.13317207509</v>
          </cell>
          <cell r="AV72">
            <v>255796.64275593747</v>
          </cell>
          <cell r="AW72">
            <v>297764.83958963648</v>
          </cell>
          <cell r="AX72">
            <v>334824.77296866692</v>
          </cell>
          <cell r="AY72">
            <v>327489.81242307415</v>
          </cell>
          <cell r="AZ72">
            <v>298606.98003618448</v>
          </cell>
          <cell r="BA72">
            <v>301978.92313955177</v>
          </cell>
          <cell r="BB72">
            <v>293532.00021752762</v>
          </cell>
          <cell r="BC72">
            <v>210912.5930565992</v>
          </cell>
          <cell r="BD72">
            <v>192337.93501263642</v>
          </cell>
          <cell r="BE72">
            <v>190759.93468000003</v>
          </cell>
          <cell r="BF72">
            <v>201285.71983727309</v>
          </cell>
          <cell r="BG72">
            <v>143480.94685557726</v>
          </cell>
          <cell r="BH72">
            <v>102166.11616311883</v>
          </cell>
          <cell r="BJ72">
            <v>14351.613362</v>
          </cell>
          <cell r="BK72">
            <v>-3861.5378230000206</v>
          </cell>
          <cell r="BL72">
            <v>178327.19898899994</v>
          </cell>
          <cell r="BN72">
            <v>178327.19898899994</v>
          </cell>
          <cell r="BO72">
            <v>-3219.6625239999848</v>
          </cell>
          <cell r="BP72">
            <v>-2903.4814139999216</v>
          </cell>
          <cell r="BQ72">
            <v>-20689.926768999954</v>
          </cell>
          <cell r="BR72">
            <v>311.57832400006009</v>
          </cell>
          <cell r="BS72">
            <v>13498.02438300004</v>
          </cell>
          <cell r="BT72">
            <v>29669.907296999998</v>
          </cell>
          <cell r="BU72">
            <v>56948.500327000045</v>
          </cell>
          <cell r="BV72">
            <v>79240.480026000063</v>
          </cell>
          <cell r="BW72">
            <v>93859.299448999984</v>
          </cell>
          <cell r="BX72">
            <v>91718.688382000022</v>
          </cell>
          <cell r="BY72">
            <v>87833.97720199998</v>
          </cell>
          <cell r="BZ72">
            <v>78940.43439400004</v>
          </cell>
          <cell r="CB72">
            <v>20450.126030000043</v>
          </cell>
          <cell r="CC72">
            <v>28156.120894000109</v>
          </cell>
          <cell r="CD72">
            <v>23810.433884476603</v>
          </cell>
          <cell r="CE72">
            <v>-37532.486115237931</v>
          </cell>
          <cell r="CF72">
            <v>13017.456059397606</v>
          </cell>
          <cell r="CG72">
            <v>8886.2881544287084</v>
          </cell>
          <cell r="CH72">
            <v>3474.4456402431242</v>
          </cell>
          <cell r="CI72">
            <v>4424.3035279551987</v>
          </cell>
          <cell r="CJ72">
            <v>-6843.8345266105607</v>
          </cell>
          <cell r="CK72">
            <v>-23878.896869726013</v>
          </cell>
          <cell r="CL72">
            <v>-1095.948148481024</v>
          </cell>
          <cell r="CM72">
            <v>27343.686302280985</v>
          </cell>
        </row>
        <row r="73">
          <cell r="A73" t="str">
            <v xml:space="preserve">     del cual: Dep. del Gob.subasta conjunta</v>
          </cell>
          <cell r="H73">
            <v>-77092.924199999994</v>
          </cell>
          <cell r="I73">
            <v>-77092.924199999994</v>
          </cell>
          <cell r="J73">
            <v>-88290</v>
          </cell>
          <cell r="K73">
            <v>-93218</v>
          </cell>
          <cell r="L73">
            <v>-112334</v>
          </cell>
          <cell r="M73">
            <v>-95344</v>
          </cell>
          <cell r="N73">
            <v>-81910</v>
          </cell>
          <cell r="O73">
            <v>-62976</v>
          </cell>
          <cell r="P73">
            <v>-40088</v>
          </cell>
          <cell r="Q73">
            <v>-21358</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J73">
            <v>0</v>
          </cell>
          <cell r="BK73">
            <v>0</v>
          </cell>
          <cell r="BL73">
            <v>-77092.924199999994</v>
          </cell>
          <cell r="BN73">
            <v>77092.924199999994</v>
          </cell>
          <cell r="BO73">
            <v>11197.075800000006</v>
          </cell>
          <cell r="BP73">
            <v>16125.075800000006</v>
          </cell>
          <cell r="BQ73">
            <v>35241.075800000006</v>
          </cell>
          <cell r="BR73">
            <v>18251.075800000006</v>
          </cell>
          <cell r="BS73">
            <v>4817.075800000006</v>
          </cell>
          <cell r="BT73">
            <v>-14116.924199999994</v>
          </cell>
          <cell r="BU73">
            <v>-37004.924199999994</v>
          </cell>
          <cell r="BV73">
            <v>-55734.924199999994</v>
          </cell>
          <cell r="BW73">
            <v>-77092.924199999994</v>
          </cell>
          <cell r="BX73">
            <v>-77092.924199999994</v>
          </cell>
          <cell r="BY73">
            <v>-77092.924199999994</v>
          </cell>
          <cell r="BZ73">
            <v>-77092.924199999994</v>
          </cell>
          <cell r="CB73">
            <v>0</v>
          </cell>
          <cell r="CC73">
            <v>0</v>
          </cell>
          <cell r="CD73">
            <v>0</v>
          </cell>
          <cell r="CE73">
            <v>0</v>
          </cell>
          <cell r="CF73">
            <v>0</v>
          </cell>
          <cell r="CG73">
            <v>0</v>
          </cell>
          <cell r="CH73">
            <v>0</v>
          </cell>
          <cell r="CI73">
            <v>0</v>
          </cell>
          <cell r="CJ73">
            <v>0</v>
          </cell>
          <cell r="CK73">
            <v>0</v>
          </cell>
          <cell r="CL73">
            <v>0</v>
          </cell>
          <cell r="CM73">
            <v>0</v>
          </cell>
        </row>
        <row r="74">
          <cell r="A74" t="str">
            <v xml:space="preserve">   Crédito al sector privado</v>
          </cell>
          <cell r="C74">
            <v>229028.024179</v>
          </cell>
          <cell r="D74">
            <v>264796.157252</v>
          </cell>
          <cell r="E74">
            <v>270634.05343999999</v>
          </cell>
          <cell r="F74">
            <v>266978.17004</v>
          </cell>
          <cell r="G74">
            <v>275586.89161600004</v>
          </cell>
          <cell r="H74">
            <v>334292.61511199997</v>
          </cell>
          <cell r="I74">
            <v>342520.2476</v>
          </cell>
          <cell r="J74">
            <v>343658.8982</v>
          </cell>
          <cell r="K74">
            <v>346542.35230000003</v>
          </cell>
          <cell r="L74">
            <v>352015.78700000001</v>
          </cell>
          <cell r="M74">
            <v>354740.14910000004</v>
          </cell>
          <cell r="N74">
            <v>358223.00080000004</v>
          </cell>
          <cell r="O74">
            <v>366261.16009999998</v>
          </cell>
          <cell r="P74">
            <v>371858.65750000003</v>
          </cell>
          <cell r="Q74">
            <v>378544.98529999994</v>
          </cell>
          <cell r="R74">
            <v>390745.91130000004</v>
          </cell>
          <cell r="S74">
            <v>399418.18829999998</v>
          </cell>
          <cell r="T74">
            <v>409407.61309999996</v>
          </cell>
          <cell r="U74">
            <v>426064.64610000001</v>
          </cell>
          <cell r="V74">
            <v>437361.91851599998</v>
          </cell>
          <cell r="W74">
            <v>440520.27835599997</v>
          </cell>
          <cell r="X74">
            <v>458518.38068200002</v>
          </cell>
          <cell r="Y74">
            <v>461888.61621742998</v>
          </cell>
          <cell r="Z74">
            <v>466377.4990085141</v>
          </cell>
          <cell r="AA74">
            <v>479915.10144917684</v>
          </cell>
          <cell r="AB74">
            <v>510885.64142081013</v>
          </cell>
          <cell r="AC74">
            <v>522490.32791791169</v>
          </cell>
          <cell r="AD74">
            <v>540266.41510781914</v>
          </cell>
          <cell r="AE74">
            <v>598664.67892324436</v>
          </cell>
          <cell r="AF74">
            <v>604348.18235688668</v>
          </cell>
          <cell r="AG74">
            <v>627409.38328779861</v>
          </cell>
          <cell r="AH74">
            <v>647202.23718941142</v>
          </cell>
          <cell r="AI74">
            <v>665659.16150439112</v>
          </cell>
          <cell r="AJ74">
            <v>678716.20574190235</v>
          </cell>
          <cell r="AK74">
            <v>692563.98803951987</v>
          </cell>
          <cell r="AL74">
            <v>714401.36011287104</v>
          </cell>
          <cell r="AM74">
            <v>712890.11058784812</v>
          </cell>
          <cell r="AN74">
            <v>708969.38565077819</v>
          </cell>
          <cell r="AO74">
            <v>714494.38518410176</v>
          </cell>
          <cell r="AP74">
            <v>713415.48097890755</v>
          </cell>
          <cell r="AQ74">
            <v>727823.37069778051</v>
          </cell>
          <cell r="AR74">
            <v>731691.14977638342</v>
          </cell>
          <cell r="AS74">
            <v>730921.32635335508</v>
          </cell>
          <cell r="AT74">
            <v>752024.68896268378</v>
          </cell>
          <cell r="AU74">
            <v>764756.58812623459</v>
          </cell>
          <cell r="AV74">
            <v>790217.81022643088</v>
          </cell>
          <cell r="AW74">
            <v>802511.15298071131</v>
          </cell>
          <cell r="AX74">
            <v>822192.4147770172</v>
          </cell>
          <cell r="AY74">
            <v>830846.65242327191</v>
          </cell>
          <cell r="AZ74">
            <v>840246.63163062709</v>
          </cell>
          <cell r="BA74">
            <v>857381.59387587535</v>
          </cell>
          <cell r="BB74">
            <v>883574.63585269754</v>
          </cell>
          <cell r="BC74">
            <v>890637.6342784001</v>
          </cell>
          <cell r="BD74">
            <v>900358.35869999998</v>
          </cell>
          <cell r="BE74">
            <v>910623.59409999999</v>
          </cell>
          <cell r="BF74">
            <v>955957.87884237361</v>
          </cell>
          <cell r="BG74">
            <v>977570.18081498158</v>
          </cell>
          <cell r="BH74">
            <v>979870.08468077425</v>
          </cell>
          <cell r="BJ74">
            <v>35768.133073000005</v>
          </cell>
          <cell r="BK74">
            <v>-3655.8833999999915</v>
          </cell>
          <cell r="BL74">
            <v>58705.723495999933</v>
          </cell>
          <cell r="BN74">
            <v>58705.723495999933</v>
          </cell>
          <cell r="BO74">
            <v>1138.6505999999936</v>
          </cell>
          <cell r="BP74">
            <v>4022.1047000000253</v>
          </cell>
          <cell r="BQ74">
            <v>9495.5394000000088</v>
          </cell>
          <cell r="BR74">
            <v>12219.901500000036</v>
          </cell>
          <cell r="BS74">
            <v>15702.753200000036</v>
          </cell>
          <cell r="BT74">
            <v>23740.912499999977</v>
          </cell>
          <cell r="BU74">
            <v>29338.409900000028</v>
          </cell>
          <cell r="BV74">
            <v>36024.73769999994</v>
          </cell>
          <cell r="BW74">
            <v>48225.663700000034</v>
          </cell>
          <cell r="BX74">
            <v>56897.940699999977</v>
          </cell>
          <cell r="BY74">
            <v>66887.365499999956</v>
          </cell>
          <cell r="BZ74">
            <v>83544.39850000001</v>
          </cell>
          <cell r="CB74">
            <v>3158.3598399999901</v>
          </cell>
          <cell r="CC74">
            <v>21156.462166000041</v>
          </cell>
          <cell r="CD74">
            <v>24526.697701430006</v>
          </cell>
          <cell r="CE74">
            <v>29015.580492514127</v>
          </cell>
          <cell r="CF74">
            <v>42553.182933176868</v>
          </cell>
          <cell r="CG74">
            <v>73523.722904810158</v>
          </cell>
          <cell r="CH74">
            <v>85128.409401911718</v>
          </cell>
          <cell r="CI74">
            <v>102904.49659181916</v>
          </cell>
          <cell r="CJ74">
            <v>161302.76040724438</v>
          </cell>
          <cell r="CK74">
            <v>166986.26384088671</v>
          </cell>
          <cell r="CL74">
            <v>190047.46477179864</v>
          </cell>
          <cell r="CM74">
            <v>209840.31867341144</v>
          </cell>
        </row>
        <row r="75">
          <cell r="A75" t="str">
            <v xml:space="preserve">   Otros</v>
          </cell>
          <cell r="C75">
            <v>313072.14759200014</v>
          </cell>
          <cell r="D75">
            <v>356094.21080299997</v>
          </cell>
          <cell r="E75">
            <v>378113.92899800005</v>
          </cell>
          <cell r="F75">
            <v>376924.46858800005</v>
          </cell>
          <cell r="G75">
            <v>402217.8037799999</v>
          </cell>
          <cell r="H75">
            <v>211482.19114900002</v>
          </cell>
          <cell r="I75">
            <v>228997.09602499998</v>
          </cell>
          <cell r="J75">
            <v>210847.62939599989</v>
          </cell>
          <cell r="K75">
            <v>208674.26897400001</v>
          </cell>
          <cell r="L75">
            <v>194900.46735299984</v>
          </cell>
          <cell r="M75">
            <v>219547.61156599969</v>
          </cell>
          <cell r="N75">
            <v>212073.78589399997</v>
          </cell>
          <cell r="O75">
            <v>212240.8136450001</v>
          </cell>
          <cell r="P75">
            <v>210681.16335499991</v>
          </cell>
          <cell r="Q75">
            <v>209759.58978500019</v>
          </cell>
          <cell r="R75">
            <v>177095.04888100014</v>
          </cell>
          <cell r="S75">
            <v>196714.71139999997</v>
          </cell>
          <cell r="T75">
            <v>206209.23638400016</v>
          </cell>
          <cell r="U75">
            <v>193957.99782399996</v>
          </cell>
          <cell r="V75">
            <v>208117.26063399989</v>
          </cell>
          <cell r="W75">
            <v>223088.75093600003</v>
          </cell>
          <cell r="X75">
            <v>210985.5108499999</v>
          </cell>
          <cell r="Y75">
            <v>223745.5158387234</v>
          </cell>
          <cell r="Z75">
            <v>225852.79903656512</v>
          </cell>
          <cell r="AA75">
            <v>204174.47814787255</v>
          </cell>
          <cell r="AB75">
            <v>206460.52224707743</v>
          </cell>
          <cell r="AC75">
            <v>211931.20104631502</v>
          </cell>
          <cell r="AD75">
            <v>212550.90272776503</v>
          </cell>
          <cell r="AE75">
            <v>224518.55586200475</v>
          </cell>
          <cell r="AF75">
            <v>205602.80219165795</v>
          </cell>
          <cell r="AG75">
            <v>220976.5733334946</v>
          </cell>
          <cell r="AH75">
            <v>190158.5863188823</v>
          </cell>
          <cell r="AI75">
            <v>207341.50706390315</v>
          </cell>
          <cell r="AJ75">
            <v>213248.79474650091</v>
          </cell>
          <cell r="AK75">
            <v>224759.20469418238</v>
          </cell>
          <cell r="AL75">
            <v>231570.02347328723</v>
          </cell>
          <cell r="AM75">
            <v>260329.01255158638</v>
          </cell>
          <cell r="AN75">
            <v>271360.21360501973</v>
          </cell>
          <cell r="AO75">
            <v>226886.52165089408</v>
          </cell>
          <cell r="AP75">
            <v>232832.0355828075</v>
          </cell>
          <cell r="AQ75">
            <v>238072.975563808</v>
          </cell>
          <cell r="AR75">
            <v>260811.39434482704</v>
          </cell>
          <cell r="AS75">
            <v>261368.25851740676</v>
          </cell>
          <cell r="AT75">
            <v>338779.86667352146</v>
          </cell>
          <cell r="AU75">
            <v>326546.44066908199</v>
          </cell>
          <cell r="AV75">
            <v>327038.95825398946</v>
          </cell>
          <cell r="AW75">
            <v>338368.91036706138</v>
          </cell>
          <cell r="AX75">
            <v>312921.87000962952</v>
          </cell>
          <cell r="AY75">
            <v>322526.64444122952</v>
          </cell>
          <cell r="AZ75">
            <v>346430.35992314026</v>
          </cell>
          <cell r="BA75">
            <v>328715.5684088039</v>
          </cell>
          <cell r="BB75">
            <v>360408.47202862264</v>
          </cell>
          <cell r="BC75">
            <v>353623.46737674042</v>
          </cell>
          <cell r="BD75">
            <v>296133.14014534187</v>
          </cell>
          <cell r="BE75">
            <v>295168.94804984622</v>
          </cell>
          <cell r="BF75">
            <v>281548.26723506395</v>
          </cell>
          <cell r="BG75">
            <v>282091.27748210554</v>
          </cell>
          <cell r="BH75">
            <v>371531.7434382108</v>
          </cell>
          <cell r="BJ75">
            <v>43022.063210999826</v>
          </cell>
          <cell r="BK75">
            <v>-1189.4604099999997</v>
          </cell>
          <cell r="BL75">
            <v>-190735.61263099988</v>
          </cell>
          <cell r="BN75">
            <v>-190735.61263099988</v>
          </cell>
          <cell r="BO75">
            <v>-18149.46662900009</v>
          </cell>
          <cell r="BP75">
            <v>-20322.827050999971</v>
          </cell>
          <cell r="BQ75">
            <v>-34096.628672000137</v>
          </cell>
          <cell r="BR75">
            <v>-9449.4844590002904</v>
          </cell>
          <cell r="BS75">
            <v>-16923.310131000006</v>
          </cell>
          <cell r="BT75">
            <v>-16756.282379999873</v>
          </cell>
          <cell r="BU75">
            <v>-18315.932670000067</v>
          </cell>
          <cell r="BV75">
            <v>-19237.506239999784</v>
          </cell>
          <cell r="BW75">
            <v>-51902.047143999836</v>
          </cell>
          <cell r="BX75">
            <v>-32282.384625000006</v>
          </cell>
          <cell r="BY75">
            <v>-22787.859640999814</v>
          </cell>
          <cell r="BZ75">
            <v>-35039.098201000015</v>
          </cell>
          <cell r="CB75">
            <v>14971.490302000137</v>
          </cell>
          <cell r="CC75">
            <v>2868.2502160000149</v>
          </cell>
          <cell r="CD75">
            <v>15628.255204723508</v>
          </cell>
          <cell r="CE75">
            <v>17735.538402565231</v>
          </cell>
          <cell r="CF75">
            <v>-3942.7824861273402</v>
          </cell>
          <cell r="CG75">
            <v>-1656.7383869224577</v>
          </cell>
          <cell r="CH75">
            <v>3813.9404123151326</v>
          </cell>
          <cell r="CI75">
            <v>4433.6420937651419</v>
          </cell>
          <cell r="CJ75">
            <v>16401.295228004863</v>
          </cell>
          <cell r="CK75">
            <v>-2514.4584423419437</v>
          </cell>
          <cell r="CL75">
            <v>12859.312699494709</v>
          </cell>
          <cell r="CM75">
            <v>-17958.674315117591</v>
          </cell>
        </row>
        <row r="77">
          <cell r="A77" t="str">
            <v>OBLIGACIONES SECTOR PRIVADO</v>
          </cell>
          <cell r="C77">
            <v>486631.56219700002</v>
          </cell>
          <cell r="D77">
            <v>590969.56717900001</v>
          </cell>
          <cell r="E77">
            <v>611192.04095499997</v>
          </cell>
          <cell r="F77">
            <v>645241.84477600001</v>
          </cell>
          <cell r="G77">
            <v>673820.94103999995</v>
          </cell>
          <cell r="H77">
            <v>731591.22748799995</v>
          </cell>
          <cell r="I77">
            <v>761001.65704399999</v>
          </cell>
          <cell r="J77">
            <v>735792.26416799997</v>
          </cell>
          <cell r="K77">
            <v>736134.1858010001</v>
          </cell>
          <cell r="L77">
            <v>737442.37200399989</v>
          </cell>
          <cell r="M77">
            <v>777692.58657399984</v>
          </cell>
          <cell r="N77">
            <v>787079.47320200002</v>
          </cell>
          <cell r="O77">
            <v>824815.94294500002</v>
          </cell>
          <cell r="P77">
            <v>861429.36044299998</v>
          </cell>
          <cell r="Q77">
            <v>890541.61496700009</v>
          </cell>
          <cell r="R77">
            <v>892324.87703000009</v>
          </cell>
          <cell r="S77">
            <v>901030.30981200002</v>
          </cell>
          <cell r="T77">
            <v>919651.68782800005</v>
          </cell>
          <cell r="U77">
            <v>936992.15099600004</v>
          </cell>
          <cell r="V77">
            <v>970487.32943599997</v>
          </cell>
          <cell r="W77">
            <v>995557.21620200004</v>
          </cell>
          <cell r="X77">
            <v>1010835.3400279999</v>
          </cell>
          <cell r="Y77">
            <v>1024436.3009256562</v>
          </cell>
          <cell r="Z77">
            <v>1033709.6200489128</v>
          </cell>
          <cell r="AA77">
            <v>1048431.8069790973</v>
          </cell>
          <cell r="AB77">
            <v>1053727.6294605788</v>
          </cell>
          <cell r="AC77">
            <v>1050525.2118812194</v>
          </cell>
          <cell r="AD77">
            <v>1056543.5613901755</v>
          </cell>
          <cell r="AE77">
            <v>1081442.9728653166</v>
          </cell>
          <cell r="AF77">
            <v>1057829.4339306953</v>
          </cell>
          <cell r="AG77">
            <v>1114818.0156551395</v>
          </cell>
          <cell r="AH77">
            <v>1139906.1276160611</v>
          </cell>
          <cell r="AI77">
            <v>1180758.0621168606</v>
          </cell>
          <cell r="AJ77">
            <v>1205092.4101394787</v>
          </cell>
          <cell r="AK77">
            <v>1232359.4659047928</v>
          </cell>
          <cell r="AL77">
            <v>1259089.729898762</v>
          </cell>
          <cell r="AM77">
            <v>1337027.3620239929</v>
          </cell>
          <cell r="AN77">
            <v>1353101.8931442592</v>
          </cell>
          <cell r="AO77">
            <v>1327292.2078220518</v>
          </cell>
          <cell r="AP77">
            <v>1339059.0901000323</v>
          </cell>
          <cell r="AQ77">
            <v>1364324.1717944425</v>
          </cell>
          <cell r="AR77">
            <v>1401488.3045253803</v>
          </cell>
          <cell r="AS77">
            <v>1396404.959328623</v>
          </cell>
          <cell r="AT77">
            <v>1428964.1272970494</v>
          </cell>
          <cell r="AU77">
            <v>1434010.4485638135</v>
          </cell>
          <cell r="AV77">
            <v>1482160.4722138296</v>
          </cell>
          <cell r="AW77">
            <v>1531457.3171751238</v>
          </cell>
          <cell r="AX77">
            <v>1577092.9863642864</v>
          </cell>
          <cell r="AY77">
            <v>1604419.6413579015</v>
          </cell>
          <cell r="AZ77">
            <v>1610300.0626452118</v>
          </cell>
          <cell r="BA77">
            <v>1574251.6684550447</v>
          </cell>
          <cell r="BB77">
            <v>1616542.2436754555</v>
          </cell>
          <cell r="BC77">
            <v>1597897.1181580196</v>
          </cell>
          <cell r="BD77">
            <v>1517210.2986163688</v>
          </cell>
          <cell r="BE77">
            <v>1510328.9664510801</v>
          </cell>
          <cell r="BF77">
            <v>1559523.4979887803</v>
          </cell>
          <cell r="BG77">
            <v>1513888.5162267338</v>
          </cell>
          <cell r="BH77">
            <v>1575769.2552595753</v>
          </cell>
          <cell r="BJ77">
            <v>104338.00498199998</v>
          </cell>
          <cell r="BK77">
            <v>34049.803821000038</v>
          </cell>
          <cell r="BL77">
            <v>57770.286447999999</v>
          </cell>
          <cell r="BN77">
            <v>57770.286447999999</v>
          </cell>
          <cell r="BO77">
            <v>-25209.392876000027</v>
          </cell>
          <cell r="BP77">
            <v>-24867.471242999891</v>
          </cell>
          <cell r="BQ77">
            <v>-23559.285040000104</v>
          </cell>
          <cell r="BR77">
            <v>16690.929529999848</v>
          </cell>
          <cell r="BS77">
            <v>26077.816158000031</v>
          </cell>
          <cell r="BT77">
            <v>63814.285901000025</v>
          </cell>
          <cell r="BU77">
            <v>100427.70339899999</v>
          </cell>
          <cell r="BV77">
            <v>129539.9579230001</v>
          </cell>
          <cell r="BW77">
            <v>131323.2199860001</v>
          </cell>
          <cell r="BX77">
            <v>140028.65276800003</v>
          </cell>
          <cell r="BY77">
            <v>158650.03078400006</v>
          </cell>
          <cell r="BZ77">
            <v>175990.49395200005</v>
          </cell>
          <cell r="CB77">
            <v>25069.886766000069</v>
          </cell>
          <cell r="CC77">
            <v>40348.010591999977</v>
          </cell>
          <cell r="CD77">
            <v>53948.971489656251</v>
          </cell>
          <cell r="CE77">
            <v>63222.290612912853</v>
          </cell>
          <cell r="CF77">
            <v>77944.477543097339</v>
          </cell>
          <cell r="CG77">
            <v>83240.300024578813</v>
          </cell>
          <cell r="CH77">
            <v>80037.882445219439</v>
          </cell>
          <cell r="CI77">
            <v>86056.231954175513</v>
          </cell>
          <cell r="CJ77">
            <v>110955.64342931658</v>
          </cell>
          <cell r="CK77">
            <v>87342.104494695319</v>
          </cell>
          <cell r="CL77">
            <v>144330.68621913949</v>
          </cell>
          <cell r="CM77">
            <v>169418.79818006116</v>
          </cell>
        </row>
        <row r="79">
          <cell r="A79">
            <v>36789.681368518519</v>
          </cell>
        </row>
        <row r="80">
          <cell r="A80" t="str">
            <v>(*) Cifras preliminares</v>
          </cell>
        </row>
        <row r="86">
          <cell r="A86" t="str">
            <v>BANCO CENTRAL DE COSTA RICA</v>
          </cell>
        </row>
        <row r="87">
          <cell r="A87" t="str">
            <v>Cuenta de Otros de los Activos Internos Netos</v>
          </cell>
        </row>
        <row r="90">
          <cell r="A90" t="str">
            <v>OTROS</v>
          </cell>
          <cell r="C90">
            <v>-35581.802450000032</v>
          </cell>
          <cell r="D90">
            <v>-20909.604780000038</v>
          </cell>
          <cell r="E90">
            <v>-13890.466110000008</v>
          </cell>
          <cell r="F90">
            <v>15561.573866000021</v>
          </cell>
          <cell r="G90">
            <v>27283.824953999996</v>
          </cell>
          <cell r="H90">
            <v>-133245.46887799999</v>
          </cell>
          <cell r="I90">
            <v>-128742.26699</v>
          </cell>
          <cell r="J90">
            <v>-125544.42701600002</v>
          </cell>
          <cell r="K90">
            <v>-126613.93</v>
          </cell>
          <cell r="L90">
            <v>-125420.38371999998</v>
          </cell>
          <cell r="M90">
            <v>-123595.49371999998</v>
          </cell>
          <cell r="N90">
            <v>-118455.1955</v>
          </cell>
          <cell r="O90">
            <v>-118219.11814999999</v>
          </cell>
          <cell r="P90">
            <v>-119007.47356</v>
          </cell>
          <cell r="Q90">
            <v>-118720.98566000001</v>
          </cell>
          <cell r="R90">
            <v>-131388.54963000002</v>
          </cell>
          <cell r="S90">
            <v>-127935.83931999994</v>
          </cell>
          <cell r="T90">
            <v>-128532.43454000003</v>
          </cell>
          <cell r="U90">
            <v>-135349.01873999997</v>
          </cell>
          <cell r="V90">
            <v>-129717.53303999998</v>
          </cell>
          <cell r="W90">
            <v>-128588.63941999998</v>
          </cell>
          <cell r="X90">
            <v>-129692.46973999996</v>
          </cell>
          <cell r="Y90">
            <v>-134549.04151200727</v>
          </cell>
          <cell r="Z90">
            <v>-129706.65799762748</v>
          </cell>
          <cell r="AA90">
            <v>-130139.54422324052</v>
          </cell>
          <cell r="AB90">
            <v>-129489.64631435188</v>
          </cell>
          <cell r="AC90">
            <v>-127359.35909628871</v>
          </cell>
          <cell r="AD90">
            <v>-128204.10417143969</v>
          </cell>
          <cell r="AE90">
            <v>-127505.81796115192</v>
          </cell>
          <cell r="AF90">
            <v>-133784.83783961713</v>
          </cell>
          <cell r="AG90">
            <v>-132979.9139701082</v>
          </cell>
          <cell r="AH90">
            <v>-144276.86167486833</v>
          </cell>
          <cell r="AI90">
            <v>-139010.7985335947</v>
          </cell>
          <cell r="AJ90">
            <v>-151077.25266141613</v>
          </cell>
          <cell r="AK90">
            <v>-166984.4636241915</v>
          </cell>
          <cell r="AL90">
            <v>-175285.44511645299</v>
          </cell>
          <cell r="AM90">
            <v>-180801.09340019495</v>
          </cell>
          <cell r="AN90">
            <v>-187282.20312077133</v>
          </cell>
          <cell r="AO90">
            <v>-188307.98308621137</v>
          </cell>
          <cell r="AP90">
            <v>-190101.48944049131</v>
          </cell>
          <cell r="AQ90">
            <v>-189673.64932151366</v>
          </cell>
          <cell r="AR90">
            <v>-189657.97008423816</v>
          </cell>
          <cell r="AS90">
            <v>-191468.80201144409</v>
          </cell>
          <cell r="AT90">
            <v>-211763.07062545122</v>
          </cell>
          <cell r="AU90">
            <v>-209853.42200531403</v>
          </cell>
          <cell r="AV90">
            <v>-208963.18784458432</v>
          </cell>
          <cell r="AW90">
            <v>-211196.92160002474</v>
          </cell>
          <cell r="AX90">
            <v>-230579.24694983879</v>
          </cell>
          <cell r="AY90">
            <v>-230263.7718400665</v>
          </cell>
          <cell r="AZ90">
            <v>-235579.00586763085</v>
          </cell>
          <cell r="BA90">
            <v>-233968.41176831009</v>
          </cell>
          <cell r="BB90">
            <v>-231013.81479903127</v>
          </cell>
          <cell r="BC90">
            <v>-240155.11463301253</v>
          </cell>
          <cell r="BD90">
            <v>-241058.70215220598</v>
          </cell>
          <cell r="BE90">
            <v>-241027.28137909996</v>
          </cell>
          <cell r="BF90">
            <v>-256033.44960756961</v>
          </cell>
          <cell r="BG90">
            <v>-260485.02459630085</v>
          </cell>
          <cell r="BH90">
            <v>-259301.6665585665</v>
          </cell>
          <cell r="BJ90">
            <v>14672.197670000001</v>
          </cell>
          <cell r="BK90">
            <v>29452.039976000025</v>
          </cell>
          <cell r="BL90">
            <v>-160529.293832</v>
          </cell>
          <cell r="BN90">
            <v>-160529.293832</v>
          </cell>
          <cell r="BO90">
            <v>3197.8399739999845</v>
          </cell>
          <cell r="BP90">
            <v>2128.3369900000034</v>
          </cell>
          <cell r="BQ90">
            <v>3321.8832700000235</v>
          </cell>
          <cell r="BR90">
            <v>5146.7732700000188</v>
          </cell>
          <cell r="BS90">
            <v>10287.071489999989</v>
          </cell>
          <cell r="BT90">
            <v>10523.148839999994</v>
          </cell>
          <cell r="BU90">
            <v>9734.7934299999979</v>
          </cell>
          <cell r="BV90">
            <v>10021.281329999987</v>
          </cell>
          <cell r="BW90">
            <v>-2646.2826400000272</v>
          </cell>
          <cell r="BX90">
            <v>806.42767000005142</v>
          </cell>
          <cell r="BY90">
            <v>209.8324499999685</v>
          </cell>
          <cell r="BZ90">
            <v>-6606.7517499999922</v>
          </cell>
          <cell r="CB90">
            <v>1128.8936200000026</v>
          </cell>
          <cell r="CC90">
            <v>25.063300000023446</v>
          </cell>
          <cell r="CD90">
            <v>-4831.50847200729</v>
          </cell>
          <cell r="CE90">
            <v>10.87504237250505</v>
          </cell>
          <cell r="CF90">
            <v>-422.01118324053641</v>
          </cell>
          <cell r="CG90">
            <v>227.8867256481044</v>
          </cell>
          <cell r="CH90">
            <v>2358.1739437112628</v>
          </cell>
          <cell r="CI90">
            <v>1513.4288685603005</v>
          </cell>
          <cell r="CJ90">
            <v>2211.7150788480631</v>
          </cell>
          <cell r="CK90">
            <v>-4067.3047996171608</v>
          </cell>
          <cell r="CL90">
            <v>-3262.3809301082165</v>
          </cell>
          <cell r="CM90">
            <v>-14559.328634868343</v>
          </cell>
        </row>
        <row r="92">
          <cell r="A92" t="str">
            <v xml:space="preserve">   Ajuste del crédito al Gob por renegociación de la deuda</v>
          </cell>
          <cell r="C92">
            <v>38614.921260000003</v>
          </cell>
          <cell r="D92">
            <v>40666.045389999999</v>
          </cell>
          <cell r="E92">
            <v>46545.005800000006</v>
          </cell>
          <cell r="F92">
            <v>49605.20180000001</v>
          </cell>
          <cell r="G92">
            <v>57308.078520000003</v>
          </cell>
          <cell r="H92">
            <v>14381.70192</v>
          </cell>
          <cell r="I92">
            <v>16062.752000000002</v>
          </cell>
          <cell r="J92">
            <v>15836.551999999998</v>
          </cell>
          <cell r="K92">
            <v>15829.127999999999</v>
          </cell>
          <cell r="L92">
            <v>15810.568000000001</v>
          </cell>
          <cell r="M92">
            <v>15772.056000000002</v>
          </cell>
          <cell r="N92">
            <v>16090.127999999999</v>
          </cell>
          <cell r="O92">
            <v>15864.392000000002</v>
          </cell>
          <cell r="P92">
            <v>15665.335999999998</v>
          </cell>
          <cell r="Q92">
            <v>15841.192000000001</v>
          </cell>
          <cell r="R92">
            <v>16020.528</v>
          </cell>
          <cell r="S92">
            <v>16133.744000000001</v>
          </cell>
          <cell r="T92">
            <v>16141.168</v>
          </cell>
          <cell r="U92">
            <v>16161.12</v>
          </cell>
          <cell r="V92">
            <v>17912.372399999997</v>
          </cell>
          <cell r="W92">
            <v>17902.858219999998</v>
          </cell>
          <cell r="X92">
            <v>17964.571819999997</v>
          </cell>
          <cell r="Y92">
            <v>18013.6984632852</v>
          </cell>
          <cell r="Z92">
            <v>18180.1493715244</v>
          </cell>
          <cell r="AA92">
            <v>18316.1547931934</v>
          </cell>
          <cell r="AB92">
            <v>18353.152492388999</v>
          </cell>
          <cell r="AC92">
            <v>18497.535252403999</v>
          </cell>
          <cell r="AD92">
            <v>18470.925903781001</v>
          </cell>
          <cell r="AE92">
            <v>18941.007253453998</v>
          </cell>
          <cell r="AF92">
            <v>19131.010108001999</v>
          </cell>
          <cell r="AG92">
            <v>18987.294634001202</v>
          </cell>
          <cell r="AH92">
            <v>19168.285639253401</v>
          </cell>
          <cell r="AI92">
            <v>21021.453489420004</v>
          </cell>
          <cell r="AJ92">
            <v>21008.412876000002</v>
          </cell>
          <cell r="AK92">
            <v>20833.46400426</v>
          </cell>
          <cell r="AL92">
            <v>20738.050931400001</v>
          </cell>
          <cell r="AM92">
            <v>20782.092285767023</v>
          </cell>
          <cell r="AN92">
            <v>20754.914913297711</v>
          </cell>
          <cell r="AO92">
            <v>20800.664869079999</v>
          </cell>
          <cell r="AP92">
            <v>20996.184046175225</v>
          </cell>
          <cell r="AQ92">
            <v>20317.191213706799</v>
          </cell>
          <cell r="AR92">
            <v>20331.906771774524</v>
          </cell>
          <cell r="AS92">
            <v>20407.738540416947</v>
          </cell>
          <cell r="AT92">
            <v>-2946.6179999999999</v>
          </cell>
          <cell r="AU92">
            <v>-2946.6179999999999</v>
          </cell>
          <cell r="AV92">
            <v>-3219.3369000000002</v>
          </cell>
          <cell r="AW92">
            <v>-3219.3369000000002</v>
          </cell>
          <cell r="AX92">
            <v>-3219.3369000000002</v>
          </cell>
          <cell r="AY92">
            <v>-3219.3369000000002</v>
          </cell>
          <cell r="AZ92">
            <v>-3219.3369000000002</v>
          </cell>
          <cell r="BA92">
            <v>-3219.3369000000002</v>
          </cell>
          <cell r="BB92">
            <v>-3219.3369000000002</v>
          </cell>
          <cell r="BC92">
            <v>-3219.3369000000002</v>
          </cell>
          <cell r="BD92">
            <v>-3219.3369000000002</v>
          </cell>
          <cell r="BE92">
            <v>-3219.3369000000002</v>
          </cell>
          <cell r="BF92">
            <v>-3219.3369000000002</v>
          </cell>
          <cell r="BG92">
            <v>-3219.3369000000002</v>
          </cell>
          <cell r="BH92">
            <v>-3219.3369000000002</v>
          </cell>
          <cell r="BJ92">
            <v>2051.1241299999965</v>
          </cell>
          <cell r="BK92">
            <v>3060.1960000000036</v>
          </cell>
          <cell r="BL92">
            <v>-42926.376600000003</v>
          </cell>
          <cell r="BN92">
            <v>-42926.376600000003</v>
          </cell>
          <cell r="BO92">
            <v>-226.20000000000437</v>
          </cell>
          <cell r="BP92">
            <v>-233.62400000000343</v>
          </cell>
          <cell r="BQ92">
            <v>-252.18400000000111</v>
          </cell>
          <cell r="BR92">
            <v>-290.69599999999991</v>
          </cell>
          <cell r="BS92">
            <v>27.375999999996566</v>
          </cell>
          <cell r="BT92">
            <v>-198.36000000000058</v>
          </cell>
          <cell r="BU92">
            <v>-397.41600000000471</v>
          </cell>
          <cell r="BV92">
            <v>-221.56000000000131</v>
          </cell>
          <cell r="BW92">
            <v>-42.224000000001979</v>
          </cell>
          <cell r="BX92">
            <v>70.99199999999837</v>
          </cell>
          <cell r="BY92">
            <v>78.415999999997439</v>
          </cell>
          <cell r="BZ92">
            <v>98.367999999998574</v>
          </cell>
          <cell r="CB92">
            <v>-9.514179999998305</v>
          </cell>
          <cell r="CC92">
            <v>52.199420000000828</v>
          </cell>
          <cell r="CD92">
            <v>101.32606328520342</v>
          </cell>
          <cell r="CE92">
            <v>267.77697152440305</v>
          </cell>
          <cell r="CF92">
            <v>403.78239319340355</v>
          </cell>
          <cell r="CG92">
            <v>440.78009238900268</v>
          </cell>
          <cell r="CH92">
            <v>585.16285240400248</v>
          </cell>
          <cell r="CI92">
            <v>558.55350378100411</v>
          </cell>
          <cell r="CJ92">
            <v>1028.6348534540011</v>
          </cell>
          <cell r="CK92">
            <v>1218.6377080020029</v>
          </cell>
          <cell r="CL92">
            <v>1074.9222340012057</v>
          </cell>
          <cell r="CM92">
            <v>1255.9132392534048</v>
          </cell>
        </row>
        <row r="93">
          <cell r="A93" t="str">
            <v xml:space="preserve">   Depósitos de los Bancos en M/E</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J93">
            <v>0</v>
          </cell>
          <cell r="BK93">
            <v>0</v>
          </cell>
          <cell r="BL93">
            <v>0</v>
          </cell>
          <cell r="BN93">
            <v>0</v>
          </cell>
          <cell r="BO93">
            <v>0</v>
          </cell>
          <cell r="BP93">
            <v>0</v>
          </cell>
          <cell r="BQ93">
            <v>0</v>
          </cell>
          <cell r="BR93">
            <v>0</v>
          </cell>
          <cell r="BS93">
            <v>0</v>
          </cell>
          <cell r="BT93">
            <v>0</v>
          </cell>
          <cell r="BU93">
            <v>0</v>
          </cell>
          <cell r="BV93">
            <v>0</v>
          </cell>
          <cell r="BW93">
            <v>0</v>
          </cell>
          <cell r="BX93">
            <v>0</v>
          </cell>
          <cell r="BY93">
            <v>0</v>
          </cell>
          <cell r="BZ93">
            <v>0</v>
          </cell>
          <cell r="CB93">
            <v>0</v>
          </cell>
          <cell r="CC93">
            <v>0</v>
          </cell>
          <cell r="CD93">
            <v>0</v>
          </cell>
          <cell r="CE93">
            <v>0</v>
          </cell>
          <cell r="CF93">
            <v>0</v>
          </cell>
          <cell r="CG93">
            <v>0</v>
          </cell>
          <cell r="CH93">
            <v>0</v>
          </cell>
          <cell r="CI93">
            <v>0</v>
          </cell>
          <cell r="CJ93">
            <v>0</v>
          </cell>
          <cell r="CK93">
            <v>0</v>
          </cell>
          <cell r="CL93">
            <v>0</v>
          </cell>
          <cell r="CM93">
            <v>0</v>
          </cell>
        </row>
        <row r="94">
          <cell r="A94" t="str">
            <v xml:space="preserve">   Crédito neto al SPNF</v>
          </cell>
          <cell r="C94">
            <v>3042.5371599999999</v>
          </cell>
          <cell r="D94">
            <v>2512.0489500000003</v>
          </cell>
          <cell r="E94">
            <v>2813.07</v>
          </cell>
          <cell r="F94">
            <v>2298.7254000000003</v>
          </cell>
          <cell r="G94">
            <v>2584.4307600000002</v>
          </cell>
          <cell r="H94">
            <v>2400.6010000000001</v>
          </cell>
          <cell r="I94">
            <v>2647.65</v>
          </cell>
          <cell r="J94">
            <v>2708.9769999999999</v>
          </cell>
          <cell r="K94">
            <v>2674.1039999999998</v>
          </cell>
          <cell r="L94">
            <v>2523.1180000000004</v>
          </cell>
          <cell r="M94">
            <v>2430.0369999999998</v>
          </cell>
          <cell r="N94">
            <v>2408.1139999999996</v>
          </cell>
          <cell r="O94">
            <v>2288.6119999999996</v>
          </cell>
          <cell r="P94">
            <v>2169.0380000000005</v>
          </cell>
          <cell r="Q94">
            <v>2089.8700000000026</v>
          </cell>
          <cell r="R94">
            <v>2129.760000000002</v>
          </cell>
          <cell r="S94">
            <v>1888.2610000000022</v>
          </cell>
          <cell r="T94">
            <v>1996.8650000000016</v>
          </cell>
          <cell r="U94">
            <v>-1655.6900000000023</v>
          </cell>
          <cell r="V94">
            <v>-1399.287140000004</v>
          </cell>
          <cell r="W94">
            <v>-1673.3275000000031</v>
          </cell>
          <cell r="X94">
            <v>-2880.8495000000003</v>
          </cell>
          <cell r="Y94">
            <v>-10987.931621866002</v>
          </cell>
          <cell r="Z94">
            <v>-6762.7246898911981</v>
          </cell>
          <cell r="AA94">
            <v>-8057.819788294204</v>
          </cell>
          <cell r="AB94">
            <v>-7341.8214278258019</v>
          </cell>
          <cell r="AC94">
            <v>-8888.4956035639989</v>
          </cell>
          <cell r="AD94">
            <v>-9294.5316610555965</v>
          </cell>
          <cell r="AE94">
            <v>-10181.834274043606</v>
          </cell>
          <cell r="AF94">
            <v>-11106.873242449605</v>
          </cell>
          <cell r="AG94">
            <v>-11340.073785102599</v>
          </cell>
          <cell r="AH94">
            <v>-12209.072080167396</v>
          </cell>
          <cell r="AI94">
            <v>-12048.304123549999</v>
          </cell>
          <cell r="AJ94">
            <v>-13508.321889470004</v>
          </cell>
          <cell r="AK94">
            <v>-13524.945030889998</v>
          </cell>
          <cell r="AL94">
            <v>-13244.374693140009</v>
          </cell>
          <cell r="AM94">
            <v>-13796.851956519997</v>
          </cell>
          <cell r="AN94">
            <v>-16505.105843090001</v>
          </cell>
          <cell r="AO94">
            <v>-15783.742339119999</v>
          </cell>
          <cell r="AP94">
            <v>-16465.389719340004</v>
          </cell>
          <cell r="AQ94">
            <v>-17831.025082250009</v>
          </cell>
          <cell r="AR94">
            <v>-15744.111210410003</v>
          </cell>
          <cell r="AS94">
            <v>-13954.812415209992</v>
          </cell>
          <cell r="AT94">
            <v>-16741.796772179994</v>
          </cell>
          <cell r="AU94">
            <v>-14165.053078420002</v>
          </cell>
          <cell r="AV94">
            <v>-14055.493750741007</v>
          </cell>
          <cell r="AW94">
            <v>-16432.105459397004</v>
          </cell>
          <cell r="AX94">
            <v>-19982.642386703985</v>
          </cell>
          <cell r="AY94">
            <v>-17225.935704463001</v>
          </cell>
          <cell r="AZ94">
            <v>-16393.952980232993</v>
          </cell>
          <cell r="BA94">
            <v>-15835.825946953002</v>
          </cell>
          <cell r="BB94">
            <v>-13473.899333301</v>
          </cell>
          <cell r="BC94">
            <v>-16351.409649183988</v>
          </cell>
          <cell r="BD94">
            <v>-18314.190084713002</v>
          </cell>
          <cell r="BE94">
            <v>-17718.508057400002</v>
          </cell>
          <cell r="BF94">
            <v>-18529.10210888552</v>
          </cell>
          <cell r="BG94">
            <v>-18629.855067956581</v>
          </cell>
          <cell r="BH94">
            <v>-18916.280052045506</v>
          </cell>
          <cell r="BJ94">
            <v>-530.48820999999953</v>
          </cell>
          <cell r="BK94">
            <v>-514.3445999999999</v>
          </cell>
          <cell r="BL94">
            <v>-183.82976000000008</v>
          </cell>
          <cell r="BN94">
            <v>-183.82976000000008</v>
          </cell>
          <cell r="BO94">
            <v>61.326999999999771</v>
          </cell>
          <cell r="BP94">
            <v>26.453999999999724</v>
          </cell>
          <cell r="BQ94">
            <v>-124.5319999999997</v>
          </cell>
          <cell r="BR94">
            <v>-217.61300000000028</v>
          </cell>
          <cell r="BS94">
            <v>-239.53600000000051</v>
          </cell>
          <cell r="BT94">
            <v>-359.03800000000047</v>
          </cell>
          <cell r="BU94">
            <v>-478.61199999999963</v>
          </cell>
          <cell r="BV94">
            <v>-557.77999999999747</v>
          </cell>
          <cell r="BW94">
            <v>-517.88999999999805</v>
          </cell>
          <cell r="BX94">
            <v>-759.38899999999785</v>
          </cell>
          <cell r="BY94">
            <v>-650.78499999999849</v>
          </cell>
          <cell r="BZ94">
            <v>-4303.340000000002</v>
          </cell>
          <cell r="CB94">
            <v>-274.04035999999905</v>
          </cell>
          <cell r="CC94">
            <v>-1481.5623599999963</v>
          </cell>
          <cell r="CD94">
            <v>-9588.6444818659984</v>
          </cell>
          <cell r="CE94">
            <v>-5363.4375498911941</v>
          </cell>
          <cell r="CF94">
            <v>-6658.5326482942</v>
          </cell>
          <cell r="CG94">
            <v>-5942.5342878257979</v>
          </cell>
          <cell r="CH94">
            <v>-7489.2084635639949</v>
          </cell>
          <cell r="CI94">
            <v>-7895.2445210555925</v>
          </cell>
          <cell r="CJ94">
            <v>-8782.5471340436015</v>
          </cell>
          <cell r="CK94">
            <v>-9707.5861024496007</v>
          </cell>
          <cell r="CL94">
            <v>-9940.7866451025948</v>
          </cell>
          <cell r="CM94">
            <v>-10809.784940167392</v>
          </cell>
        </row>
        <row r="95">
          <cell r="A95" t="str">
            <v xml:space="preserve">   Crédito a la Junta Liquidadora</v>
          </cell>
          <cell r="C95">
            <v>0</v>
          </cell>
          <cell r="D95">
            <v>0</v>
          </cell>
          <cell r="E95">
            <v>0</v>
          </cell>
          <cell r="F95">
            <v>23636.029256000002</v>
          </cell>
          <cell r="G95">
            <v>25196.165352</v>
          </cell>
          <cell r="H95">
            <v>13005.9</v>
          </cell>
          <cell r="I95">
            <v>13005.9</v>
          </cell>
          <cell r="J95">
            <v>13005.9</v>
          </cell>
          <cell r="K95">
            <v>13005.9</v>
          </cell>
          <cell r="L95">
            <v>13005.9</v>
          </cell>
          <cell r="M95">
            <v>13005.9</v>
          </cell>
          <cell r="N95">
            <v>13005.9</v>
          </cell>
          <cell r="O95">
            <v>13005.9</v>
          </cell>
          <cell r="P95">
            <v>13005.9</v>
          </cell>
          <cell r="Q95">
            <v>13005.9</v>
          </cell>
          <cell r="R95">
            <v>13005.9</v>
          </cell>
          <cell r="S95">
            <v>13005.9</v>
          </cell>
          <cell r="T95">
            <v>13005.899999999998</v>
          </cell>
          <cell r="U95">
            <v>12181</v>
          </cell>
          <cell r="V95">
            <v>12181</v>
          </cell>
          <cell r="W95">
            <v>12181</v>
          </cell>
          <cell r="X95">
            <v>12181</v>
          </cell>
          <cell r="Y95">
            <v>12181</v>
          </cell>
          <cell r="Z95">
            <v>12181</v>
          </cell>
          <cell r="AA95">
            <v>12181</v>
          </cell>
          <cell r="AB95">
            <v>12181</v>
          </cell>
          <cell r="AC95">
            <v>12181</v>
          </cell>
          <cell r="AD95">
            <v>12181</v>
          </cell>
          <cell r="AE95">
            <v>12181</v>
          </cell>
          <cell r="AF95">
            <v>12181</v>
          </cell>
          <cell r="AG95">
            <v>12181</v>
          </cell>
          <cell r="AH95">
            <v>12181</v>
          </cell>
          <cell r="AI95">
            <v>12181</v>
          </cell>
          <cell r="AJ95">
            <v>12181</v>
          </cell>
          <cell r="AK95">
            <v>12181</v>
          </cell>
          <cell r="AL95">
            <v>12181</v>
          </cell>
          <cell r="AM95">
            <v>12181</v>
          </cell>
          <cell r="AN95">
            <v>12181</v>
          </cell>
          <cell r="AO95">
            <v>12181</v>
          </cell>
          <cell r="AP95">
            <v>12181</v>
          </cell>
          <cell r="AQ95">
            <v>12181</v>
          </cell>
          <cell r="AR95">
            <v>12181</v>
          </cell>
          <cell r="AS95">
            <v>12181</v>
          </cell>
          <cell r="AT95">
            <v>12181</v>
          </cell>
          <cell r="AU95">
            <v>12181</v>
          </cell>
          <cell r="AV95">
            <v>12181</v>
          </cell>
          <cell r="AW95">
            <v>12181</v>
          </cell>
          <cell r="AX95">
            <v>12181</v>
          </cell>
          <cell r="AY95">
            <v>12181</v>
          </cell>
          <cell r="AZ95">
            <v>12181</v>
          </cell>
          <cell r="BA95">
            <v>12181</v>
          </cell>
          <cell r="BB95">
            <v>12181</v>
          </cell>
          <cell r="BC95">
            <v>12181</v>
          </cell>
          <cell r="BD95">
            <v>12181</v>
          </cell>
          <cell r="BE95">
            <v>12181</v>
          </cell>
          <cell r="BF95">
            <v>12181</v>
          </cell>
          <cell r="BG95">
            <v>12181</v>
          </cell>
          <cell r="BH95">
            <v>12181</v>
          </cell>
          <cell r="BJ95">
            <v>0</v>
          </cell>
          <cell r="BK95">
            <v>23636.029256000002</v>
          </cell>
          <cell r="BL95">
            <v>-12190.265352</v>
          </cell>
          <cell r="BN95">
            <v>-12190.265352</v>
          </cell>
          <cell r="BO95">
            <v>0</v>
          </cell>
          <cell r="BP95">
            <v>0</v>
          </cell>
          <cell r="BQ95">
            <v>0</v>
          </cell>
          <cell r="BR95">
            <v>0</v>
          </cell>
          <cell r="BS95">
            <v>0</v>
          </cell>
          <cell r="BT95">
            <v>0</v>
          </cell>
          <cell r="BU95">
            <v>0</v>
          </cell>
          <cell r="BV95">
            <v>0</v>
          </cell>
          <cell r="BW95">
            <v>0</v>
          </cell>
          <cell r="BX95">
            <v>0</v>
          </cell>
          <cell r="BY95">
            <v>0</v>
          </cell>
          <cell r="BZ95">
            <v>-824.89999999999964</v>
          </cell>
          <cell r="CB95">
            <v>0</v>
          </cell>
          <cell r="CC95">
            <v>0</v>
          </cell>
          <cell r="CD95">
            <v>0</v>
          </cell>
          <cell r="CE95">
            <v>0</v>
          </cell>
          <cell r="CF95">
            <v>0</v>
          </cell>
          <cell r="CG95">
            <v>0</v>
          </cell>
          <cell r="CH95">
            <v>0</v>
          </cell>
          <cell r="CI95">
            <v>0</v>
          </cell>
          <cell r="CJ95">
            <v>0</v>
          </cell>
          <cell r="CK95">
            <v>0</v>
          </cell>
          <cell r="CL95">
            <v>0</v>
          </cell>
          <cell r="CM95">
            <v>0</v>
          </cell>
        </row>
        <row r="96">
          <cell r="A96" t="str">
            <v xml:space="preserve">   Dep. originados en rec. organ. internacionales</v>
          </cell>
          <cell r="C96">
            <v>-18547.311399999999</v>
          </cell>
          <cell r="D96">
            <v>-17252.971000000001</v>
          </cell>
          <cell r="E96">
            <v>-17252.971000000001</v>
          </cell>
          <cell r="F96">
            <v>-17252.971000000001</v>
          </cell>
          <cell r="G96">
            <v>-17252.971000000001</v>
          </cell>
          <cell r="H96">
            <v>-14025.230999999987</v>
          </cell>
          <cell r="I96">
            <v>-14025.230999999987</v>
          </cell>
          <cell r="J96">
            <v>-14015.902999999998</v>
          </cell>
          <cell r="K96">
            <v>-14003.494999999999</v>
          </cell>
          <cell r="L96">
            <v>-13995.465999999999</v>
          </cell>
          <cell r="M96">
            <v>-13987.435999999998</v>
          </cell>
          <cell r="N96">
            <v>-13971.370999999999</v>
          </cell>
          <cell r="O96">
            <v>-13963.824999999999</v>
          </cell>
          <cell r="P96">
            <v>-13927.458999999999</v>
          </cell>
          <cell r="Q96">
            <v>-13920.117999999999</v>
          </cell>
          <cell r="R96">
            <v>-13920.117999999999</v>
          </cell>
          <cell r="S96">
            <v>-13899.200999999997</v>
          </cell>
          <cell r="T96">
            <v>-13899.200999999997</v>
          </cell>
          <cell r="U96">
            <v>-13886.355999999998</v>
          </cell>
          <cell r="V96">
            <v>-13886.355999999998</v>
          </cell>
          <cell r="W96">
            <v>-13886.355999999998</v>
          </cell>
          <cell r="X96">
            <v>-13879.625999999998</v>
          </cell>
          <cell r="Y96">
            <v>-13840.477388439998</v>
          </cell>
          <cell r="Z96">
            <v>-13840.477388439998</v>
          </cell>
          <cell r="AA96">
            <v>-13840.477388439998</v>
          </cell>
          <cell r="AB96">
            <v>-13829.52659514</v>
          </cell>
          <cell r="AC96">
            <v>-13824.051198489999</v>
          </cell>
          <cell r="AD96">
            <v>-13813.100405189998</v>
          </cell>
          <cell r="AE96">
            <v>-13813.100405189998</v>
          </cell>
          <cell r="AF96">
            <v>-13787.72030854</v>
          </cell>
          <cell r="AG96">
            <v>-13787.72030854</v>
          </cell>
          <cell r="AH96">
            <v>-13771.29411859</v>
          </cell>
          <cell r="AI96">
            <v>-13771.29411859</v>
          </cell>
          <cell r="AJ96">
            <v>-13771.29411859</v>
          </cell>
          <cell r="AK96">
            <v>-13766.00927749</v>
          </cell>
          <cell r="AL96">
            <v>-13760.724436389999</v>
          </cell>
          <cell r="AM96">
            <v>-13782.03599919</v>
          </cell>
          <cell r="AN96">
            <v>-13782.03599919</v>
          </cell>
          <cell r="AO96">
            <v>-13767.340820039999</v>
          </cell>
          <cell r="AP96">
            <v>-13767.340820039999</v>
          </cell>
          <cell r="AQ96">
            <v>-13767.340820039999</v>
          </cell>
          <cell r="AR96">
            <v>-13767.340820039999</v>
          </cell>
          <cell r="AS96">
            <v>-13767.340820039999</v>
          </cell>
          <cell r="AT96">
            <v>-13767.340820039999</v>
          </cell>
          <cell r="AU96">
            <v>-13768.712475599999</v>
          </cell>
          <cell r="AV96">
            <v>-13768.712475599999</v>
          </cell>
          <cell r="AW96">
            <v>-13767.340820039999</v>
          </cell>
          <cell r="AX96">
            <v>-13767.340820039999</v>
          </cell>
          <cell r="AY96">
            <v>-13767.340820039999</v>
          </cell>
          <cell r="AZ96">
            <v>-13767.340820039999</v>
          </cell>
          <cell r="BA96">
            <v>-13767.340820039999</v>
          </cell>
          <cell r="BB96">
            <v>-13767.340820039999</v>
          </cell>
          <cell r="BC96">
            <v>-13767.340820039999</v>
          </cell>
          <cell r="BD96">
            <v>-13767.340820039999</v>
          </cell>
          <cell r="BE96">
            <v>-13767.340819999999</v>
          </cell>
          <cell r="BF96">
            <v>-13767.340819999999</v>
          </cell>
          <cell r="BG96">
            <v>-13767.340819999999</v>
          </cell>
          <cell r="BH96">
            <v>-13768.712475599999</v>
          </cell>
          <cell r="BJ96">
            <v>1294.3403999999973</v>
          </cell>
          <cell r="BK96">
            <v>0</v>
          </cell>
          <cell r="BL96">
            <v>3227.7400000000143</v>
          </cell>
          <cell r="BN96">
            <v>3227.7400000000143</v>
          </cell>
          <cell r="BO96">
            <v>9.3279999999886059</v>
          </cell>
          <cell r="BP96">
            <v>21.735999999988053</v>
          </cell>
          <cell r="BQ96">
            <v>29.764999999988504</v>
          </cell>
          <cell r="BR96">
            <v>37.794999999989159</v>
          </cell>
          <cell r="BS96">
            <v>53.859999999987849</v>
          </cell>
          <cell r="BT96">
            <v>61.405999999988126</v>
          </cell>
          <cell r="BU96">
            <v>97.771999999988111</v>
          </cell>
          <cell r="BV96">
            <v>105.11299999998846</v>
          </cell>
          <cell r="BW96">
            <v>105.11299999998846</v>
          </cell>
          <cell r="BX96">
            <v>126.02999999998974</v>
          </cell>
          <cell r="BY96">
            <v>126.02999999998974</v>
          </cell>
          <cell r="BZ96">
            <v>138.87499999998909</v>
          </cell>
          <cell r="CB96">
            <v>0</v>
          </cell>
          <cell r="CC96">
            <v>6.7299999999995634</v>
          </cell>
          <cell r="CD96">
            <v>45.878611559999626</v>
          </cell>
          <cell r="CE96">
            <v>45.878611559999626</v>
          </cell>
          <cell r="CF96">
            <v>45.878611559999626</v>
          </cell>
          <cell r="CG96">
            <v>56.829404859998249</v>
          </cell>
          <cell r="CH96">
            <v>62.304801509999379</v>
          </cell>
          <cell r="CI96">
            <v>73.25559480999982</v>
          </cell>
          <cell r="CJ96">
            <v>73.25559480999982</v>
          </cell>
          <cell r="CK96">
            <v>98.63569145999827</v>
          </cell>
          <cell r="CL96">
            <v>98.63569145999827</v>
          </cell>
          <cell r="CM96">
            <v>115.06188140999802</v>
          </cell>
        </row>
        <row r="97">
          <cell r="A97" t="str">
            <v xml:space="preserve">   Activos  no clasificados</v>
          </cell>
          <cell r="C97">
            <v>51321.032779999994</v>
          </cell>
          <cell r="D97">
            <v>61767.929300000003</v>
          </cell>
          <cell r="E97">
            <v>67741.522280000005</v>
          </cell>
          <cell r="F97">
            <v>66359.831880000012</v>
          </cell>
          <cell r="G97">
            <v>74171.41791199999</v>
          </cell>
          <cell r="H97">
            <v>79493.914822000006</v>
          </cell>
          <cell r="I97">
            <v>86861.234069999991</v>
          </cell>
          <cell r="J97">
            <v>86716.46558399999</v>
          </cell>
          <cell r="K97">
            <v>86854.686440000005</v>
          </cell>
          <cell r="L97">
            <v>89310.68982</v>
          </cell>
          <cell r="M97">
            <v>89302.133879999994</v>
          </cell>
          <cell r="N97">
            <v>89810.572879999992</v>
          </cell>
          <cell r="O97">
            <v>89510.016900000002</v>
          </cell>
          <cell r="P97">
            <v>88830.171820000003</v>
          </cell>
          <cell r="Q97">
            <v>88830.575849999994</v>
          </cell>
          <cell r="R97">
            <v>89845.232859999989</v>
          </cell>
          <cell r="S97">
            <v>90522.035300000003</v>
          </cell>
          <cell r="T97">
            <v>90556.33898</v>
          </cell>
          <cell r="U97">
            <v>93250.128859999997</v>
          </cell>
          <cell r="V97">
            <v>101245.57904000001</v>
          </cell>
          <cell r="W97">
            <v>102858.84022000001</v>
          </cell>
          <cell r="X97">
            <v>103475.09643999999</v>
          </cell>
          <cell r="Y97">
            <v>103684.86405929679</v>
          </cell>
          <cell r="Z97">
            <v>104184.91026773179</v>
          </cell>
          <cell r="AA97">
            <v>104606.2527134704</v>
          </cell>
          <cell r="AB97">
            <v>104703.61297289218</v>
          </cell>
          <cell r="AC97">
            <v>105076.30114774458</v>
          </cell>
          <cell r="AD97">
            <v>105717.33190753299</v>
          </cell>
          <cell r="AE97">
            <v>106386.53512778919</v>
          </cell>
          <cell r="AF97">
            <v>106960.98355420599</v>
          </cell>
          <cell r="AG97">
            <v>107544.75477929637</v>
          </cell>
          <cell r="AH97">
            <v>108905.086841161</v>
          </cell>
          <cell r="AI97">
            <v>117414.2577251</v>
          </cell>
          <cell r="AJ97">
            <v>118677.94723083999</v>
          </cell>
          <cell r="AK97">
            <v>119070.43611953998</v>
          </cell>
          <cell r="AL97">
            <v>119161.50551852</v>
          </cell>
          <cell r="AM97">
            <v>119536.05615185387</v>
          </cell>
          <cell r="AN97">
            <v>120116.24005406772</v>
          </cell>
          <cell r="AO97">
            <v>121104.75415117</v>
          </cell>
          <cell r="AP97">
            <v>121283.6178963678</v>
          </cell>
          <cell r="AQ97">
            <v>123902.89045013968</v>
          </cell>
          <cell r="AR97">
            <v>125002.38851328415</v>
          </cell>
          <cell r="AS97">
            <v>124839.8619367097</v>
          </cell>
          <cell r="AT97">
            <v>126107.35452456918</v>
          </cell>
          <cell r="AU97">
            <v>125231.38602971038</v>
          </cell>
          <cell r="AV97">
            <v>134900.0058472254</v>
          </cell>
          <cell r="AW97">
            <v>138704.10521491276</v>
          </cell>
          <cell r="AX97">
            <v>138881.01469997794</v>
          </cell>
          <cell r="AY97">
            <v>140828.82089408374</v>
          </cell>
          <cell r="AZ97">
            <v>142094.03900530003</v>
          </cell>
          <cell r="BA97">
            <v>142853.02534289044</v>
          </cell>
          <cell r="BB97">
            <v>140580.29611325043</v>
          </cell>
          <cell r="BC97">
            <v>138969.77893625197</v>
          </cell>
          <cell r="BD97">
            <v>137491.06900947774</v>
          </cell>
          <cell r="BE97">
            <v>135246.51238969999</v>
          </cell>
          <cell r="BF97">
            <v>133661.50309939467</v>
          </cell>
          <cell r="BG97">
            <v>132381.61424520449</v>
          </cell>
          <cell r="BH97">
            <v>136462.94916958295</v>
          </cell>
          <cell r="BJ97">
            <v>10446.896520000009</v>
          </cell>
          <cell r="BK97">
            <v>-1381.6903999999922</v>
          </cell>
          <cell r="BL97">
            <v>5322.4969100000162</v>
          </cell>
          <cell r="BN97">
            <v>5322.4969100000162</v>
          </cell>
          <cell r="BO97">
            <v>-144.76848600000085</v>
          </cell>
          <cell r="BP97">
            <v>-6.5476299999863841</v>
          </cell>
          <cell r="BQ97">
            <v>2449.4557500000083</v>
          </cell>
          <cell r="BR97">
            <v>2440.8998100000026</v>
          </cell>
          <cell r="BS97">
            <v>2949.3388100000011</v>
          </cell>
          <cell r="BT97">
            <v>2648.782830000011</v>
          </cell>
          <cell r="BU97">
            <v>1968.9377500000119</v>
          </cell>
          <cell r="BV97">
            <v>1969.3417800000025</v>
          </cell>
          <cell r="BW97">
            <v>2983.9987899999978</v>
          </cell>
          <cell r="BX97">
            <v>3660.8012300000119</v>
          </cell>
          <cell r="BY97">
            <v>3695.1049100000091</v>
          </cell>
          <cell r="BZ97">
            <v>6388.8947900000057</v>
          </cell>
          <cell r="CB97">
            <v>1613.2611800000013</v>
          </cell>
          <cell r="CC97">
            <v>2229.5173999999824</v>
          </cell>
          <cell r="CD97">
            <v>2439.2850192967744</v>
          </cell>
          <cell r="CE97">
            <v>2939.3312277317746</v>
          </cell>
          <cell r="CF97">
            <v>3360.6736734703882</v>
          </cell>
          <cell r="CG97">
            <v>3458.0339328921691</v>
          </cell>
          <cell r="CH97">
            <v>3830.722107744572</v>
          </cell>
          <cell r="CI97">
            <v>4471.7528675329813</v>
          </cell>
          <cell r="CJ97">
            <v>5140.9560877891781</v>
          </cell>
          <cell r="CK97">
            <v>5715.4045142059767</v>
          </cell>
          <cell r="CL97">
            <v>6299.1757392963627</v>
          </cell>
          <cell r="CM97">
            <v>7659.5078011609876</v>
          </cell>
        </row>
        <row r="98">
          <cell r="A98" t="str">
            <v xml:space="preserve">   Pasivos  no clasificados</v>
          </cell>
          <cell r="C98">
            <v>-110012.98225000003</v>
          </cell>
          <cell r="D98">
            <v>-108602.65742000003</v>
          </cell>
          <cell r="E98">
            <v>-113737.09319000001</v>
          </cell>
          <cell r="F98">
            <v>-109085.24347</v>
          </cell>
          <cell r="G98">
            <v>-114723.29659</v>
          </cell>
          <cell r="H98">
            <v>-228502.35562000002</v>
          </cell>
          <cell r="I98">
            <v>-233294.57206000001</v>
          </cell>
          <cell r="J98">
            <v>-229796.4186</v>
          </cell>
          <cell r="K98">
            <v>-230974.25344</v>
          </cell>
          <cell r="L98">
            <v>-232075.19353999998</v>
          </cell>
          <cell r="M98">
            <v>-230118.18459999998</v>
          </cell>
          <cell r="N98">
            <v>-225798.53938</v>
          </cell>
          <cell r="O98">
            <v>-224924.21405000001</v>
          </cell>
          <cell r="P98">
            <v>-224750.46038</v>
          </cell>
          <cell r="Q98">
            <v>-224568.40551000001</v>
          </cell>
          <cell r="R98">
            <v>-238469.85249000002</v>
          </cell>
          <cell r="S98">
            <v>-235586.57861999996</v>
          </cell>
          <cell r="T98">
            <v>-236333.50552000004</v>
          </cell>
          <cell r="U98">
            <v>-241399.22159999999</v>
          </cell>
          <cell r="V98">
            <v>-245770.84133999998</v>
          </cell>
          <cell r="W98">
            <v>-245971.65435999999</v>
          </cell>
          <cell r="X98">
            <v>-246552.66249999995</v>
          </cell>
          <cell r="Y98">
            <v>-243600.19502428325</v>
          </cell>
          <cell r="Z98">
            <v>-243649.51555855246</v>
          </cell>
          <cell r="AA98">
            <v>-243344.65455317011</v>
          </cell>
          <cell r="AB98">
            <v>-243556.06375666725</v>
          </cell>
          <cell r="AC98">
            <v>-240401.6486943833</v>
          </cell>
          <cell r="AD98">
            <v>-241465.72991650808</v>
          </cell>
          <cell r="AE98">
            <v>-241019.4256631615</v>
          </cell>
          <cell r="AF98">
            <v>-247163.23795083552</v>
          </cell>
          <cell r="AG98">
            <v>-246565.16928976317</v>
          </cell>
          <cell r="AH98">
            <v>-258550.86795652533</v>
          </cell>
          <cell r="AI98">
            <v>-263807.91150597471</v>
          </cell>
          <cell r="AJ98">
            <v>-275664.99676019611</v>
          </cell>
          <cell r="AK98">
            <v>-291778.40943961148</v>
          </cell>
          <cell r="AL98">
            <v>-300360.90243684297</v>
          </cell>
          <cell r="AM98">
            <v>-305721.35388210585</v>
          </cell>
          <cell r="AN98">
            <v>-310047.21624585678</v>
          </cell>
          <cell r="AO98">
            <v>-312843.31894730136</v>
          </cell>
          <cell r="AP98">
            <v>-314329.56084365433</v>
          </cell>
          <cell r="AQ98">
            <v>-314476.36508307012</v>
          </cell>
          <cell r="AR98">
            <v>-317661.81333884684</v>
          </cell>
          <cell r="AS98">
            <v>-321175.24925332074</v>
          </cell>
          <cell r="AT98">
            <v>-316595.6695578004</v>
          </cell>
          <cell r="AU98">
            <v>-316385.42448100442</v>
          </cell>
          <cell r="AV98">
            <v>-325000.65056546871</v>
          </cell>
          <cell r="AW98">
            <v>-328663.24363550049</v>
          </cell>
          <cell r="AX98">
            <v>-344671.94154307275</v>
          </cell>
          <cell r="AY98">
            <v>-349060.97930964723</v>
          </cell>
          <cell r="AZ98">
            <v>-356473.41417265788</v>
          </cell>
          <cell r="BA98">
            <v>-356179.93344420753</v>
          </cell>
          <cell r="BB98">
            <v>-353314.5338589407</v>
          </cell>
          <cell r="BC98">
            <v>-357967.8062000405</v>
          </cell>
          <cell r="BD98">
            <v>-355429.90335693071</v>
          </cell>
          <cell r="BE98">
            <v>-353749.60799139994</v>
          </cell>
          <cell r="BF98">
            <v>-366360.17287807877</v>
          </cell>
          <cell r="BG98">
            <v>-369431.10605354875</v>
          </cell>
          <cell r="BH98">
            <v>-372041.28630050394</v>
          </cell>
          <cell r="BJ98">
            <v>1410.3248299999977</v>
          </cell>
          <cell r="BK98">
            <v>4651.8497200000129</v>
          </cell>
          <cell r="BL98">
            <v>-113779.05903000002</v>
          </cell>
          <cell r="BN98">
            <v>-113779.05903000002</v>
          </cell>
          <cell r="BO98">
            <v>3498.1534600000014</v>
          </cell>
          <cell r="BP98">
            <v>2320.3186200000055</v>
          </cell>
          <cell r="BQ98">
            <v>1219.3785200000275</v>
          </cell>
          <cell r="BR98">
            <v>3176.3874600000272</v>
          </cell>
          <cell r="BS98">
            <v>7496.0326800000039</v>
          </cell>
          <cell r="BT98">
            <v>8370.3580099999963</v>
          </cell>
          <cell r="BU98">
            <v>8544.1116800000018</v>
          </cell>
          <cell r="BV98">
            <v>8726.1665499999945</v>
          </cell>
          <cell r="BW98">
            <v>-5175.2804300000134</v>
          </cell>
          <cell r="BX98">
            <v>-2292.0065599999507</v>
          </cell>
          <cell r="BY98">
            <v>-3038.9334600000293</v>
          </cell>
          <cell r="BZ98">
            <v>-8104.649539999984</v>
          </cell>
          <cell r="CB98">
            <v>-200.81302000000142</v>
          </cell>
          <cell r="CC98">
            <v>-781.82115999996313</v>
          </cell>
          <cell r="CD98">
            <v>2170.6463157167309</v>
          </cell>
          <cell r="CE98">
            <v>2121.3257814475219</v>
          </cell>
          <cell r="CF98">
            <v>2426.1867868298723</v>
          </cell>
          <cell r="CG98">
            <v>2214.7775833327323</v>
          </cell>
          <cell r="CH98">
            <v>5369.1926456166839</v>
          </cell>
          <cell r="CI98">
            <v>4305.1114234919078</v>
          </cell>
          <cell r="CJ98">
            <v>4751.4156768384855</v>
          </cell>
          <cell r="CK98">
            <v>-1392.396610835538</v>
          </cell>
          <cell r="CL98">
            <v>-794.32794976318837</v>
          </cell>
          <cell r="CM98">
            <v>-12780.026616525342</v>
          </cell>
        </row>
        <row r="100">
          <cell r="A100" t="str">
            <v>BRECHA</v>
          </cell>
          <cell r="C100">
            <v>0</v>
          </cell>
          <cell r="D100">
            <v>-1.0000000023865141E-2</v>
          </cell>
          <cell r="E100">
            <v>-1.0000000009313226E-2</v>
          </cell>
          <cell r="F100">
            <v>-2.9103830456733704E-11</v>
          </cell>
          <cell r="G100">
            <v>4.3655745685100555E-11</v>
          </cell>
          <cell r="H100">
            <v>0</v>
          </cell>
          <cell r="I100">
            <v>-1.1641532182693481E-10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J100">
            <v>-1.0000000067520887E-2</v>
          </cell>
          <cell r="BK100">
            <v>1.0000000020227162E-2</v>
          </cell>
          <cell r="BL100">
            <v>0</v>
          </cell>
          <cell r="BN100">
            <v>0</v>
          </cell>
          <cell r="BO100">
            <v>4.3200998334214091E-11</v>
          </cell>
          <cell r="BP100">
            <v>8.7311491370201111E-11</v>
          </cell>
          <cell r="BQ100">
            <v>1.4233592082746327E-10</v>
          </cell>
          <cell r="BR100">
            <v>1.6825651982799172E-10</v>
          </cell>
          <cell r="BS100">
            <v>1.2187229003757238E-10</v>
          </cell>
          <cell r="BT100">
            <v>8.7311491370201111E-11</v>
          </cell>
          <cell r="BU100">
            <v>-1.4551915228366852E-11</v>
          </cell>
          <cell r="BV100">
            <v>1.2732925824820995E-10</v>
          </cell>
          <cell r="BW100">
            <v>6.5938365878537297E-11</v>
          </cell>
          <cell r="BX100">
            <v>2.078195393551141E-10</v>
          </cell>
          <cell r="BY100">
            <v>3.3196556614711881E-11</v>
          </cell>
          <cell r="BZ100">
            <v>1.6370904631912708E-10</v>
          </cell>
          <cell r="CB100">
            <v>-9.0949470177292824E-12</v>
          </cell>
          <cell r="CC100">
            <v>-1.4551915228366852E-11</v>
          </cell>
          <cell r="CD100">
            <v>-3.8198777474462986E-11</v>
          </cell>
          <cell r="CE100">
            <v>3.092281986027956E-11</v>
          </cell>
          <cell r="CF100">
            <v>-1.6370904631912708E-11</v>
          </cell>
          <cell r="CG100">
            <v>-1.6370904631912708E-11</v>
          </cell>
          <cell r="CH100">
            <v>-7.2759576141834259E-12</v>
          </cell>
          <cell r="CI100">
            <v>3.092281986027956E-11</v>
          </cell>
          <cell r="CJ100">
            <v>-1.2732925824820995E-11</v>
          </cell>
          <cell r="CK100">
            <v>7.0940586738288403E-11</v>
          </cell>
          <cell r="CL100">
            <v>8.9130480773746967E-11</v>
          </cell>
          <cell r="CM100">
            <v>-2.1827872842550278E-11</v>
          </cell>
        </row>
        <row r="105">
          <cell r="A105" t="str">
            <v>BANCOS COMERCIALES</v>
          </cell>
        </row>
        <row r="106">
          <cell r="A106" t="str">
            <v>Cuenta de Otros de los Activos Internos Netos</v>
          </cell>
        </row>
        <row r="109">
          <cell r="A109" t="str">
            <v>OTROS</v>
          </cell>
          <cell r="C109">
            <v>54669.130301999947</v>
          </cell>
          <cell r="D109">
            <v>54480.383703999963</v>
          </cell>
          <cell r="E109">
            <v>51868.020610000021</v>
          </cell>
          <cell r="F109">
            <v>46774.082623000024</v>
          </cell>
          <cell r="G109">
            <v>43779.603990999953</v>
          </cell>
          <cell r="H109">
            <v>43173.602943999984</v>
          </cell>
          <cell r="I109">
            <v>40447.017216000007</v>
          </cell>
          <cell r="J109">
            <v>15066.372149999981</v>
          </cell>
          <cell r="K109">
            <v>14570.55821199996</v>
          </cell>
          <cell r="L109">
            <v>5943.7129010000499</v>
          </cell>
          <cell r="M109">
            <v>32438.580217999974</v>
          </cell>
          <cell r="N109">
            <v>26201.092625999983</v>
          </cell>
          <cell r="O109">
            <v>44362.789830000023</v>
          </cell>
          <cell r="P109">
            <v>50676.491179999983</v>
          </cell>
          <cell r="Q109">
            <v>59135.452822000021</v>
          </cell>
          <cell r="R109">
            <v>37602.207462000093</v>
          </cell>
          <cell r="S109">
            <v>51188.807452000008</v>
          </cell>
          <cell r="T109">
            <v>56267.70056399997</v>
          </cell>
          <cell r="U109">
            <v>89275.004923999979</v>
          </cell>
          <cell r="V109">
            <v>89019.693139999988</v>
          </cell>
          <cell r="W109">
            <v>91491.334159999969</v>
          </cell>
          <cell r="X109">
            <v>84173.885127999936</v>
          </cell>
          <cell r="Y109">
            <v>159552.84154786213</v>
          </cell>
          <cell r="Z109">
            <v>159444.45202491395</v>
          </cell>
          <cell r="AA109">
            <v>142360.1363350412</v>
          </cell>
          <cell r="AB109">
            <v>136673.64311795722</v>
          </cell>
          <cell r="AC109">
            <v>121465.81820582727</v>
          </cell>
          <cell r="AD109">
            <v>115478.32927027621</v>
          </cell>
          <cell r="AE109">
            <v>110970.41787803636</v>
          </cell>
          <cell r="AF109">
            <v>117762.65025349066</v>
          </cell>
          <cell r="AG109">
            <v>123891.17417148416</v>
          </cell>
          <cell r="AH109">
            <v>124098.43417841909</v>
          </cell>
          <cell r="AI109">
            <v>128941.17158584218</v>
          </cell>
          <cell r="AJ109">
            <v>140612.7998445268</v>
          </cell>
          <cell r="AK109">
            <v>142182.45336474298</v>
          </cell>
          <cell r="AL109">
            <v>136727.25948017481</v>
          </cell>
          <cell r="AM109">
            <v>167763.08600099615</v>
          </cell>
          <cell r="AN109">
            <v>171214.73211962957</v>
          </cell>
          <cell r="AO109">
            <v>130373.28897887393</v>
          </cell>
          <cell r="AP109">
            <v>136480.75119279983</v>
          </cell>
          <cell r="AQ109">
            <v>135439.54554873155</v>
          </cell>
          <cell r="AR109">
            <v>143237.07362278862</v>
          </cell>
          <cell r="AS109">
            <v>136585.78887803329</v>
          </cell>
          <cell r="AT109">
            <v>132195.0965648951</v>
          </cell>
          <cell r="AU109">
            <v>126851.57024290113</v>
          </cell>
          <cell r="AV109">
            <v>127392.74664555339</v>
          </cell>
          <cell r="AW109">
            <v>141076.73766794094</v>
          </cell>
          <cell r="AX109">
            <v>134543.99037349151</v>
          </cell>
          <cell r="AY109">
            <v>134446.36476291178</v>
          </cell>
          <cell r="AZ109">
            <v>151430.81330421276</v>
          </cell>
          <cell r="BA109">
            <v>139816.84425432689</v>
          </cell>
          <cell r="BB109">
            <v>180226.84196915431</v>
          </cell>
          <cell r="BC109">
            <v>174155.02798949997</v>
          </cell>
          <cell r="BD109">
            <v>108908.89205112262</v>
          </cell>
          <cell r="BE109">
            <v>105331.67972845095</v>
          </cell>
          <cell r="BF109">
            <v>99377.506618216896</v>
          </cell>
          <cell r="BG109">
            <v>96514.719079896982</v>
          </cell>
          <cell r="BH109">
            <v>141541.66197437688</v>
          </cell>
          <cell r="BJ109">
            <v>-188.74659799996152</v>
          </cell>
          <cell r="BK109">
            <v>-5093.9379869999975</v>
          </cell>
          <cell r="BL109">
            <v>-606.00104699998337</v>
          </cell>
          <cell r="BN109">
            <v>-606.00104699998337</v>
          </cell>
          <cell r="BO109">
            <v>-25380.645066000012</v>
          </cell>
          <cell r="BP109">
            <v>-25876.459004000037</v>
          </cell>
          <cell r="BQ109">
            <v>-34503.304314999958</v>
          </cell>
          <cell r="BR109">
            <v>-8008.4369980000411</v>
          </cell>
          <cell r="BS109">
            <v>-14245.924590000017</v>
          </cell>
          <cell r="BT109">
            <v>3915.7726140000232</v>
          </cell>
          <cell r="BU109">
            <v>10229.473963999983</v>
          </cell>
          <cell r="BV109">
            <v>18688.435606000003</v>
          </cell>
          <cell r="BW109">
            <v>-2844.8097539999253</v>
          </cell>
          <cell r="BX109">
            <v>10741.790235999993</v>
          </cell>
          <cell r="BY109">
            <v>15820.68334799997</v>
          </cell>
          <cell r="BZ109">
            <v>48827.987707999957</v>
          </cell>
          <cell r="CB109">
            <v>2471.6410199999627</v>
          </cell>
          <cell r="CC109">
            <v>-4845.8080120000741</v>
          </cell>
          <cell r="CD109">
            <v>70533.148407862158</v>
          </cell>
          <cell r="CE109">
            <v>70424.758884913928</v>
          </cell>
          <cell r="CF109">
            <v>53340.44319504124</v>
          </cell>
          <cell r="CG109">
            <v>47653.949977957243</v>
          </cell>
          <cell r="CH109">
            <v>32446.125065827277</v>
          </cell>
          <cell r="CI109">
            <v>26458.636130276223</v>
          </cell>
          <cell r="CJ109">
            <v>21950.724738036384</v>
          </cell>
          <cell r="CK109">
            <v>28742.957113490702</v>
          </cell>
          <cell r="CL109">
            <v>34871.481031484174</v>
          </cell>
          <cell r="CM109">
            <v>35078.741038419095</v>
          </cell>
        </row>
        <row r="111">
          <cell r="A111" t="str">
            <v xml:space="preserve">   Crédito neto al SPNF</v>
          </cell>
          <cell r="C111">
            <v>-2670.3650920000005</v>
          </cell>
          <cell r="D111">
            <v>-5601.0470679999999</v>
          </cell>
          <cell r="E111">
            <v>-5867.8804840000003</v>
          </cell>
          <cell r="F111">
            <v>-5920.8351219999995</v>
          </cell>
          <cell r="G111">
            <v>-6050.4006739999995</v>
          </cell>
          <cell r="H111">
            <v>-4795.1407730000001</v>
          </cell>
          <cell r="I111">
            <v>-4830.4268970000003</v>
          </cell>
          <cell r="J111">
            <v>-4107.9685760000002</v>
          </cell>
          <cell r="K111">
            <v>-3645.6056000000003</v>
          </cell>
          <cell r="L111">
            <v>-3860.4182130000008</v>
          </cell>
          <cell r="M111">
            <v>-3336.3694720000003</v>
          </cell>
          <cell r="N111">
            <v>-2337.494948</v>
          </cell>
          <cell r="O111">
            <v>-2101.5394299999998</v>
          </cell>
          <cell r="P111">
            <v>-2093.1691809999998</v>
          </cell>
          <cell r="Q111">
            <v>-1206.817123</v>
          </cell>
          <cell r="R111">
            <v>-2173.6172430000001</v>
          </cell>
          <cell r="S111">
            <v>-1017.8478079999999</v>
          </cell>
          <cell r="T111">
            <v>-1575.9548759999998</v>
          </cell>
          <cell r="U111">
            <v>-2249.5319399999998</v>
          </cell>
          <cell r="V111">
            <v>-2308.2715499999999</v>
          </cell>
          <cell r="W111">
            <v>-2074.2352599999995</v>
          </cell>
          <cell r="X111">
            <v>-1234.110244</v>
          </cell>
          <cell r="Y111">
            <v>-1633.2057823800001</v>
          </cell>
          <cell r="Z111">
            <v>-822.69739599999991</v>
          </cell>
          <cell r="AA111">
            <v>-1345.8066389999999</v>
          </cell>
          <cell r="AB111">
            <v>-2028.6164089999997</v>
          </cell>
          <cell r="AC111">
            <v>-2187.2275799999998</v>
          </cell>
          <cell r="AD111">
            <v>-1684.4018444199996</v>
          </cell>
          <cell r="AE111">
            <v>-4374.3294055400002</v>
          </cell>
          <cell r="AF111">
            <v>-4346.1707748199997</v>
          </cell>
          <cell r="AG111">
            <v>-5063.9308623799998</v>
          </cell>
          <cell r="AH111">
            <v>-9392.9894109599991</v>
          </cell>
          <cell r="AI111">
            <v>-9688.6758420000006</v>
          </cell>
          <cell r="AJ111">
            <v>-5277.8138870000002</v>
          </cell>
          <cell r="AK111">
            <v>-4852.2385119999999</v>
          </cell>
          <cell r="AL111">
            <v>-5799.9657109999998</v>
          </cell>
          <cell r="AM111">
            <v>-5183.2622769999998</v>
          </cell>
          <cell r="AN111">
            <v>-4252.4954337400004</v>
          </cell>
          <cell r="AO111">
            <v>-4827.1309650000003</v>
          </cell>
          <cell r="AP111">
            <v>-205.91966899999989</v>
          </cell>
          <cell r="AQ111">
            <v>-93.633563000000322</v>
          </cell>
          <cell r="AR111">
            <v>-192.76358900000014</v>
          </cell>
          <cell r="AS111">
            <v>-613.06041600000026</v>
          </cell>
          <cell r="AT111">
            <v>-4477.4091490000001</v>
          </cell>
          <cell r="AU111">
            <v>-5985.1265759999997</v>
          </cell>
          <cell r="AV111">
            <v>-5993.1479151000003</v>
          </cell>
          <cell r="AW111">
            <v>-1262.0017816999998</v>
          </cell>
          <cell r="AX111">
            <v>-395.91287560000001</v>
          </cell>
          <cell r="AY111">
            <v>-1055.4581081000001</v>
          </cell>
          <cell r="AZ111">
            <v>-1099.8319405990001</v>
          </cell>
          <cell r="BA111">
            <v>-1311.9372482999997</v>
          </cell>
          <cell r="BB111">
            <v>-771.6658766999999</v>
          </cell>
          <cell r="BC111">
            <v>-817.46849200000088</v>
          </cell>
          <cell r="BD111">
            <v>-5030.1000000000004</v>
          </cell>
          <cell r="BE111">
            <v>-3112</v>
          </cell>
          <cell r="BF111">
            <v>-7591.5564860874874</v>
          </cell>
          <cell r="BG111">
            <v>-8990.796490788769</v>
          </cell>
          <cell r="BH111">
            <v>-7085.7374697203713</v>
          </cell>
          <cell r="BJ111">
            <v>-2930.6819759999994</v>
          </cell>
          <cell r="BK111">
            <v>-52.95463799999925</v>
          </cell>
          <cell r="BL111">
            <v>1255.2599009999994</v>
          </cell>
          <cell r="BN111">
            <v>1255.2599009999994</v>
          </cell>
          <cell r="BO111">
            <v>722.45832100000007</v>
          </cell>
          <cell r="BP111">
            <v>1184.821297</v>
          </cell>
          <cell r="BQ111">
            <v>970.00868399999945</v>
          </cell>
          <cell r="BR111">
            <v>1494.057425</v>
          </cell>
          <cell r="BS111">
            <v>2492.9319490000003</v>
          </cell>
          <cell r="BT111">
            <v>2728.8874670000005</v>
          </cell>
          <cell r="BU111">
            <v>2737.2577160000005</v>
          </cell>
          <cell r="BV111">
            <v>3623.6097740000005</v>
          </cell>
          <cell r="BW111">
            <v>2656.8096540000001</v>
          </cell>
          <cell r="BX111">
            <v>3812.5790890000003</v>
          </cell>
          <cell r="BY111">
            <v>3254.4720210000005</v>
          </cell>
          <cell r="BZ111">
            <v>2580.8949570000004</v>
          </cell>
          <cell r="CB111">
            <v>234.03629000000046</v>
          </cell>
          <cell r="CC111">
            <v>1074.161306</v>
          </cell>
          <cell r="CD111">
            <v>675.06576761999986</v>
          </cell>
          <cell r="CE111">
            <v>1485.5741539999999</v>
          </cell>
          <cell r="CF111">
            <v>962.46491100000003</v>
          </cell>
          <cell r="CG111">
            <v>279.65514100000019</v>
          </cell>
          <cell r="CH111">
            <v>121.04397000000017</v>
          </cell>
          <cell r="CI111">
            <v>623.8697055800003</v>
          </cell>
          <cell r="CJ111">
            <v>-2066.0578555400002</v>
          </cell>
          <cell r="CK111">
            <v>-2037.8992248199997</v>
          </cell>
          <cell r="CL111">
            <v>-2755.6593123799998</v>
          </cell>
          <cell r="CM111">
            <v>-7084.7178609599996</v>
          </cell>
        </row>
        <row r="112">
          <cell r="A112" t="str">
            <v xml:space="preserve">   Activos  no clasificados</v>
          </cell>
          <cell r="C112">
            <v>183630.00518999997</v>
          </cell>
          <cell r="D112">
            <v>160048.659514</v>
          </cell>
          <cell r="E112">
            <v>185747.71110700001</v>
          </cell>
          <cell r="F112">
            <v>168717.54155300002</v>
          </cell>
          <cell r="G112">
            <v>203588.69740099995</v>
          </cell>
          <cell r="H112">
            <v>178090.11453999998</v>
          </cell>
          <cell r="I112">
            <v>214210.59646</v>
          </cell>
          <cell r="J112">
            <v>235460.52708399997</v>
          </cell>
          <cell r="K112">
            <v>238031.56096599999</v>
          </cell>
          <cell r="L112">
            <v>226746.64113000006</v>
          </cell>
          <cell r="M112">
            <v>263482.07210400002</v>
          </cell>
          <cell r="N112">
            <v>257286.236753</v>
          </cell>
          <cell r="O112">
            <v>189136.22738</v>
          </cell>
          <cell r="P112">
            <v>196609.51397999999</v>
          </cell>
          <cell r="Q112">
            <v>216880.50917300003</v>
          </cell>
          <cell r="R112">
            <v>224230.802956</v>
          </cell>
          <cell r="S112">
            <v>239258.978844</v>
          </cell>
          <cell r="T112">
            <v>263062.44228399999</v>
          </cell>
          <cell r="U112">
            <v>208304.16279599999</v>
          </cell>
          <cell r="V112">
            <v>252481.68170999998</v>
          </cell>
          <cell r="W112">
            <v>269162.88573999994</v>
          </cell>
          <cell r="X112">
            <v>278350.64331199991</v>
          </cell>
          <cell r="Y112">
            <v>360886.55991637899</v>
          </cell>
          <cell r="Z112">
            <v>375110.85557686375</v>
          </cell>
          <cell r="AA112">
            <v>380916.33440600685</v>
          </cell>
          <cell r="AB112">
            <v>309920.73949645029</v>
          </cell>
          <cell r="AC112">
            <v>286679.74764149549</v>
          </cell>
          <cell r="AD112">
            <v>298764.00641511119</v>
          </cell>
          <cell r="AE112">
            <v>324050.21415665623</v>
          </cell>
          <cell r="AF112">
            <v>350325.76648349914</v>
          </cell>
          <cell r="AG112">
            <v>392482.78193645569</v>
          </cell>
          <cell r="AH112">
            <v>277700.26758050115</v>
          </cell>
          <cell r="AI112">
            <v>334785.77139465132</v>
          </cell>
          <cell r="AJ112">
            <v>369586.2821758184</v>
          </cell>
          <cell r="AK112">
            <v>407089.15485266689</v>
          </cell>
          <cell r="AL112">
            <v>425458.10146013967</v>
          </cell>
          <cell r="AM112">
            <v>487176.33775872242</v>
          </cell>
          <cell r="AN112">
            <v>497038.90132204659</v>
          </cell>
          <cell r="AO112">
            <v>331074.16004173341</v>
          </cell>
          <cell r="AP112">
            <v>342617.00533748971</v>
          </cell>
          <cell r="AQ112">
            <v>363234.45589503413</v>
          </cell>
          <cell r="AR112">
            <v>387134.64173614077</v>
          </cell>
          <cell r="AS112">
            <v>401809.07478464523</v>
          </cell>
          <cell r="AT112">
            <v>437465.14101831749</v>
          </cell>
          <cell r="AU112">
            <v>269173.12232403044</v>
          </cell>
          <cell r="AV112">
            <v>331456.78853410447</v>
          </cell>
          <cell r="AW112">
            <v>386689.86488944967</v>
          </cell>
          <cell r="AX112">
            <v>402931.26473289914</v>
          </cell>
          <cell r="AY112">
            <v>428041.18143659941</v>
          </cell>
          <cell r="AZ112">
            <v>470751.44773061981</v>
          </cell>
          <cell r="BA112">
            <v>483413.3830214279</v>
          </cell>
          <cell r="BB112">
            <v>389633.82701946917</v>
          </cell>
          <cell r="BC112">
            <v>407320.73227395007</v>
          </cell>
          <cell r="BD112">
            <v>399304.22784357268</v>
          </cell>
          <cell r="BE112">
            <v>398783.91552090104</v>
          </cell>
          <cell r="BF112">
            <v>397309.29889675451</v>
          </cell>
          <cell r="BG112">
            <v>395845.75136313582</v>
          </cell>
          <cell r="BH112">
            <v>346701.29341754835</v>
          </cell>
          <cell r="BJ112">
            <v>-23581.345675999968</v>
          </cell>
          <cell r="BK112">
            <v>-17030.169553999993</v>
          </cell>
          <cell r="BL112">
            <v>-25498.582860999973</v>
          </cell>
          <cell r="BN112">
            <v>-25498.582860999973</v>
          </cell>
          <cell r="BO112">
            <v>21249.930623999971</v>
          </cell>
          <cell r="BP112">
            <v>23820.964505999989</v>
          </cell>
          <cell r="BQ112">
            <v>12536.044670000061</v>
          </cell>
          <cell r="BR112">
            <v>49271.47564400002</v>
          </cell>
          <cell r="BS112">
            <v>43075.640293000004</v>
          </cell>
          <cell r="BT112">
            <v>-25074.369080000004</v>
          </cell>
          <cell r="BU112">
            <v>-17601.082480000012</v>
          </cell>
          <cell r="BV112">
            <v>2669.912713000027</v>
          </cell>
          <cell r="BW112">
            <v>10020.206495999999</v>
          </cell>
          <cell r="BX112">
            <v>25048.382383999997</v>
          </cell>
          <cell r="BY112">
            <v>48851.845823999989</v>
          </cell>
          <cell r="BZ112">
            <v>-5906.433664000011</v>
          </cell>
          <cell r="CB112">
            <v>16681.204029999964</v>
          </cell>
          <cell r="CC112">
            <v>25868.961601999938</v>
          </cell>
          <cell r="CD112">
            <v>108404.87820637901</v>
          </cell>
          <cell r="CE112">
            <v>122629.17386686377</v>
          </cell>
          <cell r="CF112">
            <v>128434.65269600687</v>
          </cell>
          <cell r="CG112">
            <v>57439.057786450314</v>
          </cell>
          <cell r="CH112">
            <v>34198.065931495512</v>
          </cell>
          <cell r="CI112">
            <v>46282.324705111212</v>
          </cell>
          <cell r="CJ112">
            <v>71568.53244665626</v>
          </cell>
          <cell r="CK112">
            <v>97844.084773499169</v>
          </cell>
          <cell r="CL112">
            <v>140001.10022645572</v>
          </cell>
          <cell r="CM112">
            <v>25218.585870501178</v>
          </cell>
        </row>
        <row r="113">
          <cell r="A113" t="str">
            <v xml:space="preserve">   Pasivos  no clasificados</v>
          </cell>
          <cell r="C113">
            <v>-169330.21369600002</v>
          </cell>
          <cell r="D113">
            <v>-129172.73334200002</v>
          </cell>
          <cell r="E113">
            <v>-157217.314613</v>
          </cell>
          <cell r="F113">
            <v>-202044.61550800002</v>
          </cell>
          <cell r="G113">
            <v>-239780.68443600001</v>
          </cell>
          <cell r="H113">
            <v>-225587.550323</v>
          </cell>
          <cell r="I113">
            <v>-264399.33184699999</v>
          </cell>
          <cell r="J113">
            <v>-311756.43645799998</v>
          </cell>
          <cell r="K113">
            <v>-315662.10195400001</v>
          </cell>
          <cell r="L113">
            <v>-312878.05031600001</v>
          </cell>
          <cell r="M113">
            <v>-324848.79931400006</v>
          </cell>
          <cell r="N113">
            <v>-326727.41407900001</v>
          </cell>
          <cell r="O113">
            <v>-251746.05221999998</v>
          </cell>
          <cell r="P113">
            <v>-253025.50291899999</v>
          </cell>
          <cell r="Q113">
            <v>-266072.26932800002</v>
          </cell>
          <cell r="R113">
            <v>-294733.26725099992</v>
          </cell>
          <cell r="S113">
            <v>-296902.29888399999</v>
          </cell>
          <cell r="T113">
            <v>-313894.752844</v>
          </cell>
          <cell r="U113">
            <v>-237939.88913200001</v>
          </cell>
          <cell r="V113">
            <v>-282313.98021999997</v>
          </cell>
          <cell r="W113">
            <v>-294822.84691999998</v>
          </cell>
          <cell r="X113">
            <v>-313891.72373999999</v>
          </cell>
          <cell r="Y113">
            <v>-322966.37209613685</v>
          </cell>
          <cell r="Z113">
            <v>-338429.71247242438</v>
          </cell>
          <cell r="AA113">
            <v>-362152.27461751591</v>
          </cell>
          <cell r="AB113">
            <v>-302924.80180005275</v>
          </cell>
          <cell r="AC113">
            <v>-295136.90546506958</v>
          </cell>
          <cell r="AD113">
            <v>-314779.71800286719</v>
          </cell>
          <cell r="AE113">
            <v>-343604.69610209455</v>
          </cell>
          <cell r="AF113">
            <v>-363742.74088245531</v>
          </cell>
          <cell r="AG113">
            <v>-400668.48879875359</v>
          </cell>
          <cell r="AH113">
            <v>-291938.5024719038</v>
          </cell>
          <cell r="AI113">
            <v>-344037.12412267743</v>
          </cell>
          <cell r="AJ113">
            <v>-369180.23872374685</v>
          </cell>
          <cell r="AK113">
            <v>-404691.265281167</v>
          </cell>
          <cell r="AL113">
            <v>-428606.42368809495</v>
          </cell>
          <cell r="AM113">
            <v>-460597.40872000466</v>
          </cell>
          <cell r="AN113">
            <v>-468587.81091145764</v>
          </cell>
          <cell r="AO113">
            <v>-354650.16090716817</v>
          </cell>
          <cell r="AP113">
            <v>-367777.43749063241</v>
          </cell>
          <cell r="AQ113">
            <v>-391351.16946784261</v>
          </cell>
          <cell r="AR113">
            <v>-407867.45337396278</v>
          </cell>
          <cell r="AS113">
            <v>-429809.121505894</v>
          </cell>
          <cell r="AT113">
            <v>-468262.81188356521</v>
          </cell>
          <cell r="AU113">
            <v>-315560.72797250061</v>
          </cell>
          <cell r="AV113">
            <v>-377560.97052106104</v>
          </cell>
          <cell r="AW113">
            <v>-425742.80021177465</v>
          </cell>
          <cell r="AX113">
            <v>-448635.0844716421</v>
          </cell>
          <cell r="AY113">
            <v>-473030.39465804223</v>
          </cell>
          <cell r="AZ113">
            <v>-499301.59898810589</v>
          </cell>
          <cell r="BA113">
            <v>-523876.48096446489</v>
          </cell>
          <cell r="BB113">
            <v>-404904.92401204968</v>
          </cell>
          <cell r="BC113">
            <v>-430261.53615215007</v>
          </cell>
          <cell r="BD113">
            <v>-475469.31738638668</v>
          </cell>
          <cell r="BE113">
            <v>-481814.4589661514</v>
          </cell>
          <cell r="BF113">
            <v>-483194.47559927043</v>
          </cell>
          <cell r="BG113">
            <v>-484584.43845844589</v>
          </cell>
          <cell r="BH113">
            <v>-393718.07741034596</v>
          </cell>
          <cell r="BJ113">
            <v>40157.480353999999</v>
          </cell>
          <cell r="BK113">
            <v>-44827.300895000022</v>
          </cell>
          <cell r="BL113">
            <v>14193.134113000007</v>
          </cell>
          <cell r="BN113">
            <v>14193.134113000007</v>
          </cell>
          <cell r="BO113">
            <v>-47357.104610999988</v>
          </cell>
          <cell r="BP113">
            <v>-51262.770107000018</v>
          </cell>
          <cell r="BQ113">
            <v>-48478.718469000014</v>
          </cell>
          <cell r="BR113">
            <v>-60449.467467000068</v>
          </cell>
          <cell r="BS113">
            <v>-62328.082232000015</v>
          </cell>
          <cell r="BT113">
            <v>12653.279627000011</v>
          </cell>
          <cell r="BU113">
            <v>11373.828928000003</v>
          </cell>
          <cell r="BV113">
            <v>-1672.9374810000299</v>
          </cell>
          <cell r="BW113">
            <v>-30333.935403999931</v>
          </cell>
          <cell r="BX113">
            <v>-32502.967036999995</v>
          </cell>
          <cell r="BY113">
            <v>-49495.420997000008</v>
          </cell>
          <cell r="BZ113">
            <v>26459.442714999983</v>
          </cell>
          <cell r="CB113">
            <v>-12508.866700000013</v>
          </cell>
          <cell r="CC113">
            <v>-31577.743520000018</v>
          </cell>
          <cell r="CD113">
            <v>-40652.391876136884</v>
          </cell>
          <cell r="CE113">
            <v>-56115.732252424408</v>
          </cell>
          <cell r="CF113">
            <v>-79838.294397515943</v>
          </cell>
          <cell r="CG113">
            <v>-20610.821580052783</v>
          </cell>
          <cell r="CH113">
            <v>-12822.925245069608</v>
          </cell>
          <cell r="CI113">
            <v>-32465.737782867218</v>
          </cell>
          <cell r="CJ113">
            <v>-61290.715882094577</v>
          </cell>
          <cell r="CK113">
            <v>-81428.760662455345</v>
          </cell>
          <cell r="CL113">
            <v>-118354.50857875362</v>
          </cell>
          <cell r="CM113">
            <v>-9624.5222519038361</v>
          </cell>
        </row>
        <row r="114">
          <cell r="A114" t="str">
            <v xml:space="preserve">   Capital y reservas</v>
          </cell>
          <cell r="C114">
            <v>43039.703899999993</v>
          </cell>
          <cell r="D114">
            <v>29205.5046</v>
          </cell>
          <cell r="E114">
            <v>29205.5046</v>
          </cell>
          <cell r="F114">
            <v>86021.991700000013</v>
          </cell>
          <cell r="G114">
            <v>86021.991700000013</v>
          </cell>
          <cell r="H114">
            <v>95466.179499999998</v>
          </cell>
          <cell r="I114">
            <v>95466.179499999998</v>
          </cell>
          <cell r="J114">
            <v>95470.250100000005</v>
          </cell>
          <cell r="K114">
            <v>95846.704799999992</v>
          </cell>
          <cell r="L114">
            <v>95935.540299999993</v>
          </cell>
          <cell r="M114">
            <v>97141.676900000006</v>
          </cell>
          <cell r="N114">
            <v>97979.764899999995</v>
          </cell>
          <cell r="O114">
            <v>109074.15410000001</v>
          </cell>
          <cell r="P114">
            <v>109185.64929999999</v>
          </cell>
          <cell r="Q114">
            <v>109534.0301</v>
          </cell>
          <cell r="R114">
            <v>110278.289</v>
          </cell>
          <cell r="S114">
            <v>109849.97529999999</v>
          </cell>
          <cell r="T114">
            <v>108675.96599999999</v>
          </cell>
          <cell r="U114">
            <v>121160.26319999999</v>
          </cell>
          <cell r="V114">
            <v>121160.26319999999</v>
          </cell>
          <cell r="W114">
            <v>119225.5306</v>
          </cell>
          <cell r="X114">
            <v>120949.07579999999</v>
          </cell>
          <cell r="Y114">
            <v>123265.85951000001</v>
          </cell>
          <cell r="Z114">
            <v>123586.00631647455</v>
          </cell>
          <cell r="AA114">
            <v>124941.88318555029</v>
          </cell>
          <cell r="AB114">
            <v>131706.3218305597</v>
          </cell>
          <cell r="AC114">
            <v>132110.20360940136</v>
          </cell>
          <cell r="AD114">
            <v>133178.44270245222</v>
          </cell>
          <cell r="AE114">
            <v>134899.22922901469</v>
          </cell>
          <cell r="AF114">
            <v>135525.79542726686</v>
          </cell>
          <cell r="AG114">
            <v>137140.81189616208</v>
          </cell>
          <cell r="AH114">
            <v>147729.65848078174</v>
          </cell>
          <cell r="AI114">
            <v>147881.20015586828</v>
          </cell>
          <cell r="AJ114">
            <v>145484.57027945528</v>
          </cell>
          <cell r="AK114">
            <v>144636.80230524309</v>
          </cell>
          <cell r="AL114">
            <v>145675.5474191301</v>
          </cell>
          <cell r="AM114">
            <v>146367.41923927839</v>
          </cell>
          <cell r="AN114">
            <v>147016.13714278064</v>
          </cell>
          <cell r="AO114">
            <v>158776.42080930871</v>
          </cell>
          <cell r="AP114">
            <v>161847.10301494255</v>
          </cell>
          <cell r="AQ114">
            <v>163649.89268454004</v>
          </cell>
          <cell r="AR114">
            <v>164162.64884961062</v>
          </cell>
          <cell r="AS114">
            <v>165198.89601528208</v>
          </cell>
          <cell r="AT114">
            <v>167470.17657914283</v>
          </cell>
          <cell r="AU114">
            <v>179224.30246737131</v>
          </cell>
          <cell r="AV114">
            <v>179490.07654760993</v>
          </cell>
          <cell r="AW114">
            <v>181391.67477196592</v>
          </cell>
          <cell r="AX114">
            <v>180643.72298783445</v>
          </cell>
          <cell r="AY114">
            <v>180491.0360924546</v>
          </cell>
          <cell r="AZ114">
            <v>181080.79650229786</v>
          </cell>
          <cell r="BA114">
            <v>181591.87944566389</v>
          </cell>
          <cell r="BB114">
            <v>196269.60483843484</v>
          </cell>
          <cell r="BC114">
            <v>197913.30035969999</v>
          </cell>
          <cell r="BD114">
            <v>190104.0815939366</v>
          </cell>
          <cell r="BE114">
            <v>191474.22317370132</v>
          </cell>
          <cell r="BF114">
            <v>192854.23980682032</v>
          </cell>
          <cell r="BG114">
            <v>194244.20266599581</v>
          </cell>
          <cell r="BH114">
            <v>195644.18343689485</v>
          </cell>
          <cell r="BJ114">
            <v>-13834.199299999993</v>
          </cell>
          <cell r="BK114">
            <v>56816.487100000013</v>
          </cell>
          <cell r="BL114">
            <v>9444.1877999999851</v>
          </cell>
          <cell r="BN114">
            <v>9444.1877999999851</v>
          </cell>
          <cell r="BO114">
            <v>4.0706000000063796</v>
          </cell>
          <cell r="BP114">
            <v>380.52529999999388</v>
          </cell>
          <cell r="BQ114">
            <v>469.36079999999492</v>
          </cell>
          <cell r="BR114">
            <v>1675.4974000000075</v>
          </cell>
          <cell r="BS114">
            <v>2513.5853999999963</v>
          </cell>
          <cell r="BT114">
            <v>13607.974600000016</v>
          </cell>
          <cell r="BU114">
            <v>13719.469799999992</v>
          </cell>
          <cell r="BV114">
            <v>14067.850600000005</v>
          </cell>
          <cell r="BW114">
            <v>14812.109500000006</v>
          </cell>
          <cell r="BX114">
            <v>14383.795799999993</v>
          </cell>
          <cell r="BY114">
            <v>13209.786499999987</v>
          </cell>
          <cell r="BZ114">
            <v>25694.083699999988</v>
          </cell>
          <cell r="CB114">
            <v>-1934.7325999999885</v>
          </cell>
          <cell r="CC114">
            <v>-211.18739999999525</v>
          </cell>
          <cell r="CD114">
            <v>2105.5963100000226</v>
          </cell>
          <cell r="CE114">
            <v>2425.7431164745649</v>
          </cell>
          <cell r="CF114">
            <v>3781.6199855503073</v>
          </cell>
          <cell r="CG114">
            <v>10546.05863055971</v>
          </cell>
          <cell r="CH114">
            <v>10949.940409401373</v>
          </cell>
          <cell r="CI114">
            <v>12018.179502452229</v>
          </cell>
          <cell r="CJ114">
            <v>13738.9660290147</v>
          </cell>
          <cell r="CK114">
            <v>14365.532227266871</v>
          </cell>
          <cell r="CL114">
            <v>15980.548696162092</v>
          </cell>
          <cell r="CM114">
            <v>26569.395280781755</v>
          </cell>
        </row>
        <row r="116">
          <cell r="A116" t="str">
            <v>BRECHA</v>
          </cell>
          <cell r="C116">
            <v>0</v>
          </cell>
          <cell r="D116">
            <v>6.5483618527650833E-11</v>
          </cell>
          <cell r="E116">
            <v>0</v>
          </cell>
          <cell r="F116">
            <v>0</v>
          </cell>
          <cell r="G116">
            <v>0</v>
          </cell>
          <cell r="H116">
            <v>0</v>
          </cell>
          <cell r="I116">
            <v>0</v>
          </cell>
          <cell r="J116">
            <v>0</v>
          </cell>
          <cell r="K116">
            <v>1.7462298274040222E-10</v>
          </cell>
          <cell r="L116">
            <v>1.4551915228366852E-11</v>
          </cell>
          <cell r="M116">
            <v>1.1641532182693481E-10</v>
          </cell>
          <cell r="N116">
            <v>-1.0186340659856796E-10</v>
          </cell>
          <cell r="O116">
            <v>0</v>
          </cell>
          <cell r="P116">
            <v>1.3824319466948509E-10</v>
          </cell>
          <cell r="Q116">
            <v>-8.7311491370201111E-11</v>
          </cell>
          <cell r="R116">
            <v>5.8207660913467407E-11</v>
          </cell>
          <cell r="S116">
            <v>2.6921043172478676E-10</v>
          </cell>
          <cell r="T116">
            <v>1.3824319466948509E-10</v>
          </cell>
          <cell r="U116">
            <v>-1.3096723705530167E-10</v>
          </cell>
          <cell r="V116">
            <v>0</v>
          </cell>
          <cell r="W116">
            <v>0</v>
          </cell>
          <cell r="X116">
            <v>0</v>
          </cell>
          <cell r="Y116">
            <v>0</v>
          </cell>
          <cell r="Z116">
            <v>0</v>
          </cell>
          <cell r="AA116">
            <v>0</v>
          </cell>
          <cell r="AB116">
            <v>0</v>
          </cell>
          <cell r="AC116">
            <v>1.3096723705530167E-10</v>
          </cell>
          <cell r="AD116">
            <v>0</v>
          </cell>
          <cell r="AE116">
            <v>0</v>
          </cell>
          <cell r="AF116">
            <v>0</v>
          </cell>
          <cell r="AG116">
            <v>0</v>
          </cell>
          <cell r="AH116">
            <v>0</v>
          </cell>
          <cell r="AI116">
            <v>-1.6007106751203537E-10</v>
          </cell>
          <cell r="AJ116">
            <v>0</v>
          </cell>
          <cell r="AK116">
            <v>0</v>
          </cell>
          <cell r="AL116">
            <v>0</v>
          </cell>
          <cell r="AM116">
            <v>0</v>
          </cell>
          <cell r="AN116">
            <v>0</v>
          </cell>
          <cell r="AO116">
            <v>-2.1827872842550278E-10</v>
          </cell>
          <cell r="AP116">
            <v>-4.6566128730773926E-10</v>
          </cell>
          <cell r="AQ116">
            <v>0</v>
          </cell>
          <cell r="AR116">
            <v>0</v>
          </cell>
          <cell r="AS116">
            <v>0</v>
          </cell>
          <cell r="AT116">
            <v>0</v>
          </cell>
          <cell r="AU116">
            <v>0</v>
          </cell>
          <cell r="AV116">
            <v>1.6007106751203537E-10</v>
          </cell>
          <cell r="AW116">
            <v>0</v>
          </cell>
          <cell r="AX116">
            <v>0</v>
          </cell>
          <cell r="AY116">
            <v>-2.6193447411060333E-10</v>
          </cell>
          <cell r="AZ116">
            <v>-2.6193447411060333E-10</v>
          </cell>
          <cell r="BA116">
            <v>0</v>
          </cell>
          <cell r="BB116">
            <v>-3.4924596548080444E-10</v>
          </cell>
          <cell r="BC116">
            <v>0</v>
          </cell>
          <cell r="BD116">
            <v>1.4551915228366852E-10</v>
          </cell>
          <cell r="BE116">
            <v>2.3283064365386963E-10</v>
          </cell>
          <cell r="BF116">
            <v>3.2014213502407074E-10</v>
          </cell>
          <cell r="BG116">
            <v>3.637978807091713E-10</v>
          </cell>
          <cell r="BH116">
            <v>0</v>
          </cell>
          <cell r="BJ116">
            <v>3.637978807091713E-11</v>
          </cell>
          <cell r="BK116">
            <v>-5.0931703299283981E-11</v>
          </cell>
          <cell r="BL116">
            <v>-3.637978807091713E-11</v>
          </cell>
          <cell r="BN116">
            <v>0</v>
          </cell>
          <cell r="BO116">
            <v>-4.3655745685100555E-11</v>
          </cell>
          <cell r="BP116">
            <v>1.3460521586239338E-10</v>
          </cell>
          <cell r="BQ116">
            <v>0</v>
          </cell>
          <cell r="BR116">
            <v>9.4587448984384537E-11</v>
          </cell>
          <cell r="BS116">
            <v>-1.3824319466948509E-10</v>
          </cell>
          <cell r="BT116">
            <v>0</v>
          </cell>
          <cell r="BU116">
            <v>1.0186340659856796E-10</v>
          </cell>
          <cell r="BV116">
            <v>-1.0550138540565968E-10</v>
          </cell>
          <cell r="BW116">
            <v>4.0017766878008842E-11</v>
          </cell>
          <cell r="BX116">
            <v>2.4738255888223648E-10</v>
          </cell>
          <cell r="BY116">
            <v>1.0186340659856796E-10</v>
          </cell>
          <cell r="BZ116">
            <v>-1.4551915228366852E-10</v>
          </cell>
          <cell r="CB116">
            <v>7.6397554948925972E-11</v>
          </cell>
          <cell r="CC116">
            <v>1.2369127944111824E-10</v>
          </cell>
          <cell r="CD116">
            <v>0</v>
          </cell>
          <cell r="CE116">
            <v>1.1641532182693481E-10</v>
          </cell>
          <cell r="CF116">
            <v>-8.7311491370201111E-11</v>
          </cell>
          <cell r="CG116">
            <v>1.3824319466948509E-10</v>
          </cell>
          <cell r="CH116">
            <v>1.8917489796876907E-10</v>
          </cell>
          <cell r="CI116">
            <v>-2.9103830456733704E-11</v>
          </cell>
          <cell r="CJ116">
            <v>0</v>
          </cell>
          <cell r="CK116">
            <v>1.3096723705530167E-10</v>
          </cell>
          <cell r="CL116">
            <v>1.1641532182693481E-10</v>
          </cell>
          <cell r="CM116">
            <v>6.5483618527650833E-11</v>
          </cell>
        </row>
      </sheetData>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a"/>
      <sheetName val="pm0025"/>
      <sheetName val="bcosdef"/>
      <sheetName val="ca67"/>
      <sheetName val="bcospreli"/>
      <sheetName val="pm0028"/>
      <sheetName val="bccrdef"/>
      <sheetName val="Bancos"/>
      <sheetName val="Central"/>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 val="ecubopLa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refreshError="1"/>
      <sheetData sheetId="4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Metas"/>
      <sheetName val="Cuadro 1"/>
      <sheetName val="Cuadro 2"/>
      <sheetName val="PROGvrsOBS"/>
      <sheetName val="res2003"/>
      <sheetName val="resctasmonet"/>
      <sheetName val="emision"/>
      <sheetName val="BalanceBCom"/>
      <sheetName val="base FMI"/>
      <sheetName val="FMI"/>
      <sheetName val="omas"/>
      <sheetName val="minor"/>
      <sheetName val="origen y aplicacion"/>
      <sheetName val="origen y aplicacion 2002"/>
      <sheetName val="origen y aplicacion 2003"/>
      <sheetName val="basemonetaria"/>
      <sheetName val="Crédito"/>
      <sheetName val="comparativofmi"/>
      <sheetName val="depbcosme"/>
      <sheetName val="absorcion"/>
      <sheetName val="Módulo1"/>
      <sheetName val="flujos (2)"/>
      <sheetName val="indice"/>
      <sheetName val="DB"/>
      <sheetName val="CB"/>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H"/>
      <sheetName val="I"/>
      <sheetName val="G"/>
      <sheetName val="J"/>
      <sheetName val="K"/>
      <sheetName val="M"/>
      <sheetName val="O"/>
      <sheetName val="Q1"/>
      <sheetName val="Q2"/>
      <sheetName val="Q3"/>
      <sheetName val="Q4"/>
      <sheetName val="Q5"/>
      <sheetName val="Q6"/>
      <sheetName val="DSA1"/>
      <sheetName val="PFP"/>
      <sheetName val="Quart"/>
      <sheetName val="D"/>
      <sheetName val="P"/>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 val="Realism 2 - Fiscal multiplier"/>
      <sheetName val="Realism 2 - Alt. 1"/>
      <sheetName val="panel chart"/>
      <sheetName val="Stress_03221"/>
      <sheetName val="Stress_analysis1"/>
      <sheetName val="BoP_OUT_Medium1"/>
      <sheetName val="BoP_OUT_Long1"/>
      <sheetName val="IMF_Assistance1"/>
      <sheetName val="IMF_Assistance_Old1"/>
      <sheetName val="large_projects1"/>
      <sheetName val="Terms_of_Trade1"/>
      <sheetName val="Key_Ratios1"/>
      <sheetName val="Debt_Service__Long1"/>
      <sheetName val="DebtService_to_budget1"/>
      <sheetName val="Workspace_contents1"/>
      <sheetName val="NFA-input"/>
      <sheetName val="CBK-input"/>
      <sheetName val="Survey"/>
      <sheetName val="6-QAC &amp; PC Table (2)"/>
      <sheetName val="BoP"/>
      <sheetName val="RES"/>
      <sheetName val="Input"/>
      <sheetName val="Trade"/>
      <sheetName val="IFS SURVEYS Dec1990_Feb2004"/>
      <sheetName val="Table of Contents"/>
      <sheetName val="InHUB"/>
      <sheetName val="Monetary Dev_Monthly"/>
      <sheetName val="OutHUB"/>
      <sheetName val="PARAM"/>
      <sheetName val="CPIINDEX"/>
      <sheetName val="IFS_SURVEYS_Dec1990_Feb2004"/>
      <sheetName val="Table_of_Contents"/>
      <sheetName val="Monetary_Dev_Monthly"/>
      <sheetName val="AfDB"/>
      <sheetName val="CB"/>
      <sheetName val="Bench - 99"/>
      <sheetName val="BDDCLE-Octobre 04 pgmé"/>
      <sheetName val="Gin"/>
      <sheetName val="Din"/>
      <sheetName val="Impact"/>
      <sheetName val="Figure 6 NPV"/>
      <sheetName val="WEO_WETA"/>
      <sheetName val="Stress_03224"/>
      <sheetName val="Stress_analysis4"/>
      <sheetName val="BoP_OUT_Medium4"/>
      <sheetName val="BoP_OUT_Long4"/>
      <sheetName val="IMF_Assistance4"/>
      <sheetName val="IMF_Assistance_Old4"/>
      <sheetName val="large_projects4"/>
      <sheetName val="Terms_of_Trade4"/>
      <sheetName val="Key_Ratios4"/>
      <sheetName val="Debt_Service__Long4"/>
      <sheetName val="DebtService_to_budget4"/>
      <sheetName val="Workspace_contents4"/>
      <sheetName val="Stress_03222"/>
      <sheetName val="Stress_analysis2"/>
      <sheetName val="BoP_OUT_Medium2"/>
      <sheetName val="BoP_OUT_Long2"/>
      <sheetName val="IMF_Assistance2"/>
      <sheetName val="IMF_Assistance_Old2"/>
      <sheetName val="large_projects2"/>
      <sheetName val="Terms_of_Trade2"/>
      <sheetName val="Key_Ratios2"/>
      <sheetName val="Debt_Service__Long2"/>
      <sheetName val="DebtService_to_budget2"/>
      <sheetName val="Workspace_contents2"/>
      <sheetName val="Stress_03223"/>
      <sheetName val="Stress_analysis3"/>
      <sheetName val="BoP_OUT_Medium3"/>
      <sheetName val="BoP_OUT_Long3"/>
      <sheetName val="IMF_Assistance3"/>
      <sheetName val="IMF_Assistance_Old3"/>
      <sheetName val="large_projects3"/>
      <sheetName val="Terms_of_Trade3"/>
      <sheetName val="Key_Ratios3"/>
      <sheetName val="Debt_Service__Long3"/>
      <sheetName val="DebtService_to_budget3"/>
      <sheetName val="Workspace_contents3"/>
      <sheetName val="Assumptions"/>
      <sheetName val="BALANCE DES PAIEMENTS"/>
      <sheetName val="PRODUCTO"/>
      <sheetName val="Afiliados"/>
      <sheetName val="Listas"/>
      <sheetName val="Annual"/>
      <sheetName val="Print Tables"/>
      <sheetName val="Haver_In_Q"/>
      <sheetName val="Data"/>
      <sheetName val="NTS"/>
      <sheetName val="Probit"/>
      <sheetName val="תוכן"/>
      <sheetName val="page 1"/>
      <sheetName val="country name lookup"/>
      <sheetName val="Control"/>
      <sheetName val="Hoja1"/>
      <sheetName val="IN"/>
      <sheetName val="Exp"/>
      <sheetName val="Imp"/>
      <sheetName val="Outputs"/>
      <sheetName val="Dep fonct"/>
    </sheetNames>
    <sheetDataSet>
      <sheetData sheetId="0" refreshError="1"/>
      <sheetData sheetId="1" refreshError="1">
        <row r="1">
          <cell r="A1">
            <v>36608.787579398151</v>
          </cell>
        </row>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row r="47">
          <cell r="E47">
            <v>41.404998779296903</v>
          </cell>
          <cell r="F47">
            <v>57.102996826171903</v>
          </cell>
          <cell r="G47">
            <v>97.505096435546903</v>
          </cell>
          <cell r="H47">
            <v>129.31399536132801</v>
          </cell>
          <cell r="I47">
            <v>163.01089477539099</v>
          </cell>
          <cell r="J47">
            <v>197.91979980468801</v>
          </cell>
          <cell r="K47">
            <v>246.57929992675801</v>
          </cell>
          <cell r="L47">
            <v>284.53338623046898</v>
          </cell>
          <cell r="M47">
            <v>349.74279785156301</v>
          </cell>
          <cell r="N47">
            <v>425.64478243613098</v>
          </cell>
          <cell r="O47">
            <v>522.52114822170802</v>
          </cell>
          <cell r="P47">
            <v>876.9</v>
          </cell>
          <cell r="Q47">
            <v>1153.20466382326</v>
          </cell>
          <cell r="R47">
            <v>1370.2923053316799</v>
          </cell>
          <cell r="S47">
            <v>1658.2364791826999</v>
          </cell>
          <cell r="T47">
            <v>2105.6869843529098</v>
          </cell>
          <cell r="U47">
            <v>2459.9569609985601</v>
          </cell>
          <cell r="V47">
            <v>2984.019838493</v>
          </cell>
          <cell r="W47">
            <v>3625.32999831796</v>
          </cell>
          <cell r="X47">
            <v>4512.7633130355698</v>
          </cell>
          <cell r="Y47">
            <v>4917.7642589862498</v>
          </cell>
          <cell r="Z47">
            <v>5387.5260972033302</v>
          </cell>
          <cell r="AA47">
            <v>6058.1819999999998</v>
          </cell>
          <cell r="AB47">
            <v>7013.0820000000003</v>
          </cell>
          <cell r="AC47">
            <v>7994.6080000000002</v>
          </cell>
          <cell r="AD47">
            <v>8947.0059999999994</v>
          </cell>
          <cell r="AE47">
            <v>10149.252</v>
          </cell>
          <cell r="AF47">
            <v>11495.246999999999</v>
          </cell>
          <cell r="AG47">
            <v>13035.959000000001</v>
          </cell>
          <cell r="AH47">
            <v>14817.934999999999</v>
          </cell>
        </row>
        <row r="63">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cell r="AE63">
            <v>1</v>
          </cell>
          <cell r="AF63">
            <v>1</v>
          </cell>
          <cell r="AG63">
            <v>1</v>
          </cell>
          <cell r="AH63">
            <v>1</v>
          </cell>
        </row>
        <row r="64">
          <cell r="E64" t="str">
            <v/>
          </cell>
          <cell r="F64">
            <v>1</v>
          </cell>
          <cell r="G64">
            <v>1</v>
          </cell>
          <cell r="H64">
            <v>1</v>
          </cell>
          <cell r="I64">
            <v>1</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1</v>
          </cell>
          <cell r="Z64">
            <v>1</v>
          </cell>
          <cell r="AA64">
            <v>1</v>
          </cell>
          <cell r="AB64">
            <v>1</v>
          </cell>
          <cell r="AC64">
            <v>1</v>
          </cell>
          <cell r="AD64">
            <v>1</v>
          </cell>
          <cell r="AE64">
            <v>1</v>
          </cell>
          <cell r="AF64">
            <v>1</v>
          </cell>
          <cell r="AG64">
            <v>1</v>
          </cell>
          <cell r="AH64">
            <v>1</v>
          </cell>
        </row>
      </sheetData>
      <sheetData sheetId="5" refreshError="1"/>
      <sheetData sheetId="6" refreshError="1"/>
      <sheetData sheetId="7" refreshError="1">
        <row r="1">
          <cell r="A1" t="str">
            <v>Questionnaire 5</v>
          </cell>
          <cell r="DZ1" t="str">
            <v/>
          </cell>
          <cell r="EA1" t="str">
            <v/>
          </cell>
        </row>
        <row r="2">
          <cell r="A2" t="str">
            <v>International Trade</v>
          </cell>
        </row>
        <row r="4">
          <cell r="A4" t="str">
            <v xml:space="preserve">(Billions of U.S. dollars, except as indicated by the </v>
          </cell>
        </row>
        <row r="5">
          <cell r="A5" t="str">
            <v>magnitude factor )</v>
          </cell>
        </row>
        <row r="6">
          <cell r="A6" t="str">
            <v>Update only bolded variables</v>
          </cell>
          <cell r="E6">
            <v>1980</v>
          </cell>
          <cell r="F6">
            <v>1981</v>
          </cell>
          <cell r="G6">
            <v>1982</v>
          </cell>
          <cell r="H6">
            <v>1983</v>
          </cell>
          <cell r="I6">
            <v>1984</v>
          </cell>
          <cell r="J6">
            <v>1985</v>
          </cell>
          <cell r="K6">
            <v>1986</v>
          </cell>
          <cell r="L6">
            <v>1987</v>
          </cell>
          <cell r="M6">
            <v>1988</v>
          </cell>
          <cell r="N6">
            <v>1989</v>
          </cell>
          <cell r="O6">
            <v>1990</v>
          </cell>
          <cell r="P6">
            <v>1991</v>
          </cell>
          <cell r="Q6">
            <v>1992</v>
          </cell>
          <cell r="R6">
            <v>1993</v>
          </cell>
          <cell r="S6">
            <v>1994</v>
          </cell>
          <cell r="T6">
            <v>1995</v>
          </cell>
          <cell r="U6">
            <v>1996</v>
          </cell>
          <cell r="V6">
            <v>1997</v>
          </cell>
          <cell r="W6">
            <v>1998</v>
          </cell>
          <cell r="X6">
            <v>1999</v>
          </cell>
          <cell r="Y6">
            <v>2000</v>
          </cell>
          <cell r="Z6">
            <v>2001</v>
          </cell>
          <cell r="AA6">
            <v>2002</v>
          </cell>
          <cell r="AB6">
            <v>2003</v>
          </cell>
          <cell r="AC6">
            <v>2004</v>
          </cell>
          <cell r="AD6">
            <v>2005</v>
          </cell>
          <cell r="AE6">
            <v>2006</v>
          </cell>
          <cell r="AF6">
            <v>2007</v>
          </cell>
          <cell r="AG6">
            <v>2008</v>
          </cell>
          <cell r="AH6">
            <v>2009</v>
          </cell>
        </row>
        <row r="7">
          <cell r="D7" t="str">
            <v>A</v>
          </cell>
        </row>
        <row r="8">
          <cell r="B8" t="str">
            <v>GOODS AND SERVICES</v>
          </cell>
        </row>
        <row r="9">
          <cell r="B9" t="str">
            <v>Values are consistent with those provided in</v>
          </cell>
        </row>
        <row r="10">
          <cell r="B10" t="str">
            <v>Questionnaire 6 (Balance of Payments)</v>
          </cell>
        </row>
        <row r="11">
          <cell r="A11" t="str">
            <v>TX</v>
          </cell>
          <cell r="B11" t="str">
            <v>Value of exports (bop basis)</v>
          </cell>
        </row>
        <row r="12">
          <cell r="B12" t="str">
            <v>= BXG+BXS</v>
          </cell>
          <cell r="C12" t="str">
            <v>% change</v>
          </cell>
        </row>
        <row r="13">
          <cell r="A13" t="str">
            <v>TX_RPCH</v>
          </cell>
          <cell r="B13" t="str">
            <v>Volume of exports</v>
          </cell>
          <cell r="C13" t="str">
            <v>% change</v>
          </cell>
        </row>
        <row r="14">
          <cell r="A14" t="str">
            <v>TX_R</v>
          </cell>
          <cell r="C14" t="str">
            <v>level</v>
          </cell>
        </row>
        <row r="15">
          <cell r="A15" t="str">
            <v>TX_D</v>
          </cell>
          <cell r="C15" t="str">
            <v>level</v>
          </cell>
        </row>
        <row r="16">
          <cell r="A16" t="str">
            <v>TX_DPCH</v>
          </cell>
          <cell r="B16" t="str">
            <v>Deflator/unit value of exports</v>
          </cell>
          <cell r="C16" t="str">
            <v>% change</v>
          </cell>
        </row>
        <row r="17">
          <cell r="B17" t="str">
            <v>= TX / (index of TX_RPCH)</v>
          </cell>
        </row>
        <row r="19">
          <cell r="A19" t="str">
            <v>TM</v>
          </cell>
          <cell r="B19" t="str">
            <v>Value of imports (bop basis)</v>
          </cell>
        </row>
        <row r="20">
          <cell r="B20" t="str">
            <v>= -BMG-BMS</v>
          </cell>
          <cell r="C20" t="str">
            <v>% change</v>
          </cell>
        </row>
        <row r="21">
          <cell r="A21" t="str">
            <v>TM_RPCH</v>
          </cell>
          <cell r="B21" t="str">
            <v>Volume of imports</v>
          </cell>
          <cell r="C21" t="str">
            <v>% change</v>
          </cell>
        </row>
        <row r="22">
          <cell r="A22" t="str">
            <v>TM_R</v>
          </cell>
          <cell r="C22" t="str">
            <v>level</v>
          </cell>
        </row>
        <row r="23">
          <cell r="A23" t="str">
            <v>TM_D</v>
          </cell>
          <cell r="C23" t="str">
            <v>level</v>
          </cell>
        </row>
        <row r="24">
          <cell r="A24" t="str">
            <v>TM_DPCH</v>
          </cell>
          <cell r="B24" t="str">
            <v>Deflator/unit value of imports</v>
          </cell>
          <cell r="C24" t="str">
            <v>% change</v>
          </cell>
        </row>
        <row r="25">
          <cell r="B25" t="str">
            <v>= TM / (index of TM_RPCH)</v>
          </cell>
        </row>
        <row r="27">
          <cell r="B27" t="str">
            <v xml:space="preserve">  GOODS</v>
          </cell>
        </row>
        <row r="28">
          <cell r="B28" t="str">
            <v xml:space="preserve">  Values are consistent with those provided in</v>
          </cell>
        </row>
        <row r="29">
          <cell r="B29" t="str">
            <v xml:space="preserve">  Questionnaire 6 (Balance of Payments)</v>
          </cell>
        </row>
        <row r="30">
          <cell r="A30" t="str">
            <v>TXG</v>
          </cell>
          <cell r="B30" t="str">
            <v xml:space="preserve">  Value of exports (bop basis)</v>
          </cell>
        </row>
        <row r="31">
          <cell r="B31" t="str">
            <v xml:space="preserve">  = BXG</v>
          </cell>
          <cell r="C31" t="str">
            <v>% change</v>
          </cell>
        </row>
        <row r="32">
          <cell r="A32" t="str">
            <v>TXG_RPCH</v>
          </cell>
          <cell r="B32" t="str">
            <v xml:space="preserve">  Volume of exports</v>
          </cell>
          <cell r="C32" t="str">
            <v>% change</v>
          </cell>
        </row>
        <row r="33">
          <cell r="A33" t="str">
            <v>TXG_R</v>
          </cell>
          <cell r="C33" t="str">
            <v>level</v>
          </cell>
        </row>
        <row r="34">
          <cell r="A34" t="str">
            <v>TXG_D</v>
          </cell>
          <cell r="C34" t="str">
            <v>level</v>
          </cell>
        </row>
        <row r="35">
          <cell r="A35" t="str">
            <v>TXG_DPCH</v>
          </cell>
          <cell r="B35" t="str">
            <v xml:space="preserve">  Deflator/unit value of exports</v>
          </cell>
          <cell r="C35" t="str">
            <v>% change</v>
          </cell>
        </row>
        <row r="36">
          <cell r="B36" t="str">
            <v xml:space="preserve">  = TXG / (index of TXG_RPCH)</v>
          </cell>
        </row>
        <row r="38">
          <cell r="A38" t="str">
            <v>TMG</v>
          </cell>
          <cell r="B38" t="str">
            <v xml:space="preserve">  Value of imports (bop basis)</v>
          </cell>
        </row>
        <row r="39">
          <cell r="B39" t="str">
            <v xml:space="preserve">  = -BMG</v>
          </cell>
          <cell r="C39" t="str">
            <v>% change</v>
          </cell>
        </row>
        <row r="40">
          <cell r="A40" t="str">
            <v>TMG_RPCH</v>
          </cell>
          <cell r="B40" t="str">
            <v xml:space="preserve">  Volume of imports</v>
          </cell>
          <cell r="C40" t="str">
            <v>% change</v>
          </cell>
        </row>
        <row r="41">
          <cell r="A41" t="str">
            <v>TMG_R</v>
          </cell>
          <cell r="C41" t="str">
            <v>level</v>
          </cell>
        </row>
        <row r="42">
          <cell r="A42" t="str">
            <v>TMG_D</v>
          </cell>
          <cell r="C42" t="str">
            <v>level</v>
          </cell>
        </row>
        <row r="43">
          <cell r="A43" t="str">
            <v>TMG_DPCH</v>
          </cell>
          <cell r="B43" t="str">
            <v xml:space="preserve">  Deflator/unit value of imports</v>
          </cell>
          <cell r="C43" t="str">
            <v>% change</v>
          </cell>
        </row>
        <row r="44">
          <cell r="B44" t="str">
            <v xml:space="preserve">  = TMG / (index of TMG_RPCH)</v>
          </cell>
        </row>
        <row r="46">
          <cell r="B46" t="str">
            <v xml:space="preserve">    OIL</v>
          </cell>
        </row>
        <row r="47">
          <cell r="B47" t="str">
            <v xml:space="preserve">    Deflator/unit value data areoptional. If not provided,</v>
          </cell>
        </row>
        <row r="48">
          <cell r="B48" t="str">
            <v xml:space="preserve">    the WEO oil price(APSP) is used to deflate oil trade values</v>
          </cell>
        </row>
        <row r="49">
          <cell r="A49" t="str">
            <v>TXGO</v>
          </cell>
          <cell r="B49" t="str">
            <v xml:space="preserve">    Value of oil exports</v>
          </cell>
        </row>
        <row r="50">
          <cell r="C50" t="str">
            <v>% change</v>
          </cell>
        </row>
        <row r="51">
          <cell r="A51" t="str">
            <v>TXGO_RPCH</v>
          </cell>
          <cell r="B51" t="str">
            <v xml:space="preserve">    Volume of oil exports</v>
          </cell>
          <cell r="C51" t="str">
            <v>% change</v>
          </cell>
        </row>
        <row r="52">
          <cell r="B52" t="str">
            <v xml:space="preserve">    = TXGO / (index of TXGO_DPCH)</v>
          </cell>
        </row>
        <row r="53">
          <cell r="A53" t="str">
            <v>TXGO_R</v>
          </cell>
          <cell r="C53" t="str">
            <v>hide</v>
          </cell>
        </row>
        <row r="54">
          <cell r="A54" t="str">
            <v>TXGO_D</v>
          </cell>
          <cell r="C54" t="str">
            <v>hide</v>
          </cell>
        </row>
        <row r="55">
          <cell r="A55" t="str">
            <v>TXGO_DPCH</v>
          </cell>
          <cell r="B55" t="str">
            <v xml:space="preserve">    Deflator/unit value of oil exports (optional)</v>
          </cell>
          <cell r="C55" t="str">
            <v>% change</v>
          </cell>
        </row>
        <row r="58">
          <cell r="A58" t="str">
            <v>TMGO</v>
          </cell>
          <cell r="B58" t="str">
            <v xml:space="preserve">    Value of oil imports (&gt;= 0)</v>
          </cell>
        </row>
        <row r="59">
          <cell r="C59" t="str">
            <v>% change</v>
          </cell>
        </row>
        <row r="60">
          <cell r="A60" t="str">
            <v>TMGO_RPCH</v>
          </cell>
          <cell r="B60" t="str">
            <v xml:space="preserve">    Volume of oil imports</v>
          </cell>
          <cell r="C60" t="str">
            <v>% change</v>
          </cell>
        </row>
        <row r="61">
          <cell r="B61" t="str">
            <v xml:space="preserve">    = TMGO / (index of TMGO_DPCH)</v>
          </cell>
        </row>
        <row r="62">
          <cell r="A62" t="str">
            <v>TMGO_R</v>
          </cell>
          <cell r="C62" t="str">
            <v>hide</v>
          </cell>
        </row>
        <row r="63">
          <cell r="A63" t="str">
            <v>TMGO_D</v>
          </cell>
          <cell r="B63" t="str">
            <v xml:space="preserve">    index of TMXGO_Dpch</v>
          </cell>
          <cell r="C63" t="str">
            <v>hide</v>
          </cell>
        </row>
        <row r="64">
          <cell r="A64" t="str">
            <v>TMGO_DPCH</v>
          </cell>
          <cell r="B64" t="str">
            <v xml:space="preserve">    Deflator/unit value of oil imports (optional)</v>
          </cell>
          <cell r="C64" t="str">
            <v>% change</v>
          </cell>
        </row>
        <row r="67">
          <cell r="A67" t="str">
            <v>WPCP33_D</v>
          </cell>
          <cell r="B67" t="str">
            <v xml:space="preserve">    WEO oil price</v>
          </cell>
          <cell r="C67" t="str">
            <v>US$ / barrel</v>
          </cell>
        </row>
        <row r="68">
          <cell r="A68" t="str">
            <v>WPCP33pch</v>
          </cell>
          <cell r="C68" t="str">
            <v>% change</v>
          </cell>
        </row>
        <row r="70">
          <cell r="B70" t="str">
            <v xml:space="preserve">    NON-OIL</v>
          </cell>
        </row>
        <row r="72">
          <cell r="A72" t="str">
            <v>TXGXO</v>
          </cell>
          <cell r="B72" t="str">
            <v xml:space="preserve">    Value of non-oil exports</v>
          </cell>
        </row>
        <row r="73">
          <cell r="B73" t="str">
            <v xml:space="preserve">    = TXG-TXGO</v>
          </cell>
          <cell r="C73" t="str">
            <v>% change</v>
          </cell>
        </row>
        <row r="74">
          <cell r="A74" t="str">
            <v>TXGXO_RPCH</v>
          </cell>
          <cell r="B74" t="str">
            <v xml:space="preserve">    Volume of non-oil exports</v>
          </cell>
          <cell r="C74" t="str">
            <v xml:space="preserve"> % change</v>
          </cell>
        </row>
        <row r="75">
          <cell r="B75" t="str">
            <v xml:space="preserve">    = (TXG[-1] *TXG_RPCH-TXGO[-1] *</v>
          </cell>
        </row>
        <row r="76">
          <cell r="B76" t="str">
            <v xml:space="preserve">    TXGO_RPCH) / (TXG[-1]-TXGO[-1])</v>
          </cell>
        </row>
        <row r="77">
          <cell r="A77" t="str">
            <v>TXGXO_R</v>
          </cell>
          <cell r="C77" t="str">
            <v>hide</v>
          </cell>
        </row>
        <row r="78">
          <cell r="A78" t="str">
            <v>TXGXO_D</v>
          </cell>
          <cell r="C78" t="str">
            <v>hide</v>
          </cell>
        </row>
        <row r="79">
          <cell r="A79" t="str">
            <v>TXGXO_DPCH</v>
          </cell>
          <cell r="B79" t="str">
            <v xml:space="preserve">    Deflator / unit value of non-oil exports</v>
          </cell>
          <cell r="C79" t="str">
            <v>% change</v>
          </cell>
        </row>
        <row r="80">
          <cell r="B80" t="str">
            <v xml:space="preserve">    = TXGXO / ( index of TXGXO_RPCH)</v>
          </cell>
        </row>
        <row r="82">
          <cell r="A82" t="str">
            <v>TMGXO</v>
          </cell>
          <cell r="B82" t="str">
            <v xml:space="preserve">    Value of non-oil imports</v>
          </cell>
        </row>
        <row r="83">
          <cell r="B83" t="str">
            <v xml:space="preserve">    =TMG-TMGO</v>
          </cell>
          <cell r="C83" t="str">
            <v>% change</v>
          </cell>
        </row>
        <row r="84">
          <cell r="A84" t="str">
            <v>TMGXO_RPCH</v>
          </cell>
          <cell r="B84" t="str">
            <v xml:space="preserve">    Volume of non-oil imports</v>
          </cell>
          <cell r="C84" t="str">
            <v xml:space="preserve"> % change</v>
          </cell>
        </row>
        <row r="85">
          <cell r="B85" t="str">
            <v xml:space="preserve">    = (TMG[-1] * TMG_RPCH-TMGO[-1] *</v>
          </cell>
        </row>
        <row r="86">
          <cell r="B86" t="str">
            <v xml:space="preserve">    TMGO_RPCH) / (TMG[-1]-TMGO[-1])</v>
          </cell>
        </row>
        <row r="87">
          <cell r="A87" t="str">
            <v>TMGXO_R</v>
          </cell>
          <cell r="C87" t="str">
            <v>hide</v>
          </cell>
        </row>
        <row r="88">
          <cell r="A88" t="str">
            <v>TMGXO_D</v>
          </cell>
          <cell r="C88" t="str">
            <v>hide</v>
          </cell>
        </row>
        <row r="89">
          <cell r="A89" t="str">
            <v>TMGXO_DPCH</v>
          </cell>
          <cell r="B89" t="str">
            <v xml:space="preserve">    Deflator / unit value of non-oil imports</v>
          </cell>
          <cell r="C89" t="str">
            <v>% change</v>
          </cell>
        </row>
        <row r="90">
          <cell r="B90" t="str">
            <v xml:space="preserve">    = TMGXO / (index of TMGXO_RPCH)</v>
          </cell>
        </row>
        <row r="92">
          <cell r="B92" t="str">
            <v xml:space="preserve">  SERVICES</v>
          </cell>
        </row>
        <row r="93">
          <cell r="B93" t="str">
            <v xml:space="preserve">  Values are consistent with those provided in</v>
          </cell>
        </row>
        <row r="94">
          <cell r="B94" t="str">
            <v xml:space="preserve">  Questionnaire 6 (Balance of Payments)</v>
          </cell>
        </row>
        <row r="95">
          <cell r="A95" t="str">
            <v>TXS</v>
          </cell>
          <cell r="B95" t="str">
            <v xml:space="preserve">  Value of exports (bop basis)</v>
          </cell>
        </row>
        <row r="96">
          <cell r="B96" t="str">
            <v xml:space="preserve">  =  BXS</v>
          </cell>
          <cell r="C96" t="str">
            <v>% change</v>
          </cell>
        </row>
        <row r="97">
          <cell r="A97" t="str">
            <v>TMS</v>
          </cell>
          <cell r="B97" t="str">
            <v xml:space="preserve">  Value of imports (bop basis)</v>
          </cell>
        </row>
        <row r="98">
          <cell r="B98" t="str">
            <v xml:space="preserve">  = -BMS</v>
          </cell>
          <cell r="C98" t="str">
            <v>% change</v>
          </cell>
        </row>
        <row r="103">
          <cell r="A103" t="str">
            <v>MCV_T</v>
          </cell>
          <cell r="B103" t="str">
            <v>Magnitude factor</v>
          </cell>
        </row>
        <row r="104">
          <cell r="A104" t="str">
            <v>MCV_T1</v>
          </cell>
          <cell r="B104" t="str">
            <v>= MCV_B or MCV, if not provided</v>
          </cell>
        </row>
        <row r="106">
          <cell r="B106" t="str">
            <v>DATA CHECKS</v>
          </cell>
        </row>
        <row r="107">
          <cell r="A107" t="str">
            <v>CHK5.1</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 val="PERUMF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 sheetId="4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95"/>
    </sheetNames>
    <sheetDataSet>
      <sheetData sheetId="0" refreshError="1">
        <row r="1">
          <cell r="A1" t="str">
            <v>FINANCIAMIENTO NETO DEL DEFICIT DEL</v>
          </cell>
        </row>
        <row r="2">
          <cell r="A2" t="str">
            <v>SECTOR PUBLICO NO FINANCIERO</v>
          </cell>
        </row>
        <row r="3">
          <cell r="A3" t="str">
            <v>A DICIEMBRE 1995</v>
          </cell>
        </row>
        <row r="4">
          <cell r="A4" t="str">
            <v xml:space="preserve"> - cifras en millones de colones -</v>
          </cell>
        </row>
        <row r="5">
          <cell r="A5" t="str">
            <v>DESCRIPCION</v>
          </cell>
          <cell r="B5" t="str">
            <v>GOBIERNO CENTRAL</v>
          </cell>
          <cell r="C5" t="str">
            <v>RESTO   SPNF</v>
          </cell>
          <cell r="D5" t="str">
            <v>TOTAL SPNF</v>
          </cell>
        </row>
        <row r="7">
          <cell r="A7" t="str">
            <v>1. FINANCIAMIENTO INTERNO NETO</v>
          </cell>
          <cell r="B7">
            <v>102335</v>
          </cell>
          <cell r="C7">
            <v>-30396.299999999996</v>
          </cell>
          <cell r="D7">
            <v>71938.700000000012</v>
          </cell>
        </row>
        <row r="9">
          <cell r="A9" t="str">
            <v xml:space="preserve">  i- COLOCACION NETA DE BONOS  1/</v>
          </cell>
          <cell r="B9">
            <v>98607</v>
          </cell>
          <cell r="C9">
            <v>-12180.899999999994</v>
          </cell>
          <cell r="D9">
            <v>86426.1</v>
          </cell>
        </row>
        <row r="11">
          <cell r="A11" t="str">
            <v xml:space="preserve">  ii- SISTEMA BANCARIO NACIONAL</v>
          </cell>
          <cell r="B11">
            <v>3728</v>
          </cell>
          <cell r="C11">
            <v>-18215.400000000001</v>
          </cell>
          <cell r="D11">
            <v>-14487.400000000001</v>
          </cell>
        </row>
        <row r="12">
          <cell r="A12" t="str">
            <v xml:space="preserve">     - Banco Central</v>
          </cell>
          <cell r="B12">
            <v>-14300</v>
          </cell>
          <cell r="C12">
            <v>-5879.1</v>
          </cell>
          <cell r="D12">
            <v>-20179.099999999999</v>
          </cell>
        </row>
        <row r="13">
          <cell r="A13" t="str">
            <v xml:space="preserve">     - Bancos comerciales</v>
          </cell>
          <cell r="B13">
            <v>18028</v>
          </cell>
          <cell r="C13">
            <v>-12336.3</v>
          </cell>
          <cell r="D13">
            <v>5691.7000000000007</v>
          </cell>
        </row>
        <row r="15">
          <cell r="A15" t="str">
            <v xml:space="preserve">    iii- DEUDA FLOTANTE  2/</v>
          </cell>
          <cell r="C15">
            <v>0</v>
          </cell>
          <cell r="D15">
            <v>0</v>
          </cell>
        </row>
        <row r="17">
          <cell r="A17" t="str">
            <v>2. FINANCIAMIENTO EXTERNO NETO</v>
          </cell>
          <cell r="B17">
            <v>-1443.8470800000016</v>
          </cell>
          <cell r="C17">
            <v>-3030.4</v>
          </cell>
          <cell r="D17">
            <v>-4474.2470800000019</v>
          </cell>
        </row>
        <row r="19">
          <cell r="A19" t="str">
            <v>FINANCIAMIENTO TOTAL OBSERVADO</v>
          </cell>
          <cell r="B19">
            <v>100891.15291999999</v>
          </cell>
          <cell r="C19">
            <v>-33426.699999999997</v>
          </cell>
          <cell r="D19">
            <v>67464.452920000011</v>
          </cell>
        </row>
        <row r="20">
          <cell r="A20" t="str">
            <v>(% DEL PIB)</v>
          </cell>
          <cell r="B20">
            <v>6.0579569096786898E-2</v>
          </cell>
          <cell r="C20">
            <v>-2.0070888514211325E-2</v>
          </cell>
          <cell r="D20">
            <v>4.0508680582575576E-2</v>
          </cell>
        </row>
        <row r="22">
          <cell r="A22" t="str">
            <v>BRECHA DEFICITARIA OBSERVADA   3/</v>
          </cell>
          <cell r="B22">
            <v>-72748</v>
          </cell>
          <cell r="C22">
            <v>40202</v>
          </cell>
          <cell r="D22">
            <v>-32546</v>
          </cell>
        </row>
        <row r="23">
          <cell r="A23" t="str">
            <v>(% DEL PIB)</v>
          </cell>
          <cell r="B23">
            <v>-4.3681159002589121E-2</v>
          </cell>
          <cell r="C23">
            <v>2.4139082232117554E-2</v>
          </cell>
          <cell r="D23">
            <v>-1.9542076770471567E-2</v>
          </cell>
        </row>
        <row r="25">
          <cell r="A25" t="str">
            <v>META FINANC. NETO DEL SPNF  4/</v>
          </cell>
          <cell r="B25">
            <v>66689</v>
          </cell>
          <cell r="C25">
            <v>-35539</v>
          </cell>
          <cell r="D25">
            <v>31150</v>
          </cell>
        </row>
        <row r="26">
          <cell r="A26" t="str">
            <v>(% DEL PIB)</v>
          </cell>
          <cell r="B26">
            <v>4.004306390173841E-2</v>
          </cell>
          <cell r="C26">
            <v>-2.1339208085349629E-2</v>
          </cell>
          <cell r="D26">
            <v>1.8703855816388781E-2</v>
          </cell>
        </row>
        <row r="28">
          <cell r="A28" t="str">
            <v>RESIDUO   5/</v>
          </cell>
          <cell r="B28">
            <v>28143.152919999993</v>
          </cell>
          <cell r="C28">
            <v>6775.3000000000029</v>
          </cell>
          <cell r="D28">
            <v>34918.452919999996</v>
          </cell>
        </row>
        <row r="29">
          <cell r="A29" t="str">
            <v>1/ Excluye la colocación neta en el Sistema Bancario Nacional.</v>
          </cell>
        </row>
        <row r="30">
          <cell r="A30" t="str">
            <v>2/ Incluye la variación respecto a dic-94 de los giros pendientes de pago (deuda flotante)</v>
          </cell>
        </row>
        <row r="31">
          <cell r="A31" t="str">
            <v>3/Cifras preliminales del déficit por encima de la línea del SPNF.</v>
          </cell>
        </row>
        <row r="32">
          <cell r="A32" t="str">
            <v>4/ Según la versión del 11/10/95 de los límites del FMI</v>
          </cell>
        </row>
        <row r="33">
          <cell r="A33" t="str">
            <v>5/ Diferencia entre los déficit observados por encima y por debajo de la línea.</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INPUT"/>
      <sheetName val="BOP-INPUT"/>
      <sheetName val="In-Out"/>
      <sheetName val="X"/>
      <sheetName val="TT"/>
      <sheetName val="BOP"/>
      <sheetName val="XDEBT"/>
      <sheetName val="SR BOP"/>
      <sheetName val="MedTerm BOP "/>
      <sheetName val="SR SEI table"/>
      <sheetName val="SR VUL"/>
      <sheetName val="SR DEBT"/>
      <sheetName val="ControlSheet"/>
      <sheetName val="WEO"/>
      <sheetName val="Old basis baseline"/>
      <sheetName val="Old Baseline 2010"/>
      <sheetName val="WEOQ5"/>
      <sheetName val="WEOQ6"/>
      <sheetName val="WEOQ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t="str">
            <v>Table . Costa Rica: Indicators of External Vulnerability, 1999-2005</v>
          </cell>
        </row>
        <row r="4">
          <cell r="N4" t="str">
            <v>Prel.</v>
          </cell>
        </row>
        <row r="5">
          <cell r="I5">
            <v>1998</v>
          </cell>
          <cell r="J5">
            <v>1999</v>
          </cell>
          <cell r="K5">
            <v>2000</v>
          </cell>
          <cell r="L5">
            <v>2001</v>
          </cell>
          <cell r="M5">
            <v>2002</v>
          </cell>
          <cell r="N5">
            <v>2003</v>
          </cell>
        </row>
        <row r="8">
          <cell r="A8" t="str">
            <v>Merchandise exports (12-month percent change) 1/</v>
          </cell>
          <cell r="I8">
            <v>8.8517995194042243</v>
          </cell>
          <cell r="J8">
            <v>-14.798936196270285</v>
          </cell>
          <cell r="K8">
            <v>-6.8324274494161674</v>
          </cell>
          <cell r="L8">
            <v>-7.4931365735849909</v>
          </cell>
          <cell r="M8">
            <v>-1.1704131723256683</v>
          </cell>
          <cell r="N8">
            <v>8.9711987387889103</v>
          </cell>
        </row>
        <row r="9">
          <cell r="A9" t="str">
            <v>Merchandise imports (12-month percent change) 1/</v>
          </cell>
          <cell r="I9">
            <v>17.326052129656922</v>
          </cell>
          <cell r="J9">
            <v>-5.8381677973176398</v>
          </cell>
          <cell r="K9">
            <v>2.5575678655280099</v>
          </cell>
          <cell r="L9">
            <v>-1.1231718243548072</v>
          </cell>
          <cell r="M9">
            <v>12.80925373836368</v>
          </cell>
          <cell r="N9">
            <v>10.817356686011582</v>
          </cell>
        </row>
        <row r="10">
          <cell r="A10" t="str">
            <v>Terms of trade (percentage change)</v>
          </cell>
          <cell r="I10">
            <v>-8.6133049807690654E-2</v>
          </cell>
          <cell r="J10">
            <v>-5.5607397929198665</v>
          </cell>
          <cell r="K10">
            <v>-2.74143476283496</v>
          </cell>
          <cell r="L10">
            <v>-3.6486479425184237</v>
          </cell>
          <cell r="M10">
            <v>0.73747031991804324</v>
          </cell>
          <cell r="N10">
            <v>0.38037615910853084</v>
          </cell>
        </row>
        <row r="11">
          <cell r="A11" t="str">
            <v>Current account balance (in percent of GDP)</v>
          </cell>
          <cell r="I11">
            <v>-3.6885024402538367</v>
          </cell>
          <cell r="J11">
            <v>-4.3166233857148608</v>
          </cell>
          <cell r="K11">
            <v>-4.4332812098773404</v>
          </cell>
          <cell r="L11">
            <v>-4.5014899959817711</v>
          </cell>
          <cell r="M11">
            <v>-5.7055526880555636</v>
          </cell>
          <cell r="N11">
            <v>-5.3650580950722979</v>
          </cell>
        </row>
        <row r="12">
          <cell r="A12" t="str">
            <v>Central bank net international reserves (in US$ millions) 2/</v>
          </cell>
          <cell r="I12">
            <v>759.4</v>
          </cell>
          <cell r="J12">
            <v>1240.4127900000001</v>
          </cell>
          <cell r="K12">
            <v>1085.8</v>
          </cell>
          <cell r="L12">
            <v>1097.9000000000001</v>
          </cell>
          <cell r="M12">
            <v>1260.89526</v>
          </cell>
          <cell r="N12">
            <v>1602.1590989999997</v>
          </cell>
        </row>
        <row r="13">
          <cell r="A13" t="str">
            <v xml:space="preserve">   In months of next year's imports of goods </v>
          </cell>
          <cell r="I13">
            <v>1.5197760376414515</v>
          </cell>
          <cell r="J13">
            <v>2.4710167707359911</v>
          </cell>
          <cell r="K13">
            <v>2.2686738999278293</v>
          </cell>
          <cell r="L13">
            <v>2.0161632941347181</v>
          </cell>
          <cell r="M13">
            <v>2.0883222054250674</v>
          </cell>
          <cell r="N13">
            <v>2.5822323413396036</v>
          </cell>
        </row>
        <row r="14">
          <cell r="A14" t="str">
            <v>In percent of base money</v>
          </cell>
          <cell r="I14">
            <v>74.603785430107862</v>
          </cell>
        </row>
        <row r="15">
          <cell r="A15" t="str">
            <v xml:space="preserve">In percent of base money and US$ deposits of </v>
          </cell>
          <cell r="I15">
            <v>0</v>
          </cell>
        </row>
        <row r="16">
          <cell r="A16" t="str">
            <v xml:space="preserve">commercial banks at the central bank </v>
          </cell>
          <cell r="I16">
            <v>38.623304969407187</v>
          </cell>
        </row>
        <row r="17">
          <cell r="A17" t="str">
            <v>In percent of  M2</v>
          </cell>
          <cell r="I17">
            <v>13.865939341153865</v>
          </cell>
        </row>
        <row r="18">
          <cell r="A18" t="str">
            <v>NIR excluding commercial bank liabilities (in US$ millions) 3/</v>
          </cell>
          <cell r="I18">
            <v>-230.11949985333536</v>
          </cell>
        </row>
        <row r="19">
          <cell r="A19" t="str">
            <v>Commercial banks foreign assets (in US$ millions)</v>
          </cell>
          <cell r="I19">
            <v>245.19871804178433</v>
          </cell>
        </row>
        <row r="20">
          <cell r="A20" t="str">
            <v>Commercial banks foreign liabilities (in US$ millions)</v>
          </cell>
          <cell r="I20">
            <v>125.45868066556116</v>
          </cell>
        </row>
        <row r="21">
          <cell r="A21" t="str">
            <v>Public sector external debt (in percent of GDP)</v>
          </cell>
          <cell r="I21">
            <v>20.400446477041413</v>
          </cell>
          <cell r="J21">
            <v>19.370042315361115</v>
          </cell>
          <cell r="K21">
            <v>19.762093809691656</v>
          </cell>
          <cell r="L21">
            <v>19.813428903990417</v>
          </cell>
          <cell r="M21">
            <v>19.84638162192234</v>
          </cell>
          <cell r="N21">
            <v>21.496554156526678</v>
          </cell>
        </row>
        <row r="22">
          <cell r="A22" t="str">
            <v>NFPS external interest payments to merchandise exports 4/</v>
          </cell>
          <cell r="I22">
            <v>4.028411417284496</v>
          </cell>
          <cell r="J22">
            <v>4.9926622467272059</v>
          </cell>
          <cell r="K22">
            <v>5.9690198848101605</v>
          </cell>
          <cell r="L22">
            <v>7.953730759401072</v>
          </cell>
          <cell r="M22">
            <v>8.1318468974286926</v>
          </cell>
          <cell r="N22">
            <v>8.1658637390806348</v>
          </cell>
        </row>
        <row r="23">
          <cell r="A23" t="str">
            <v>NFPS external amortization payments to merchandise exports 4/</v>
          </cell>
          <cell r="I23">
            <v>5.2197099986752544</v>
          </cell>
          <cell r="J23">
            <v>8.0037666592381722</v>
          </cell>
          <cell r="K23">
            <v>7.5805199728959662</v>
          </cell>
          <cell r="L23">
            <v>11.370965512829441</v>
          </cell>
          <cell r="M23">
            <v>9.1598557798777858</v>
          </cell>
          <cell r="N23">
            <v>16.826867371174611</v>
          </cell>
        </row>
        <row r="24">
          <cell r="A24" t="str">
            <v>REER appreciation (+) (end of period)</v>
          </cell>
          <cell r="I24" t="e">
            <v>#REF!</v>
          </cell>
        </row>
        <row r="27">
          <cell r="A27" t="str">
            <v>Sources: Central Bank of Costa Rica; and Fund staff estimates.</v>
          </cell>
        </row>
        <row r="29">
          <cell r="A29" t="str">
            <v>1/ In value terms, excludes maquila raw materials.</v>
          </cell>
        </row>
        <row r="30">
          <cell r="A30" t="str">
            <v>2/ Excludes bilateral claims under negotiation with neighboring countries, which in the official statistics are classified as part</v>
          </cell>
        </row>
        <row r="31">
          <cell r="A31" t="str">
            <v>of international reserves.</v>
          </cell>
        </row>
        <row r="32">
          <cell r="A32" t="str">
            <v xml:space="preserve">   3/  Excludes reserves purchased through the issue of central bank bonds to commercial banks and commercial bank dollar </v>
          </cell>
        </row>
        <row r="33">
          <cell r="A33" t="str">
            <v>deposits at central bank.</v>
          </cell>
        </row>
        <row r="34">
          <cell r="A34" t="str">
            <v>4/ Excludes merchandise exports associated to the free trade zone.</v>
          </cell>
        </row>
      </sheetData>
      <sheetData sheetId="11" refreshError="1"/>
      <sheetData sheetId="12" refreshError="1"/>
      <sheetData sheetId="13" refreshError="1"/>
      <sheetData sheetId="14" refreshError="1"/>
      <sheetData sheetId="15" refreshError="1"/>
      <sheetData sheetId="16" refreshError="1">
        <row r="1">
          <cell r="DZ1" t="str">
            <v/>
          </cell>
        </row>
        <row r="11">
          <cell r="E11">
            <v>1218.9999438819559</v>
          </cell>
          <cell r="F11">
            <v>1205.999873450691</v>
          </cell>
          <cell r="G11">
            <v>1124.9999515653699</v>
          </cell>
          <cell r="H11">
            <v>1136.999915709453</v>
          </cell>
          <cell r="I11">
            <v>1281.9999791558</v>
          </cell>
          <cell r="J11">
            <v>1224.9999706574811</v>
          </cell>
          <cell r="K11">
            <v>1414.999989051101</v>
          </cell>
          <cell r="L11">
            <v>1463.999892309974</v>
          </cell>
          <cell r="M11">
            <v>1780.8999219376692</v>
          </cell>
          <cell r="N11">
            <v>1852.5873784783819</v>
          </cell>
          <cell r="O11">
            <v>2085.300172696268</v>
          </cell>
          <cell r="P11">
            <v>2660.391536220638</v>
          </cell>
          <cell r="Q11">
            <v>3033.7885026737649</v>
          </cell>
          <cell r="R11">
            <v>3444.2290080472162</v>
          </cell>
          <cell r="S11">
            <v>3748.0275132963911</v>
          </cell>
          <cell r="T11">
            <v>4393.5130010000003</v>
          </cell>
          <cell r="U11">
            <v>4667.7700009999999</v>
          </cell>
          <cell r="V11">
            <v>5243.092001</v>
          </cell>
          <cell r="W11">
            <v>6711.7000009999992</v>
          </cell>
          <cell r="X11">
            <v>8184.0160346997372</v>
          </cell>
          <cell r="Y11">
            <v>7748.1552510000001</v>
          </cell>
          <cell r="Z11">
            <v>6819.5722120000009</v>
          </cell>
          <cell r="AA11">
            <v>7195.638178384952</v>
          </cell>
          <cell r="AB11">
            <v>8192.4175415687423</v>
          </cell>
          <cell r="AC11">
            <v>8863.3011486083851</v>
          </cell>
          <cell r="AD11">
            <v>8790.5049540446398</v>
          </cell>
          <cell r="AE11">
            <v>9080.7600945002305</v>
          </cell>
          <cell r="AF11">
            <v>9958.822828255481</v>
          </cell>
          <cell r="AG11">
            <v>10741.639754322241</v>
          </cell>
          <cell r="AH11">
            <v>11587.00436297926</v>
          </cell>
        </row>
        <row r="13">
          <cell r="E13">
            <v>-0.64595820004287297</v>
          </cell>
          <cell r="F13">
            <v>3.0511011780123498</v>
          </cell>
          <cell r="G13">
            <v>-4.2285160579888297</v>
          </cell>
          <cell r="H13">
            <v>3.2811602215604601</v>
          </cell>
          <cell r="I13">
            <v>9.4129570013599295</v>
          </cell>
          <cell r="J13">
            <v>-6.2394740913662403</v>
          </cell>
          <cell r="K13">
            <v>3.6279337795481101</v>
          </cell>
          <cell r="L13">
            <v>20.9485884617308</v>
          </cell>
          <cell r="M13">
            <v>7.3700783803026102</v>
          </cell>
          <cell r="N13">
            <v>16.073568676125401</v>
          </cell>
          <cell r="O13">
            <v>7.9009760121157901</v>
          </cell>
          <cell r="P13">
            <v>10.058592006052899</v>
          </cell>
          <cell r="Q13">
            <v>22.557603064748722</v>
          </cell>
          <cell r="R13">
            <v>11.638487241739526</v>
          </cell>
          <cell r="S13">
            <v>6.5871814447741261</v>
          </cell>
          <cell r="T13">
            <v>14.8990903514443</v>
          </cell>
          <cell r="U13">
            <v>3.8281979903926899</v>
          </cell>
          <cell r="V13">
            <v>10.411470659861145</v>
          </cell>
          <cell r="W13">
            <v>30.200766880533681</v>
          </cell>
          <cell r="X13">
            <v>17.75490628746428</v>
          </cell>
          <cell r="Y13">
            <v>-7.7598224193700656</v>
          </cell>
          <cell r="Z13">
            <v>-14.024278283571501</v>
          </cell>
          <cell r="AA13">
            <v>2.8738886335126335</v>
          </cell>
          <cell r="AB13">
            <v>12.789083509103438</v>
          </cell>
          <cell r="AC13">
            <v>1.2342225338983326</v>
          </cell>
          <cell r="AD13">
            <v>4.6257071921738557</v>
          </cell>
          <cell r="AE13">
            <v>3.9368114256429498</v>
          </cell>
          <cell r="AF13">
            <v>4.3138249450916266</v>
          </cell>
          <cell r="AG13">
            <v>4.6873017402706996</v>
          </cell>
          <cell r="AH13">
            <v>4.2551145387475398</v>
          </cell>
        </row>
        <row r="14">
          <cell r="E14">
            <v>99.354041799957116</v>
          </cell>
          <cell r="F14">
            <v>102.38543413971848</v>
          </cell>
          <cell r="G14">
            <v>98.056049616078909</v>
          </cell>
          <cell r="H14">
            <v>101.27342571091528</v>
          </cell>
          <cell r="I14">
            <v>110.80624972688793</v>
          </cell>
          <cell r="J14">
            <v>103.89252248356416</v>
          </cell>
          <cell r="K14">
            <v>107.66167440117</v>
          </cell>
          <cell r="L14">
            <v>130.21527550247967</v>
          </cell>
          <cell r="M14">
            <v>139.81224337013941</v>
          </cell>
          <cell r="N14">
            <v>162.28506032587038</v>
          </cell>
          <cell r="O14">
            <v>175.10716401346505</v>
          </cell>
          <cell r="P14">
            <v>192.72047921494942</v>
          </cell>
          <cell r="Q14">
            <v>234.89735173283489</v>
          </cell>
          <cell r="R14">
            <v>260.28865407581225</v>
          </cell>
          <cell r="S14">
            <v>276.7226008873028</v>
          </cell>
          <cell r="T14">
            <v>319.09121782496987</v>
          </cell>
          <cell r="U14">
            <v>331.93044436112962</v>
          </cell>
          <cell r="V14">
            <v>365.94316081945942</v>
          </cell>
          <cell r="W14">
            <v>460.12238690646979</v>
          </cell>
          <cell r="X14">
            <v>551.49175156719241</v>
          </cell>
          <cell r="Y14">
            <v>520.10107651205351</v>
          </cell>
          <cell r="Z14">
            <v>445.92580111361946</v>
          </cell>
          <cell r="AA14">
            <v>459.70535973433419</v>
          </cell>
          <cell r="AB14">
            <v>479.07018021738901</v>
          </cell>
          <cell r="AC14">
            <v>501.09166922051264</v>
          </cell>
          <cell r="AD14">
            <v>501.62182403790968</v>
          </cell>
          <cell r="AE14">
            <v>540.36211031277855</v>
          </cell>
          <cell r="AF14">
            <v>580.58607725072261</v>
          </cell>
          <cell r="AG14">
            <v>613.38397972882706</v>
          </cell>
          <cell r="AH14">
            <v>648.03466639536771</v>
          </cell>
        </row>
        <row r="15">
          <cell r="E15">
            <v>12.269253689108419</v>
          </cell>
          <cell r="F15">
            <v>11.779018017396346</v>
          </cell>
          <cell r="G15">
            <v>11.473029516996737</v>
          </cell>
          <cell r="H15">
            <v>11.22703125452689</v>
          </cell>
          <cell r="I15">
            <v>11.569744326837492</v>
          </cell>
          <cell r="J15">
            <v>11.791031167341966</v>
          </cell>
          <cell r="K15">
            <v>13.143024171986346</v>
          </cell>
          <cell r="L15">
            <v>11.242919747016128</v>
          </cell>
          <cell r="M15">
            <v>12.737796626457875</v>
          </cell>
          <cell r="N15">
            <v>11.415637242013306</v>
          </cell>
          <cell r="O15">
            <v>11.908708501132008</v>
          </cell>
          <cell r="P15">
            <v>13.804404944704341</v>
          </cell>
          <cell r="Q15">
            <v>12.915379761813167</v>
          </cell>
          <cell r="R15">
            <v>13.232343992389474</v>
          </cell>
          <cell r="S15">
            <v>13.544349110909092</v>
          </cell>
          <cell r="T15">
            <v>13.768830840747114</v>
          </cell>
          <cell r="U15">
            <v>14.062494357768571</v>
          </cell>
          <cell r="V15">
            <v>14.327613034928984</v>
          </cell>
          <cell r="W15">
            <v>14.586771241722483</v>
          </cell>
          <cell r="X15">
            <v>14.839779582274707</v>
          </cell>
          <cell r="Y15">
            <v>14.897402833621003</v>
          </cell>
          <cell r="Z15">
            <v>15.29306488875357</v>
          </cell>
          <cell r="AA15">
            <v>15.652717607084989</v>
          </cell>
          <cell r="AB15">
            <v>17.100662658342138</v>
          </cell>
          <cell r="AC15">
            <v>17.687983443021402</v>
          </cell>
          <cell r="AD15">
            <v>17.524167675328865</v>
          </cell>
          <cell r="AE15">
            <v>16.804953421408474</v>
          </cell>
          <cell r="AF15">
            <v>17.153051405252391</v>
          </cell>
          <cell r="AG15">
            <v>17.51209700499685</v>
          </cell>
          <cell r="AH15">
            <v>17.880223024843545</v>
          </cell>
        </row>
        <row r="16">
          <cell r="F16">
            <v>-3.9956437786208734</v>
          </cell>
          <cell r="G16">
            <v>-2.5977420184577031</v>
          </cell>
          <cell r="H16">
            <v>-2.1441438994418425</v>
          </cell>
          <cell r="I16">
            <v>3.0525707512608564</v>
          </cell>
          <cell r="J16">
            <v>1.9126337994450773</v>
          </cell>
          <cell r="K16">
            <v>11.466283020174206</v>
          </cell>
          <cell r="L16">
            <v>-14.457132545036242</v>
          </cell>
          <cell r="M16">
            <v>13.296162501190913</v>
          </cell>
          <cell r="N16">
            <v>-10.37981232718295</v>
          </cell>
          <cell r="O16">
            <v>4.3192618043610986</v>
          </cell>
          <cell r="P16">
            <v>15.918572894719297</v>
          </cell>
          <cell r="Q16">
            <v>-6.4401557796391851</v>
          </cell>
          <cell r="R16">
            <v>2.4541611351876247</v>
          </cell>
          <cell r="S16">
            <v>2.3578975780788878</v>
          </cell>
          <cell r="T16">
            <v>1.6573829277422889</v>
          </cell>
          <cell r="U16">
            <v>2.1328137473546249</v>
          </cell>
          <cell r="V16">
            <v>1.8852891273442658</v>
          </cell>
          <cell r="W16">
            <v>1.808802388518608</v>
          </cell>
          <cell r="X16">
            <v>1.7345054389318615</v>
          </cell>
          <cell r="Y16">
            <v>0.38830260939403988</v>
          </cell>
          <cell r="Z16">
            <v>2.655912977258164</v>
          </cell>
          <cell r="AA16">
            <v>2.3517373459646222</v>
          </cell>
          <cell r="AB16">
            <v>9.2504387263829209</v>
          </cell>
          <cell r="AC16">
            <v>3.4344913785709501</v>
          </cell>
          <cell r="AD16">
            <v>-0.92614157074625558</v>
          </cell>
          <cell r="AE16">
            <v>-4.1041278949466289</v>
          </cell>
          <cell r="AF16">
            <v>2.0713962150844383</v>
          </cell>
          <cell r="AG16">
            <v>2.0931828142814464</v>
          </cell>
          <cell r="AH16">
            <v>2.1021190422284382</v>
          </cell>
        </row>
        <row r="19">
          <cell r="E19">
            <v>1679.999922356845</v>
          </cell>
          <cell r="F19">
            <v>1333.999923055336</v>
          </cell>
          <cell r="G19">
            <v>1054.9999222404281</v>
          </cell>
          <cell r="H19">
            <v>1154.999911530218</v>
          </cell>
          <cell r="I19">
            <v>1264.9999206106131</v>
          </cell>
          <cell r="J19">
            <v>1291.9999889464038</v>
          </cell>
          <cell r="K19">
            <v>1362.0000082713491</v>
          </cell>
          <cell r="L19">
            <v>1582.999953905397</v>
          </cell>
          <cell r="M19">
            <v>1765.1999002379371</v>
          </cell>
          <cell r="N19">
            <v>2104.9039506178287</v>
          </cell>
          <cell r="O19">
            <v>2477.9999813048717</v>
          </cell>
          <cell r="P19">
            <v>2628.808414951237</v>
          </cell>
          <cell r="Q19">
            <v>3422.6496932276141</v>
          </cell>
          <cell r="R19">
            <v>4064.3089440374133</v>
          </cell>
          <cell r="S19">
            <v>4344.9097485465682</v>
          </cell>
          <cell r="T19">
            <v>4733.3853829099999</v>
          </cell>
          <cell r="U19">
            <v>5067.5248394099999</v>
          </cell>
          <cell r="V19">
            <v>5720.3978989999996</v>
          </cell>
          <cell r="W19">
            <v>7090.3008546300007</v>
          </cell>
          <cell r="X19">
            <v>7170.1839653002617</v>
          </cell>
          <cell r="Y19">
            <v>7294.7792989999998</v>
          </cell>
          <cell r="Z19">
            <v>6909.8</v>
          </cell>
          <cell r="AA19">
            <v>7767.1669704796577</v>
          </cell>
          <cell r="AB19">
            <v>8514.5374339092687</v>
          </cell>
          <cell r="AC19">
            <v>9090.5711121467757</v>
          </cell>
          <cell r="AD19">
            <v>9209.00554638842</v>
          </cell>
          <cell r="AE19">
            <v>9655.6210952390193</v>
          </cell>
          <cell r="AF19">
            <v>10489.316837320421</v>
          </cell>
          <cell r="AG19">
            <v>11242.64751547931</v>
          </cell>
          <cell r="AH19">
            <v>12050.54572843837</v>
          </cell>
        </row>
        <row r="21">
          <cell r="E21">
            <v>-2.73425081608395</v>
          </cell>
          <cell r="F21">
            <v>-26.078507858732699</v>
          </cell>
          <cell r="G21">
            <v>-20.240493851686701</v>
          </cell>
          <cell r="H21">
            <v>13.450939400378299</v>
          </cell>
          <cell r="I21">
            <v>9.3066251498209205</v>
          </cell>
          <cell r="J21">
            <v>6.5619096117010196</v>
          </cell>
          <cell r="K21">
            <v>17.585473522394601</v>
          </cell>
          <cell r="L21">
            <v>17.582132421929099</v>
          </cell>
          <cell r="M21">
            <v>-0.90771984676336603</v>
          </cell>
          <cell r="N21">
            <v>16.913176709406098</v>
          </cell>
          <cell r="O21">
            <v>10.439287416039299</v>
          </cell>
          <cell r="P21">
            <v>-4.3942487977037503</v>
          </cell>
          <cell r="Q21">
            <v>30.177979212919006</v>
          </cell>
          <cell r="R21">
            <v>16.509001112618794</v>
          </cell>
          <cell r="S21">
            <v>4.412780854251297</v>
          </cell>
          <cell r="T21">
            <v>6.7684672080968733</v>
          </cell>
          <cell r="U21">
            <v>5.1291824435627964</v>
          </cell>
          <cell r="V21">
            <v>11.015774104096154</v>
          </cell>
          <cell r="W21">
            <v>21.848061304739552</v>
          </cell>
          <cell r="X21">
            <v>0.46645347095308765</v>
          </cell>
          <cell r="Y21">
            <v>-0.60409272389365665</v>
          </cell>
          <cell r="Z21">
            <v>-7.4500158831807495</v>
          </cell>
          <cell r="AA21">
            <v>10.007306201066669</v>
          </cell>
          <cell r="AB21">
            <v>7.9421361482571395</v>
          </cell>
          <cell r="AC21">
            <v>1.8975457002701202</v>
          </cell>
          <cell r="AD21">
            <v>2.5418235493511743</v>
          </cell>
          <cell r="AE21">
            <v>3.6624252353069098</v>
          </cell>
          <cell r="AF21">
            <v>3.7681893251723109</v>
          </cell>
          <cell r="AG21">
            <v>4.0248626193446491</v>
          </cell>
          <cell r="AH21">
            <v>2.4693902650608113</v>
          </cell>
        </row>
        <row r="22">
          <cell r="E22">
            <v>97.265749183916057</v>
          </cell>
          <cell r="F22">
            <v>71.900293139133268</v>
          </cell>
          <cell r="G22">
            <v>57.347318726962285</v>
          </cell>
          <cell r="H22">
            <v>65.061071816667777</v>
          </cell>
          <cell r="I22">
            <v>71.116061889100834</v>
          </cell>
          <cell r="J22">
            <v>75.782633589664997</v>
          </cell>
          <cell r="K22">
            <v>89.109368554148858</v>
          </cell>
          <cell r="L22">
            <v>104.77669573368415</v>
          </cell>
          <cell r="M22">
            <v>103.82561687172664</v>
          </cell>
          <cell r="N22">
            <v>121.38582692287271</v>
          </cell>
          <cell r="O22">
            <v>134.05764227768739</v>
          </cell>
          <cell r="P22">
            <v>128.16681594367012</v>
          </cell>
          <cell r="Q22">
            <v>160.80121166176613</v>
          </cell>
          <cell r="R22">
            <v>186.30605722151111</v>
          </cell>
          <cell r="S22">
            <v>195.06555795808251</v>
          </cell>
          <cell r="T22">
            <v>208.08847081275283</v>
          </cell>
          <cell r="U22">
            <v>218.86500049613755</v>
          </cell>
          <cell r="V22">
            <v>241.7069241143688</v>
          </cell>
          <cell r="W22">
            <v>294.68027480117553</v>
          </cell>
          <cell r="X22">
            <v>296.8601356453409</v>
          </cell>
          <cell r="Y22">
            <v>294.25802306941182</v>
          </cell>
          <cell r="Z22">
            <v>271.92550902085094</v>
          </cell>
          <cell r="AA22">
            <v>304.29842627640312</v>
          </cell>
          <cell r="AB22">
            <v>293.78230751810946</v>
          </cell>
          <cell r="AC22">
            <v>308.21225733463939</v>
          </cell>
          <cell r="AD22">
            <v>322.26159815115631</v>
          </cell>
          <cell r="AE22">
            <v>344.3579065937177</v>
          </cell>
          <cell r="AF22">
            <v>365.16009197604296</v>
          </cell>
          <cell r="AG22">
            <v>382.51756362928819</v>
          </cell>
          <cell r="AH22">
            <v>400.7001037715595</v>
          </cell>
        </row>
        <row r="23">
          <cell r="E23">
            <v>17.272266305996347</v>
          </cell>
          <cell r="F23">
            <v>18.553469879099534</v>
          </cell>
          <cell r="G23">
            <v>18.396673910133686</v>
          </cell>
          <cell r="H23">
            <v>17.752549708754145</v>
          </cell>
          <cell r="I23">
            <v>17.787822989738491</v>
          </cell>
          <cell r="J23">
            <v>17.048760748301611</v>
          </cell>
          <cell r="K23">
            <v>15.28458825789688</v>
          </cell>
          <cell r="L23">
            <v>15.108321013758463</v>
          </cell>
          <cell r="M23">
            <v>17.001583553496122</v>
          </cell>
          <cell r="N23">
            <v>17.340607251909752</v>
          </cell>
          <cell r="O23">
            <v>18.484585728965271</v>
          </cell>
          <cell r="P23">
            <v>20.510835005112476</v>
          </cell>
          <cell r="Q23">
            <v>21.284974521379311</v>
          </cell>
          <cell r="R23">
            <v>21.815227076622087</v>
          </cell>
          <cell r="S23">
            <v>22.274100020672243</v>
          </cell>
          <cell r="T23">
            <v>22.746985281896315</v>
          </cell>
          <cell r="U23">
            <v>23.153655577285551</v>
          </cell>
          <cell r="V23">
            <v>23.666669541884001</v>
          </cell>
          <cell r="W23">
            <v>24.060995801004719</v>
          </cell>
          <cell r="X23">
            <v>24.153407966728437</v>
          </cell>
          <cell r="Y23">
            <v>24.790417684819598</v>
          </cell>
          <cell r="Z23">
            <v>25.41063552618068</v>
          </cell>
          <cell r="AA23">
            <v>25.524834503825247</v>
          </cell>
          <cell r="AB23">
            <v>28.98247176911568</v>
          </cell>
          <cell r="AC23">
            <v>29.494515210914372</v>
          </cell>
          <cell r="AD23">
            <v>28.576180342992497</v>
          </cell>
          <cell r="AE23">
            <v>28.039492952984432</v>
          </cell>
          <cell r="AF23">
            <v>28.725255217672014</v>
          </cell>
          <cell r="AG23">
            <v>29.391192939770399</v>
          </cell>
          <cell r="AH23">
            <v>30.073727495983949</v>
          </cell>
        </row>
        <row r="24">
          <cell r="F24">
            <v>7.4176923306144058</v>
          </cell>
          <cell r="G24">
            <v>-0.84510320704203612</v>
          </cell>
          <cell r="H24">
            <v>-3.5013079240629943</v>
          </cell>
          <cell r="I24">
            <v>0.19869416823516836</v>
          </cell>
          <cell r="J24">
            <v>-4.1548774229608103</v>
          </cell>
          <cell r="K24">
            <v>-10.34780484312021</v>
          </cell>
          <cell r="L24">
            <v>-1.1532351487934145</v>
          </cell>
          <cell r="M24">
            <v>12.531257033879209</v>
          </cell>
          <cell r="N24">
            <v>1.994071301340133</v>
          </cell>
          <cell r="O24">
            <v>6.5971073586799074</v>
          </cell>
          <cell r="P24">
            <v>10.96183223068981</v>
          </cell>
          <cell r="Q24">
            <v>3.7742954690722015</v>
          </cell>
          <cell r="R24">
            <v>2.4912059664914121</v>
          </cell>
          <cell r="S24">
            <v>2.1034525216650155</v>
          </cell>
          <cell r="T24">
            <v>2.1230274659141948</v>
          </cell>
          <cell r="U24">
            <v>1.7877986482582071</v>
          </cell>
          <cell r="V24">
            <v>2.2156931672669975</v>
          </cell>
          <cell r="W24">
            <v>1.6661670896399652</v>
          </cell>
          <cell r="X24">
            <v>0.38407456818500207</v>
          </cell>
          <cell r="Y24">
            <v>2.637349226116025</v>
          </cell>
          <cell r="Z24">
            <v>2.5018450646794621</v>
          </cell>
          <cell r="AA24">
            <v>0.44941409484586325</v>
          </cell>
          <cell r="AB24">
            <v>13.546169181908926</v>
          </cell>
          <cell r="AC24">
            <v>1.7667348936895664</v>
          </cell>
          <cell r="AD24">
            <v>-3.1135784445171963</v>
          </cell>
          <cell r="AE24">
            <v>-1.878093515530576</v>
          </cell>
          <cell r="AF24">
            <v>2.4456965090671612</v>
          </cell>
          <cell r="AG24">
            <v>2.3182953379959854</v>
          </cell>
          <cell r="AH24">
            <v>2.3222366439016735</v>
          </cell>
        </row>
        <row r="30">
          <cell r="E30">
            <v>1001.00000418509</v>
          </cell>
          <cell r="F30">
            <v>1008.99990080829</v>
          </cell>
          <cell r="G30">
            <v>869.99996844559098</v>
          </cell>
          <cell r="H30">
            <v>852.99994970272496</v>
          </cell>
          <cell r="I30">
            <v>997.99998334675104</v>
          </cell>
          <cell r="J30">
            <v>938.99997089031206</v>
          </cell>
          <cell r="K30">
            <v>1084.00006413898</v>
          </cell>
          <cell r="L30">
            <v>1124.9999515653701</v>
          </cell>
          <cell r="M30">
            <v>1180.7000126252001</v>
          </cell>
          <cell r="N30">
            <v>1331.6999091319899</v>
          </cell>
          <cell r="O30">
            <v>1346.0001356179901</v>
          </cell>
          <cell r="P30">
            <v>1881.0000010000001</v>
          </cell>
          <cell r="Q30">
            <v>2360.59362790769</v>
          </cell>
          <cell r="R30">
            <v>2591.5820010000002</v>
          </cell>
          <cell r="S30">
            <v>2813.1980010000002</v>
          </cell>
          <cell r="T30">
            <v>3419.7480009999999</v>
          </cell>
          <cell r="U30">
            <v>3598.170001</v>
          </cell>
          <cell r="V30">
            <v>4094.8920010000006</v>
          </cell>
          <cell r="W30">
            <v>5342.8000009999996</v>
          </cell>
          <cell r="X30">
            <v>6576</v>
          </cell>
          <cell r="Y30">
            <v>5813.355251</v>
          </cell>
          <cell r="Z30">
            <v>4923.1722120000004</v>
          </cell>
          <cell r="AA30">
            <v>5259</v>
          </cell>
          <cell r="AB30">
            <v>6141</v>
          </cell>
          <cell r="AC30">
            <v>6636</v>
          </cell>
          <cell r="AD30">
            <v>6438</v>
          </cell>
          <cell r="AE30">
            <v>6579.95893842235</v>
          </cell>
          <cell r="AF30">
            <v>7259.8396968726902</v>
          </cell>
          <cell r="AG30">
            <v>7875.1696415220404</v>
          </cell>
          <cell r="AH30">
            <v>8542.6537758825507</v>
          </cell>
        </row>
        <row r="32">
          <cell r="E32">
            <v>-5.8620829229255804</v>
          </cell>
          <cell r="F32">
            <v>10.195160546765599</v>
          </cell>
          <cell r="G32">
            <v>-11.03197254555</v>
          </cell>
          <cell r="H32">
            <v>2.0139923362737102</v>
          </cell>
          <cell r="I32">
            <v>14.307257043159</v>
          </cell>
          <cell r="J32">
            <v>-7.3767338534254501</v>
          </cell>
          <cell r="K32">
            <v>-4.7755392930228799</v>
          </cell>
          <cell r="L32">
            <v>14.844358688751401</v>
          </cell>
          <cell r="M32">
            <v>1.3024295529151699</v>
          </cell>
          <cell r="N32">
            <v>16.3773865253753</v>
          </cell>
          <cell r="O32">
            <v>2.04279662219444</v>
          </cell>
          <cell r="P32">
            <v>9.3762373116539095</v>
          </cell>
          <cell r="Q32">
            <v>22.220208335686188</v>
          </cell>
          <cell r="R32">
            <v>8.1499915084267904</v>
          </cell>
          <cell r="S32">
            <v>6.334457449136921</v>
          </cell>
          <cell r="T32">
            <v>19.15056345537247</v>
          </cell>
          <cell r="U32">
            <v>2.7005635043995779</v>
          </cell>
          <cell r="V32">
            <v>11.848579896954403</v>
          </cell>
          <cell r="W32">
            <v>34.276977716649746</v>
          </cell>
          <cell r="X32">
            <v>17.050604495037614</v>
          </cell>
          <cell r="Y32">
            <v>-13.487980619835616</v>
          </cell>
          <cell r="Z32">
            <v>-17.275767247627826</v>
          </cell>
          <cell r="AA32">
            <v>5.2123696204900538</v>
          </cell>
          <cell r="AB32">
            <v>14.715802441417015</v>
          </cell>
          <cell r="AC32">
            <v>-0.23170583853479032</v>
          </cell>
          <cell r="AD32">
            <v>4.8171237192956795</v>
          </cell>
          <cell r="AE32">
            <v>4.4607527034625338</v>
          </cell>
          <cell r="AF32">
            <v>5.0149096417882344</v>
          </cell>
          <cell r="AG32">
            <v>5.1083763767054702</v>
          </cell>
          <cell r="AH32">
            <v>4.3843214256537033</v>
          </cell>
        </row>
        <row r="33">
          <cell r="E33">
            <v>94.13791707707442</v>
          </cell>
          <cell r="F33">
            <v>103.73542885846324</v>
          </cell>
          <cell r="G33">
            <v>92.291364826789007</v>
          </cell>
          <cell r="H33">
            <v>94.150105841442951</v>
          </cell>
          <cell r="I33">
            <v>107.62040349058445</v>
          </cell>
          <cell r="J33">
            <v>99.681532753101436</v>
          </cell>
          <cell r="K33">
            <v>94.921201988589615</v>
          </cell>
          <cell r="L33">
            <v>109.01164568345008</v>
          </cell>
          <cell r="M33">
            <v>110.43144557295051</v>
          </cell>
          <cell r="N33">
            <v>128.51723025999206</v>
          </cell>
          <cell r="O33">
            <v>131.14257589868103</v>
          </cell>
          <cell r="P33">
            <v>143.4388150315572</v>
          </cell>
          <cell r="Q33">
            <v>173.67441151453025</v>
          </cell>
          <cell r="R33">
            <v>186.13946179468766</v>
          </cell>
          <cell r="S33">
            <v>197.32019262906138</v>
          </cell>
          <cell r="T33">
            <v>234.97233912676387</v>
          </cell>
          <cell r="U33">
            <v>241.95408206547782</v>
          </cell>
          <cell r="V33">
            <v>270.12410446363987</v>
          </cell>
          <cell r="W33">
            <v>345.71241443831866</v>
          </cell>
          <cell r="X33">
            <v>405.52066213614779</v>
          </cell>
          <cell r="Y33">
            <v>353.20849672058472</v>
          </cell>
          <cell r="Z33">
            <v>292.80984378136475</v>
          </cell>
          <cell r="AA33">
            <v>305.69347690774481</v>
          </cell>
          <cell r="AB33">
            <v>352.77027235153747</v>
          </cell>
          <cell r="AC33">
            <v>375.70034005438742</v>
          </cell>
          <cell r="AD33">
            <v>372.17105440915424</v>
          </cell>
          <cell r="AE33">
            <v>404.79841552052937</v>
          </cell>
          <cell r="AF33">
            <v>437.03975484473494</v>
          </cell>
          <cell r="AG33">
            <v>463.85762054919826</v>
          </cell>
          <cell r="AH33">
            <v>492.32109770587704</v>
          </cell>
        </row>
        <row r="35">
          <cell r="F35">
            <v>-8.526663087233544</v>
          </cell>
          <cell r="G35">
            <v>-3.0842967312244514</v>
          </cell>
          <cell r="H35">
            <v>-3.8896796989605855</v>
          </cell>
          <cell r="I35">
            <v>2.354684768107874</v>
          </cell>
          <cell r="J35">
            <v>1.5815776319355053</v>
          </cell>
          <cell r="K35">
            <v>21.231424240878759</v>
          </cell>
          <cell r="L35">
            <v>-9.6322375787438901</v>
          </cell>
          <cell r="M35">
            <v>3.6017765960795152</v>
          </cell>
          <cell r="N35">
            <v>-3.0833928085314266</v>
          </cell>
          <cell r="O35">
            <v>-0.94956640725089236</v>
          </cell>
          <cell r="P35">
            <v>27.767592972223131</v>
          </cell>
          <cell r="Q35">
            <v>3.6485635201600206</v>
          </cell>
          <cell r="R35">
            <v>2.4332864284671314</v>
          </cell>
          <cell r="S35">
            <v>2.4005450333643643</v>
          </cell>
          <cell r="T35">
            <v>2.0818647307162155</v>
          </cell>
          <cell r="U35">
            <v>2.1812851827553028</v>
          </cell>
          <cell r="V35">
            <v>1.9366570912099095</v>
          </cell>
          <cell r="W35">
            <v>1.9470891607258698</v>
          </cell>
          <cell r="X35">
            <v>4.9288408019688559</v>
          </cell>
          <cell r="Y35">
            <v>1.495527189292162</v>
          </cell>
          <cell r="Z35">
            <v>2.1559422177110954</v>
          </cell>
          <cell r="AA35">
            <v>2.3193198393662038</v>
          </cell>
          <cell r="AB35">
            <v>1.1882576143299044</v>
          </cell>
          <cell r="AC35">
            <v>1.4653300031421099</v>
          </cell>
          <cell r="AD35">
            <v>-2.0637230500871095</v>
          </cell>
          <cell r="AE35">
            <v>-6.0328618877183828</v>
          </cell>
          <cell r="AF35">
            <v>2.1931267325278574</v>
          </cell>
          <cell r="AG35">
            <v>2.2042870197783402</v>
          </cell>
          <cell r="AH35">
            <v>2.2042873512786083</v>
          </cell>
        </row>
        <row r="38">
          <cell r="E38">
            <v>1374.99992969101</v>
          </cell>
          <cell r="F38">
            <v>1090.9999040796399</v>
          </cell>
          <cell r="G38">
            <v>804.99990431246897</v>
          </cell>
          <cell r="H38">
            <v>893.99994633839799</v>
          </cell>
          <cell r="I38">
            <v>991.99993167006801</v>
          </cell>
          <cell r="J38">
            <v>999.99994750255098</v>
          </cell>
          <cell r="K38">
            <v>1046.9999958149101</v>
          </cell>
          <cell r="L38">
            <v>1237.9999714841099</v>
          </cell>
          <cell r="M38">
            <v>1420.19991781665</v>
          </cell>
          <cell r="N38">
            <v>1746.5999438936799</v>
          </cell>
          <cell r="O38">
            <v>1989.9999989999999</v>
          </cell>
          <cell r="P38">
            <v>2146.9999990000001</v>
          </cell>
          <cell r="Q38">
            <v>2729.6601343299999</v>
          </cell>
          <cell r="R38">
            <v>3274.5215314500001</v>
          </cell>
          <cell r="S38">
            <v>3506.1964643199999</v>
          </cell>
          <cell r="T38">
            <v>3804.0853829100001</v>
          </cell>
          <cell r="U38">
            <v>4023.2248394100006</v>
          </cell>
          <cell r="V38">
            <v>4718.1978989999998</v>
          </cell>
          <cell r="W38">
            <v>5945.7008546300003</v>
          </cell>
          <cell r="X38">
            <v>5996</v>
          </cell>
          <cell r="Y38">
            <v>6024.7792989999998</v>
          </cell>
          <cell r="Z38">
            <v>5743</v>
          </cell>
          <cell r="AA38">
            <v>6535</v>
          </cell>
          <cell r="AB38">
            <v>7246</v>
          </cell>
          <cell r="AC38">
            <v>7735</v>
          </cell>
          <cell r="AD38">
            <v>7792</v>
          </cell>
          <cell r="AE38">
            <v>8143.15650729347</v>
          </cell>
          <cell r="AF38">
            <v>8897.7980184554308</v>
          </cell>
          <cell r="AG38">
            <v>9561.8621031405091</v>
          </cell>
          <cell r="AH38">
            <v>10275.486856048199</v>
          </cell>
        </row>
        <row r="40">
          <cell r="E40">
            <v>-3.6216623046903398</v>
          </cell>
          <cell r="F40">
            <v>-25.7179993554576</v>
          </cell>
          <cell r="G40">
            <v>-25.710142416206999</v>
          </cell>
          <cell r="H40">
            <v>19.02914395889</v>
          </cell>
          <cell r="I40">
            <v>12.304015684323099</v>
          </cell>
          <cell r="J40">
            <v>7.5604893362215497</v>
          </cell>
          <cell r="K40">
            <v>6.7278395724057898</v>
          </cell>
          <cell r="L40">
            <v>12.836560677172701</v>
          </cell>
          <cell r="M40">
            <v>10.008735028238201</v>
          </cell>
          <cell r="N40">
            <v>20.399581004758499</v>
          </cell>
          <cell r="O40">
            <v>11.1885817059933</v>
          </cell>
          <cell r="P40">
            <v>-3.8756416417019501</v>
          </cell>
          <cell r="Q40">
            <v>28.774655727615706</v>
          </cell>
          <cell r="R40">
            <v>17.810095678848636</v>
          </cell>
          <cell r="S40">
            <v>4.5157767646410329</v>
          </cell>
          <cell r="T40">
            <v>6.3350086181216181</v>
          </cell>
          <cell r="U40">
            <v>3.8691766322388688</v>
          </cell>
          <cell r="V40">
            <v>15.328556246240922</v>
          </cell>
          <cell r="W40">
            <v>24.465149461057976</v>
          </cell>
          <cell r="X40">
            <v>-0.44977064000113476</v>
          </cell>
          <cell r="Y40">
            <v>-1.6807975766108596</v>
          </cell>
          <cell r="Z40">
            <v>-6.8668157260714739</v>
          </cell>
          <cell r="AA40">
            <v>12.057168363165772</v>
          </cell>
          <cell r="AB40">
            <v>9.0955078426345093</v>
          </cell>
          <cell r="AC40">
            <v>1.7751062046447608</v>
          </cell>
          <cell r="AD40">
            <v>2.694458511280784</v>
          </cell>
          <cell r="AE40">
            <v>3.3317867419695002</v>
          </cell>
          <cell r="AF40">
            <v>3.8298893146554214</v>
          </cell>
          <cell r="AG40">
            <v>4.0458662624286879</v>
          </cell>
          <cell r="AH40">
            <v>1.9322622515477894</v>
          </cell>
        </row>
        <row r="41">
          <cell r="E41">
            <v>96.378337695309654</v>
          </cell>
          <cell r="F41">
            <v>71.591757428029155</v>
          </cell>
          <cell r="G41">
            <v>53.185414635017416</v>
          </cell>
          <cell r="H41">
            <v>63.306143751047429</v>
          </cell>
          <cell r="I41">
            <v>71.095341607316428</v>
          </cell>
          <cell r="J41">
            <v>76.470497328087873</v>
          </cell>
          <cell r="K41">
            <v>81.615309708542483</v>
          </cell>
          <cell r="L41">
            <v>92.091908461141955</v>
          </cell>
          <cell r="M41">
            <v>101.30914356146533</v>
          </cell>
          <cell r="N41">
            <v>121.97578436751354</v>
          </cell>
          <cell r="O41">
            <v>135.62314466299901</v>
          </cell>
          <cell r="P41">
            <v>130.36687759265413</v>
          </cell>
          <cell r="Q41">
            <v>161.82050717117093</v>
          </cell>
          <cell r="R41">
            <v>189.57041599726745</v>
          </cell>
          <cell r="S41">
            <v>198.8430267976251</v>
          </cell>
          <cell r="T41">
            <v>211.13149033869126</v>
          </cell>
          <cell r="U41">
            <v>219.05172315538312</v>
          </cell>
          <cell r="V41">
            <v>251.98442180683688</v>
          </cell>
          <cell r="W41">
            <v>313.67628195660376</v>
          </cell>
          <cell r="X41">
            <v>263.48807684354716</v>
          </cell>
          <cell r="Y41">
            <v>240.301126081315</v>
          </cell>
          <cell r="Z41">
            <v>217.23221797750878</v>
          </cell>
          <cell r="AA41">
            <v>212.23587696402609</v>
          </cell>
          <cell r="AB41">
            <v>229.21474712114818</v>
          </cell>
          <cell r="AC41">
            <v>228.75631762690588</v>
          </cell>
          <cell r="AD41">
            <v>241.13000469451595</v>
          </cell>
          <cell r="AE41">
            <v>259.30288955444257</v>
          </cell>
          <cell r="AF41">
            <v>277.22218544590686</v>
          </cell>
          <cell r="AG41">
            <v>291.50625640315974</v>
          </cell>
          <cell r="AH41">
            <v>306.52632323377452</v>
          </cell>
        </row>
        <row r="43">
          <cell r="F43">
            <v>6.8165247814893224</v>
          </cell>
          <cell r="G43">
            <v>-0.67888404973930183</v>
          </cell>
          <cell r="H43">
            <v>-6.6985584687868469</v>
          </cell>
          <cell r="I43">
            <v>-1.1950133562239136</v>
          </cell>
          <cell r="J43">
            <v>-6.2792909491516768</v>
          </cell>
          <cell r="K43">
            <v>-1.900005193167893</v>
          </cell>
          <cell r="L43">
            <v>4.7910313272605354</v>
          </cell>
          <cell r="M43">
            <v>4.2801573162425788</v>
          </cell>
          <cell r="N43">
            <v>2.1454399058307048</v>
          </cell>
          <cell r="O43">
            <v>2.4706388491469622</v>
          </cell>
          <cell r="P43">
            <v>12.239445945629877</v>
          </cell>
          <cell r="Q43">
            <v>2.426006140530236</v>
          </cell>
          <cell r="R43">
            <v>2.4005450427195547</v>
          </cell>
          <cell r="S43">
            <v>2.0818647392116718</v>
          </cell>
          <cell r="T43">
            <v>2.1812851865193434</v>
          </cell>
          <cell r="U43">
            <v>1.9366570961058223</v>
          </cell>
          <cell r="V43">
            <v>1.9470891702732691</v>
          </cell>
          <cell r="W43">
            <v>1.2322554438241458</v>
          </cell>
          <cell r="X43">
            <v>20.054732194215639</v>
          </cell>
          <cell r="Y43">
            <v>10.175411147636442</v>
          </cell>
          <cell r="Z43">
            <v>5.4457896449277055</v>
          </cell>
          <cell r="AA43">
            <v>16.469500229107179</v>
          </cell>
          <cell r="AB43">
            <v>2.6665533168976174</v>
          </cell>
          <cell r="AC43">
            <v>6.9624758764008723</v>
          </cell>
          <cell r="AD43">
            <v>-4.4324465388796792</v>
          </cell>
          <cell r="AE43">
            <v>-2.8175740377894893</v>
          </cell>
          <cell r="AF43">
            <v>2.2042872777141636</v>
          </cell>
          <cell r="AG43">
            <v>2.1974393444130937</v>
          </cell>
          <cell r="AH43">
            <v>2.1974393759715007</v>
          </cell>
        </row>
        <row r="51">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U51" t="str">
            <v/>
          </cell>
          <cell r="V51" t="str">
            <v/>
          </cell>
          <cell r="W51" t="str">
            <v/>
          </cell>
          <cell r="X51" t="str">
            <v/>
          </cell>
          <cell r="Y51" t="str">
            <v/>
          </cell>
          <cell r="Z51" t="str">
            <v/>
          </cell>
          <cell r="AA51" t="str">
            <v/>
          </cell>
          <cell r="AB51" t="str">
            <v/>
          </cell>
          <cell r="AC51" t="str">
            <v/>
          </cell>
          <cell r="AD51" t="str">
            <v/>
          </cell>
          <cell r="AE51" t="str">
            <v/>
          </cell>
          <cell r="AF51" t="str">
            <v/>
          </cell>
          <cell r="AG51" t="str">
            <v/>
          </cell>
          <cell r="AH51" t="str">
            <v/>
          </cell>
        </row>
        <row r="53">
          <cell r="E53" t="str">
            <v/>
          </cell>
          <cell r="F53" t="str">
            <v/>
          </cell>
          <cell r="G53" t="str">
            <v/>
          </cell>
          <cell r="H53" t="str">
            <v/>
          </cell>
          <cell r="I53" t="str">
            <v/>
          </cell>
          <cell r="J53" t="str">
            <v/>
          </cell>
          <cell r="K53" t="str">
            <v/>
          </cell>
          <cell r="L53" t="str">
            <v/>
          </cell>
          <cell r="M53" t="str">
            <v/>
          </cell>
          <cell r="N53" t="str">
            <v/>
          </cell>
          <cell r="O53" t="str">
            <v/>
          </cell>
          <cell r="P53" t="str">
            <v/>
          </cell>
          <cell r="Q53" t="str">
            <v/>
          </cell>
          <cell r="R53" t="str">
            <v/>
          </cell>
          <cell r="S53" t="str">
            <v/>
          </cell>
          <cell r="T53" t="str">
            <v/>
          </cell>
          <cell r="U53" t="str">
            <v/>
          </cell>
          <cell r="V53" t="str">
            <v/>
          </cell>
          <cell r="W53" t="str">
            <v/>
          </cell>
          <cell r="X53" t="str">
            <v/>
          </cell>
          <cell r="Y53" t="str">
            <v/>
          </cell>
          <cell r="Z53" t="str">
            <v/>
          </cell>
          <cell r="AA53" t="str">
            <v/>
          </cell>
          <cell r="AB53" t="str">
            <v/>
          </cell>
          <cell r="AC53" t="str">
            <v/>
          </cell>
          <cell r="AD53" t="str">
            <v/>
          </cell>
          <cell r="AE53" t="str">
            <v/>
          </cell>
          <cell r="AF53" t="str">
            <v/>
          </cell>
          <cell r="AG53" t="str">
            <v/>
          </cell>
          <cell r="AH53" t="str">
            <v/>
          </cell>
        </row>
        <row r="54">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R54" t="str">
            <v/>
          </cell>
          <cell r="S54" t="str">
            <v/>
          </cell>
          <cell r="T54" t="str">
            <v/>
          </cell>
          <cell r="U54" t="str">
            <v/>
          </cell>
          <cell r="V54" t="str">
            <v/>
          </cell>
          <cell r="W54" t="str">
            <v/>
          </cell>
          <cell r="X54" t="str">
            <v/>
          </cell>
          <cell r="Y54" t="str">
            <v/>
          </cell>
          <cell r="Z54" t="str">
            <v/>
          </cell>
          <cell r="AA54" t="str">
            <v/>
          </cell>
          <cell r="AB54" t="str">
            <v/>
          </cell>
          <cell r="AC54" t="str">
            <v/>
          </cell>
          <cell r="AD54" t="str">
            <v/>
          </cell>
          <cell r="AE54" t="str">
            <v/>
          </cell>
          <cell r="AF54" t="str">
            <v/>
          </cell>
          <cell r="AG54" t="str">
            <v/>
          </cell>
          <cell r="AH54" t="str">
            <v/>
          </cell>
        </row>
        <row r="60">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E60" t="str">
            <v/>
          </cell>
          <cell r="AF60" t="str">
            <v/>
          </cell>
          <cell r="AG60" t="str">
            <v/>
          </cell>
          <cell r="AH60" t="str">
            <v/>
          </cell>
        </row>
        <row r="62">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cell r="S62" t="str">
            <v/>
          </cell>
          <cell r="T62" t="str">
            <v/>
          </cell>
          <cell r="U62" t="str">
            <v/>
          </cell>
          <cell r="V62" t="str">
            <v/>
          </cell>
          <cell r="W62" t="str">
            <v/>
          </cell>
          <cell r="X62" t="str">
            <v/>
          </cell>
          <cell r="Y62" t="str">
            <v/>
          </cell>
          <cell r="Z62" t="str">
            <v/>
          </cell>
          <cell r="AA62" t="str">
            <v/>
          </cell>
          <cell r="AB62" t="str">
            <v/>
          </cell>
          <cell r="AC62" t="str">
            <v/>
          </cell>
          <cell r="AD62" t="str">
            <v/>
          </cell>
          <cell r="AE62" t="str">
            <v/>
          </cell>
          <cell r="AF62" t="str">
            <v/>
          </cell>
          <cell r="AG62" t="str">
            <v/>
          </cell>
          <cell r="AH62" t="str">
            <v/>
          </cell>
        </row>
        <row r="63">
          <cell r="E63" t="str">
            <v/>
          </cell>
          <cell r="F63" t="str">
            <v/>
          </cell>
          <cell r="G63" t="str">
            <v/>
          </cell>
          <cell r="H63" t="str">
            <v/>
          </cell>
          <cell r="I63" t="str">
            <v/>
          </cell>
          <cell r="J63" t="str">
            <v/>
          </cell>
          <cell r="K63" t="str">
            <v/>
          </cell>
          <cell r="L63" t="str">
            <v/>
          </cell>
          <cell r="M63" t="str">
            <v/>
          </cell>
          <cell r="N63" t="str">
            <v/>
          </cell>
          <cell r="O63" t="str">
            <v/>
          </cell>
          <cell r="P63" t="str">
            <v/>
          </cell>
          <cell r="Q63" t="str">
            <v/>
          </cell>
          <cell r="R63" t="str">
            <v/>
          </cell>
          <cell r="S63" t="str">
            <v/>
          </cell>
          <cell r="T63" t="str">
            <v/>
          </cell>
          <cell r="U63" t="str">
            <v/>
          </cell>
          <cell r="V63" t="str">
            <v/>
          </cell>
          <cell r="W63" t="str">
            <v/>
          </cell>
          <cell r="X63" t="str">
            <v/>
          </cell>
          <cell r="Y63" t="str">
            <v/>
          </cell>
          <cell r="Z63" t="str">
            <v/>
          </cell>
          <cell r="AA63" t="str">
            <v/>
          </cell>
          <cell r="AB63" t="str">
            <v/>
          </cell>
          <cell r="AC63" t="str">
            <v/>
          </cell>
          <cell r="AD63" t="str">
            <v/>
          </cell>
          <cell r="AE63" t="str">
            <v/>
          </cell>
          <cell r="AF63" t="str">
            <v/>
          </cell>
          <cell r="AG63" t="str">
            <v/>
          </cell>
          <cell r="AH63" t="str">
            <v/>
          </cell>
        </row>
        <row r="67">
          <cell r="E67">
            <v>35.948333333333302</v>
          </cell>
          <cell r="F67">
            <v>34.268333333333302</v>
          </cell>
          <cell r="G67">
            <v>31.7558333333333</v>
          </cell>
          <cell r="H67">
            <v>29.640833333333301</v>
          </cell>
          <cell r="I67">
            <v>28.5461899439494</v>
          </cell>
          <cell r="J67">
            <v>27.370513174268901</v>
          </cell>
          <cell r="K67">
            <v>14.170526001188501</v>
          </cell>
          <cell r="L67">
            <v>18.198072724872201</v>
          </cell>
          <cell r="M67">
            <v>14.7697514163123</v>
          </cell>
          <cell r="N67">
            <v>17.906410296758001</v>
          </cell>
          <cell r="O67">
            <v>22.985672341452702</v>
          </cell>
          <cell r="P67">
            <v>19.366776731279199</v>
          </cell>
          <cell r="Q67">
            <v>19.036187304390801</v>
          </cell>
          <cell r="R67">
            <v>16.786377959781198</v>
          </cell>
          <cell r="S67">
            <v>15.946896314621</v>
          </cell>
          <cell r="T67">
            <v>17.2039112779829</v>
          </cell>
          <cell r="U67">
            <v>20.374279048707798</v>
          </cell>
          <cell r="V67">
            <v>19.2682949701945</v>
          </cell>
          <cell r="W67">
            <v>13.0754604869419</v>
          </cell>
          <cell r="X67">
            <v>17.980604629417702</v>
          </cell>
          <cell r="Y67">
            <v>28.235305627710201</v>
          </cell>
          <cell r="Z67">
            <v>24.3308640415543</v>
          </cell>
          <cell r="AA67">
            <v>24.950144614482301</v>
          </cell>
          <cell r="AB67">
            <v>28.893197682025299</v>
          </cell>
          <cell r="AC67">
            <v>30</v>
          </cell>
          <cell r="AD67">
            <v>27</v>
          </cell>
          <cell r="AE67">
            <v>26</v>
          </cell>
          <cell r="AF67">
            <v>25.5</v>
          </cell>
          <cell r="AG67">
            <v>25</v>
          </cell>
          <cell r="AH67">
            <v>25</v>
          </cell>
        </row>
        <row r="68">
          <cell r="E68" t="str">
            <v/>
          </cell>
          <cell r="F68">
            <v>-4.6733738235430513</v>
          </cell>
          <cell r="G68">
            <v>-7.3318418364865678</v>
          </cell>
          <cell r="H68">
            <v>-6.6601936652058695</v>
          </cell>
          <cell r="I68">
            <v>-3.6930250140872172</v>
          </cell>
          <cell r="J68">
            <v>-4.1185067849297843</v>
          </cell>
          <cell r="K68">
            <v>-48.22703574841902</v>
          </cell>
          <cell r="L68">
            <v>28.421998755345463</v>
          </cell>
          <cell r="M68">
            <v>-18.838925200437551</v>
          </cell>
          <cell r="N68">
            <v>21.237045851573715</v>
          </cell>
          <cell r="O68">
            <v>28.365607402698206</v>
          </cell>
          <cell r="P68">
            <v>-15.744136418612097</v>
          </cell>
          <cell r="Q68">
            <v>-1.7069925030656476</v>
          </cell>
          <cell r="R68">
            <v>-11.818592182535792</v>
          </cell>
          <cell r="S68">
            <v>-5.0009695192824104</v>
          </cell>
          <cell r="T68">
            <v>7.8825054014391451</v>
          </cell>
          <cell r="U68">
            <v>18.428180194013489</v>
          </cell>
          <cell r="V68">
            <v>-5.4283347934387081</v>
          </cell>
          <cell r="W68">
            <v>-32.140023249758713</v>
          </cell>
          <cell r="X68">
            <v>37.514121566689248</v>
          </cell>
          <cell r="Y68">
            <v>57.032014271171903</v>
          </cell>
          <cell r="Z68">
            <v>-13.828224980586262</v>
          </cell>
          <cell r="AA68">
            <v>2.5452469417869512</v>
          </cell>
          <cell r="AB68">
            <v>15.803728308870218</v>
          </cell>
          <cell r="AC68">
            <v>3.8306674469030884</v>
          </cell>
          <cell r="AD68">
            <v>-10</v>
          </cell>
          <cell r="AE68">
            <v>-3.7037037037037033</v>
          </cell>
          <cell r="AF68">
            <v>-1.9230769230769231</v>
          </cell>
          <cell r="AG68">
            <v>-1.9607843137254901</v>
          </cell>
          <cell r="AH68">
            <v>0</v>
          </cell>
        </row>
        <row r="72">
          <cell r="E72">
            <v>1000.9770031861824</v>
          </cell>
          <cell r="F72">
            <v>1008.9768998093824</v>
          </cell>
          <cell r="G72">
            <v>869.97696744668337</v>
          </cell>
          <cell r="H72">
            <v>852.97694870381736</v>
          </cell>
          <cell r="I72">
            <v>997.97698234784343</v>
          </cell>
          <cell r="J72">
            <v>938.97696989140445</v>
          </cell>
          <cell r="K72">
            <v>1083.9770631400725</v>
          </cell>
          <cell r="L72">
            <v>1124.9769505664626</v>
          </cell>
          <cell r="M72">
            <v>1180.6770116262926</v>
          </cell>
          <cell r="N72">
            <v>1331.6769081330824</v>
          </cell>
          <cell r="O72">
            <v>1345.9771346190826</v>
          </cell>
          <cell r="P72">
            <v>1880.9770000010926</v>
          </cell>
          <cell r="Q72">
            <v>2360.5706269087823</v>
          </cell>
          <cell r="R72">
            <v>2591.5590000010925</v>
          </cell>
          <cell r="S72">
            <v>2813.1750000010925</v>
          </cell>
          <cell r="T72">
            <v>3419.7250000010922</v>
          </cell>
          <cell r="U72">
            <v>3598.1470000010922</v>
          </cell>
          <cell r="V72">
            <v>4094.8690000010929</v>
          </cell>
          <cell r="W72">
            <v>5342.7770000010923</v>
          </cell>
          <cell r="X72">
            <v>6575.9769990010927</v>
          </cell>
          <cell r="Y72">
            <v>5813.3322500010927</v>
          </cell>
          <cell r="Z72">
            <v>4923.1492110010931</v>
          </cell>
          <cell r="AA72">
            <v>5258.9769990010927</v>
          </cell>
          <cell r="AB72">
            <v>6140.9769990010927</v>
          </cell>
          <cell r="AC72">
            <v>6635.9769990010927</v>
          </cell>
          <cell r="AD72">
            <v>6437.9769990010927</v>
          </cell>
          <cell r="AE72">
            <v>6579.9359374234427</v>
          </cell>
          <cell r="AF72">
            <v>7259.8176968726902</v>
          </cell>
          <cell r="AG72">
            <v>7875.1481417708455</v>
          </cell>
          <cell r="AH72">
            <v>8542.6327644634875</v>
          </cell>
        </row>
        <row r="74">
          <cell r="E74" t="str">
            <v/>
          </cell>
          <cell r="F74" t="str">
            <v/>
          </cell>
          <cell r="G74" t="str">
            <v/>
          </cell>
          <cell r="H74" t="str">
            <v/>
          </cell>
          <cell r="I74" t="str">
            <v/>
          </cell>
          <cell r="J74" t="str">
            <v/>
          </cell>
          <cell r="K74" t="str">
            <v/>
          </cell>
          <cell r="L74" t="str">
            <v/>
          </cell>
          <cell r="M74" t="str">
            <v/>
          </cell>
          <cell r="N74" t="str">
            <v/>
          </cell>
          <cell r="O74" t="str">
            <v/>
          </cell>
          <cell r="P74" t="str">
            <v/>
          </cell>
          <cell r="Q74" t="str">
            <v/>
          </cell>
          <cell r="R74" t="str">
            <v/>
          </cell>
          <cell r="S74" t="str">
            <v/>
          </cell>
          <cell r="T74" t="str">
            <v/>
          </cell>
          <cell r="U74" t="str">
            <v/>
          </cell>
          <cell r="V74" t="str">
            <v/>
          </cell>
          <cell r="W74" t="str">
            <v/>
          </cell>
          <cell r="X74" t="str">
            <v/>
          </cell>
          <cell r="Y74" t="str">
            <v/>
          </cell>
          <cell r="Z74" t="str">
            <v/>
          </cell>
          <cell r="AA74" t="str">
            <v/>
          </cell>
          <cell r="AB74" t="str">
            <v/>
          </cell>
          <cell r="AC74" t="str">
            <v/>
          </cell>
          <cell r="AD74" t="str">
            <v/>
          </cell>
          <cell r="AE74" t="str">
            <v/>
          </cell>
          <cell r="AF74" t="str">
            <v/>
          </cell>
          <cell r="AG74" t="str">
            <v/>
          </cell>
          <cell r="AH74" t="str">
            <v/>
          </cell>
        </row>
        <row r="77">
          <cell r="E77" t="str">
            <v/>
          </cell>
          <cell r="F77" t="str">
            <v/>
          </cell>
          <cell r="G77" t="str">
            <v/>
          </cell>
          <cell r="H77" t="str">
            <v/>
          </cell>
          <cell r="I77" t="str">
            <v/>
          </cell>
          <cell r="J77" t="str">
            <v/>
          </cell>
          <cell r="K77" t="str">
            <v/>
          </cell>
          <cell r="L77" t="str">
            <v/>
          </cell>
          <cell r="M77" t="str">
            <v/>
          </cell>
          <cell r="N77" t="str">
            <v/>
          </cell>
          <cell r="O77" t="str">
            <v/>
          </cell>
          <cell r="P77" t="str">
            <v/>
          </cell>
          <cell r="Q77" t="str">
            <v/>
          </cell>
          <cell r="R77" t="str">
            <v/>
          </cell>
          <cell r="S77" t="str">
            <v/>
          </cell>
          <cell r="T77" t="str">
            <v/>
          </cell>
          <cell r="U77" t="str">
            <v/>
          </cell>
          <cell r="V77" t="str">
            <v/>
          </cell>
          <cell r="W77" t="str">
            <v/>
          </cell>
          <cell r="X77" t="str">
            <v/>
          </cell>
          <cell r="Y77" t="str">
            <v/>
          </cell>
          <cell r="Z77" t="str">
            <v/>
          </cell>
          <cell r="AA77" t="str">
            <v/>
          </cell>
          <cell r="AB77" t="str">
            <v/>
          </cell>
          <cell r="AC77" t="str">
            <v/>
          </cell>
          <cell r="AD77" t="str">
            <v/>
          </cell>
          <cell r="AE77" t="str">
            <v/>
          </cell>
          <cell r="AF77" t="str">
            <v/>
          </cell>
          <cell r="AG77" t="str">
            <v/>
          </cell>
          <cell r="AH77" t="str">
            <v/>
          </cell>
        </row>
        <row r="78">
          <cell r="E78" t="str">
            <v/>
          </cell>
          <cell r="F78" t="str">
            <v/>
          </cell>
          <cell r="G78" t="str">
            <v/>
          </cell>
          <cell r="H78" t="str">
            <v/>
          </cell>
          <cell r="I78" t="str">
            <v/>
          </cell>
          <cell r="J78" t="str">
            <v/>
          </cell>
          <cell r="K78" t="str">
            <v/>
          </cell>
          <cell r="L78" t="str">
            <v/>
          </cell>
          <cell r="M78" t="str">
            <v/>
          </cell>
          <cell r="N78" t="str">
            <v/>
          </cell>
          <cell r="O78" t="str">
            <v/>
          </cell>
          <cell r="P78" t="str">
            <v/>
          </cell>
          <cell r="Q78" t="str">
            <v/>
          </cell>
          <cell r="R78" t="str">
            <v/>
          </cell>
          <cell r="S78" t="str">
            <v/>
          </cell>
          <cell r="T78" t="str">
            <v/>
          </cell>
          <cell r="U78" t="str">
            <v/>
          </cell>
          <cell r="V78" t="str">
            <v/>
          </cell>
          <cell r="W78" t="str">
            <v/>
          </cell>
          <cell r="X78" t="str">
            <v/>
          </cell>
          <cell r="Y78" t="str">
            <v/>
          </cell>
          <cell r="Z78" t="str">
            <v/>
          </cell>
          <cell r="AA78" t="str">
            <v/>
          </cell>
          <cell r="AB78" t="str">
            <v/>
          </cell>
          <cell r="AC78" t="str">
            <v/>
          </cell>
          <cell r="AD78" t="str">
            <v/>
          </cell>
          <cell r="AE78" t="str">
            <v/>
          </cell>
          <cell r="AF78" t="str">
            <v/>
          </cell>
          <cell r="AG78" t="str">
            <v/>
          </cell>
          <cell r="AH78" t="str">
            <v/>
          </cell>
        </row>
        <row r="79">
          <cell r="F79" t="str">
            <v/>
          </cell>
          <cell r="G79" t="str">
            <v/>
          </cell>
          <cell r="H79" t="str">
            <v/>
          </cell>
          <cell r="I79" t="str">
            <v/>
          </cell>
          <cell r="J79" t="str">
            <v/>
          </cell>
          <cell r="K79" t="str">
            <v/>
          </cell>
          <cell r="L79" t="str">
            <v/>
          </cell>
          <cell r="M79" t="str">
            <v/>
          </cell>
          <cell r="N79" t="str">
            <v/>
          </cell>
          <cell r="O79" t="str">
            <v/>
          </cell>
          <cell r="P79" t="str">
            <v/>
          </cell>
          <cell r="Q79" t="str">
            <v/>
          </cell>
          <cell r="R79" t="str">
            <v/>
          </cell>
          <cell r="S79" t="str">
            <v/>
          </cell>
          <cell r="T79" t="str">
            <v/>
          </cell>
          <cell r="U79" t="str">
            <v/>
          </cell>
          <cell r="V79" t="str">
            <v/>
          </cell>
          <cell r="W79" t="str">
            <v/>
          </cell>
          <cell r="X79" t="str">
            <v/>
          </cell>
          <cell r="Y79" t="str">
            <v/>
          </cell>
          <cell r="Z79" t="str">
            <v/>
          </cell>
          <cell r="AA79" t="str">
            <v/>
          </cell>
          <cell r="AB79" t="str">
            <v/>
          </cell>
          <cell r="AC79" t="str">
            <v/>
          </cell>
          <cell r="AD79" t="str">
            <v/>
          </cell>
          <cell r="AE79" t="str">
            <v/>
          </cell>
          <cell r="AF79" t="str">
            <v/>
          </cell>
          <cell r="AG79" t="str">
            <v/>
          </cell>
          <cell r="AH79" t="str">
            <v/>
          </cell>
        </row>
        <row r="82">
          <cell r="E82">
            <v>1173.2575693405381</v>
          </cell>
          <cell r="F82">
            <v>910.98119180045796</v>
          </cell>
          <cell r="G82">
            <v>636.09325258016202</v>
          </cell>
          <cell r="H82">
            <v>710.07695244300601</v>
          </cell>
          <cell r="I82">
            <v>828.77693472291708</v>
          </cell>
          <cell r="J82">
            <v>833.77695055539994</v>
          </cell>
          <cell r="K82">
            <v>944.97699581600205</v>
          </cell>
          <cell r="L82">
            <v>1116.376973011081</v>
          </cell>
          <cell r="M82">
            <v>1305.376914765983</v>
          </cell>
          <cell r="N82">
            <v>1599.276940843014</v>
          </cell>
          <cell r="O82">
            <v>1798.876992897576</v>
          </cell>
          <cell r="P82" t="str">
            <v/>
          </cell>
          <cell r="Q82" t="str">
            <v/>
          </cell>
          <cell r="R82" t="str">
            <v/>
          </cell>
          <cell r="S82" t="str">
            <v/>
          </cell>
          <cell r="T82" t="str">
            <v/>
          </cell>
          <cell r="U82" t="str">
            <v/>
          </cell>
          <cell r="V82" t="str">
            <v/>
          </cell>
          <cell r="W82" t="str">
            <v/>
          </cell>
          <cell r="X82" t="str">
            <v/>
          </cell>
          <cell r="Y82" t="str">
            <v/>
          </cell>
          <cell r="Z82" t="str">
            <v/>
          </cell>
          <cell r="AA82" t="str">
            <v/>
          </cell>
          <cell r="AB82" t="str">
            <v/>
          </cell>
          <cell r="AC82" t="str">
            <v/>
          </cell>
          <cell r="AD82" t="str">
            <v/>
          </cell>
          <cell r="AE82" t="str">
            <v/>
          </cell>
          <cell r="AF82" t="str">
            <v/>
          </cell>
          <cell r="AG82" t="str">
            <v/>
          </cell>
          <cell r="AH82" t="str">
            <v/>
          </cell>
        </row>
        <row r="84">
          <cell r="E84" t="str">
            <v/>
          </cell>
          <cell r="F84" t="str">
            <v/>
          </cell>
          <cell r="G84" t="str">
            <v/>
          </cell>
          <cell r="H84" t="str">
            <v/>
          </cell>
          <cell r="I84" t="str">
            <v/>
          </cell>
          <cell r="J84" t="str">
            <v/>
          </cell>
          <cell r="K84" t="str">
            <v/>
          </cell>
          <cell r="L84" t="str">
            <v/>
          </cell>
          <cell r="M84" t="str">
            <v/>
          </cell>
          <cell r="N84" t="str">
            <v/>
          </cell>
          <cell r="O84" t="str">
            <v/>
          </cell>
          <cell r="P84" t="str">
            <v/>
          </cell>
          <cell r="Q84" t="str">
            <v/>
          </cell>
          <cell r="R84" t="str">
            <v/>
          </cell>
          <cell r="S84" t="str">
            <v/>
          </cell>
          <cell r="T84" t="str">
            <v/>
          </cell>
          <cell r="U84" t="str">
            <v/>
          </cell>
          <cell r="V84" t="str">
            <v/>
          </cell>
          <cell r="W84" t="str">
            <v/>
          </cell>
          <cell r="X84" t="str">
            <v/>
          </cell>
          <cell r="Y84" t="str">
            <v/>
          </cell>
          <cell r="Z84" t="str">
            <v/>
          </cell>
          <cell r="AA84" t="str">
            <v/>
          </cell>
          <cell r="AB84" t="str">
            <v/>
          </cell>
          <cell r="AC84" t="str">
            <v/>
          </cell>
          <cell r="AD84" t="str">
            <v/>
          </cell>
          <cell r="AE84" t="str">
            <v/>
          </cell>
          <cell r="AF84" t="str">
            <v/>
          </cell>
          <cell r="AG84" t="str">
            <v/>
          </cell>
          <cell r="AH84" t="str">
            <v/>
          </cell>
        </row>
        <row r="87">
          <cell r="E87" t="str">
            <v/>
          </cell>
          <cell r="F87" t="str">
            <v/>
          </cell>
          <cell r="G87" t="str">
            <v/>
          </cell>
          <cell r="H87" t="str">
            <v/>
          </cell>
          <cell r="I87" t="str">
            <v/>
          </cell>
          <cell r="J87" t="str">
            <v/>
          </cell>
          <cell r="K87" t="str">
            <v/>
          </cell>
          <cell r="L87" t="str">
            <v/>
          </cell>
          <cell r="M87" t="str">
            <v/>
          </cell>
          <cell r="N87" t="str">
            <v/>
          </cell>
          <cell r="O87" t="str">
            <v/>
          </cell>
          <cell r="P87" t="str">
            <v/>
          </cell>
          <cell r="Q87" t="str">
            <v/>
          </cell>
          <cell r="R87" t="str">
            <v/>
          </cell>
          <cell r="S87" t="str">
            <v/>
          </cell>
          <cell r="T87" t="str">
            <v/>
          </cell>
          <cell r="U87" t="str">
            <v/>
          </cell>
          <cell r="V87" t="str">
            <v/>
          </cell>
          <cell r="W87" t="str">
            <v/>
          </cell>
          <cell r="X87" t="str">
            <v/>
          </cell>
          <cell r="Y87" t="str">
            <v/>
          </cell>
          <cell r="Z87" t="str">
            <v/>
          </cell>
          <cell r="AA87" t="str">
            <v/>
          </cell>
          <cell r="AB87" t="str">
            <v/>
          </cell>
          <cell r="AC87" t="str">
            <v/>
          </cell>
          <cell r="AD87" t="str">
            <v/>
          </cell>
          <cell r="AE87" t="str">
            <v/>
          </cell>
          <cell r="AF87" t="str">
            <v/>
          </cell>
          <cell r="AG87" t="str">
            <v/>
          </cell>
          <cell r="AH87" t="str">
            <v/>
          </cell>
        </row>
        <row r="88">
          <cell r="E88" t="str">
            <v/>
          </cell>
          <cell r="F88" t="str">
            <v/>
          </cell>
          <cell r="G88" t="str">
            <v/>
          </cell>
          <cell r="H88" t="str">
            <v/>
          </cell>
          <cell r="I88" t="str">
            <v/>
          </cell>
          <cell r="J88" t="str">
            <v/>
          </cell>
          <cell r="K88" t="str">
            <v/>
          </cell>
          <cell r="L88" t="str">
            <v/>
          </cell>
          <cell r="M88" t="str">
            <v/>
          </cell>
          <cell r="N88" t="str">
            <v/>
          </cell>
          <cell r="O88" t="str">
            <v/>
          </cell>
          <cell r="P88" t="str">
            <v/>
          </cell>
          <cell r="Q88" t="str">
            <v/>
          </cell>
          <cell r="R88" t="str">
            <v/>
          </cell>
          <cell r="S88" t="str">
            <v/>
          </cell>
          <cell r="T88" t="str">
            <v/>
          </cell>
          <cell r="U88" t="str">
            <v/>
          </cell>
          <cell r="V88" t="str">
            <v/>
          </cell>
          <cell r="W88" t="str">
            <v/>
          </cell>
          <cell r="X88" t="str">
            <v/>
          </cell>
          <cell r="Y88" t="str">
            <v/>
          </cell>
          <cell r="Z88" t="str">
            <v/>
          </cell>
          <cell r="AA88" t="str">
            <v/>
          </cell>
          <cell r="AB88" t="str">
            <v/>
          </cell>
          <cell r="AC88" t="str">
            <v/>
          </cell>
          <cell r="AD88" t="str">
            <v/>
          </cell>
          <cell r="AE88" t="str">
            <v/>
          </cell>
          <cell r="AF88" t="str">
            <v/>
          </cell>
          <cell r="AG88" t="str">
            <v/>
          </cell>
          <cell r="AH88" t="str">
            <v/>
          </cell>
        </row>
        <row r="89">
          <cell r="F89" t="str">
            <v/>
          </cell>
          <cell r="G89" t="str">
            <v/>
          </cell>
          <cell r="H89" t="str">
            <v/>
          </cell>
          <cell r="I89" t="str">
            <v/>
          </cell>
          <cell r="J89" t="str">
            <v/>
          </cell>
          <cell r="K89" t="str">
            <v/>
          </cell>
          <cell r="L89" t="str">
            <v/>
          </cell>
          <cell r="M89" t="str">
            <v/>
          </cell>
          <cell r="N89" t="str">
            <v/>
          </cell>
          <cell r="O89" t="str">
            <v/>
          </cell>
          <cell r="P89" t="str">
            <v/>
          </cell>
          <cell r="Q89" t="str">
            <v/>
          </cell>
          <cell r="R89" t="str">
            <v/>
          </cell>
          <cell r="S89" t="str">
            <v/>
          </cell>
          <cell r="T89" t="str">
            <v/>
          </cell>
          <cell r="U89" t="str">
            <v/>
          </cell>
          <cell r="V89" t="str">
            <v/>
          </cell>
          <cell r="W89" t="str">
            <v/>
          </cell>
          <cell r="X89" t="str">
            <v/>
          </cell>
          <cell r="Y89" t="str">
            <v/>
          </cell>
          <cell r="Z89" t="str">
            <v/>
          </cell>
          <cell r="AA89" t="str">
            <v/>
          </cell>
          <cell r="AB89" t="str">
            <v/>
          </cell>
          <cell r="AC89" t="str">
            <v/>
          </cell>
          <cell r="AD89" t="str">
            <v/>
          </cell>
          <cell r="AE89" t="str">
            <v/>
          </cell>
          <cell r="AF89" t="str">
            <v/>
          </cell>
          <cell r="AG89" t="str">
            <v/>
          </cell>
          <cell r="AH89" t="str">
            <v/>
          </cell>
        </row>
        <row r="95">
          <cell r="E95">
            <v>217.99993969686599</v>
          </cell>
          <cell r="F95">
            <v>196.99997264240099</v>
          </cell>
          <cell r="G95">
            <v>254.99998311977896</v>
          </cell>
          <cell r="H95">
            <v>283.99996600672802</v>
          </cell>
          <cell r="I95">
            <v>283.99999580904898</v>
          </cell>
          <cell r="J95">
            <v>285.99999976716902</v>
          </cell>
          <cell r="K95">
            <v>330.999924912121</v>
          </cell>
          <cell r="L95">
            <v>338.99994074460398</v>
          </cell>
          <cell r="M95">
            <v>600.199909312469</v>
          </cell>
          <cell r="N95">
            <v>520.88746934639198</v>
          </cell>
          <cell r="O95">
            <v>739.30003707827802</v>
          </cell>
          <cell r="P95">
            <v>779.39153522063805</v>
          </cell>
          <cell r="Q95">
            <v>673.19487476607503</v>
          </cell>
          <cell r="R95">
            <v>852.64700704721599</v>
          </cell>
          <cell r="S95">
            <v>934.82951229639104</v>
          </cell>
          <cell r="T95">
            <v>973.76499999999999</v>
          </cell>
          <cell r="U95">
            <v>1069.5999999999999</v>
          </cell>
          <cell r="V95">
            <v>1148.2</v>
          </cell>
          <cell r="W95">
            <v>1368.9</v>
          </cell>
          <cell r="X95">
            <v>1608.0160346997384</v>
          </cell>
          <cell r="Y95">
            <v>1934.8</v>
          </cell>
          <cell r="Z95">
            <v>1896.4</v>
          </cell>
          <cell r="AA95">
            <v>1936.6381783849524</v>
          </cell>
          <cell r="AB95">
            <v>2051.4175415687414</v>
          </cell>
          <cell r="AC95">
            <v>2227.3011486083856</v>
          </cell>
          <cell r="AD95">
            <v>2352.5049540446398</v>
          </cell>
          <cell r="AE95">
            <v>2500.80115607788</v>
          </cell>
          <cell r="AF95">
            <v>2698.9831313827899</v>
          </cell>
          <cell r="AG95">
            <v>2866.4701128001998</v>
          </cell>
          <cell r="AH95">
            <v>3044.3505870967101</v>
          </cell>
        </row>
        <row r="97">
          <cell r="E97">
            <v>304.99999266583501</v>
          </cell>
          <cell r="F97">
            <v>243.00001897569601</v>
          </cell>
          <cell r="G97">
            <v>250.00001792795899</v>
          </cell>
          <cell r="H97">
            <v>260.99996519182002</v>
          </cell>
          <cell r="I97">
            <v>272.99998894054499</v>
          </cell>
          <cell r="J97">
            <v>292.00004144385298</v>
          </cell>
          <cell r="K97">
            <v>315.00001245643898</v>
          </cell>
          <cell r="L97">
            <v>344.99998242128697</v>
          </cell>
          <cell r="M97">
            <v>344.99998242128697</v>
          </cell>
          <cell r="N97">
            <v>358.30400672414902</v>
          </cell>
          <cell r="O97">
            <v>487.99998230487199</v>
          </cell>
          <cell r="P97">
            <v>481.80841595123701</v>
          </cell>
          <cell r="Q97">
            <v>692.98955889761396</v>
          </cell>
          <cell r="R97">
            <v>789.78741258741297</v>
          </cell>
          <cell r="S97">
            <v>838.71328422656802</v>
          </cell>
          <cell r="T97">
            <v>929.3</v>
          </cell>
          <cell r="U97">
            <v>1044.3</v>
          </cell>
          <cell r="V97">
            <v>1002.1999999999999</v>
          </cell>
          <cell r="W97">
            <v>1144.5999999999999</v>
          </cell>
          <cell r="X97">
            <v>1174.1839653002617</v>
          </cell>
          <cell r="Y97">
            <v>1270</v>
          </cell>
          <cell r="Z97">
            <v>1166.8</v>
          </cell>
          <cell r="AA97">
            <v>1232.1669704796575</v>
          </cell>
          <cell r="AB97">
            <v>1268.5374339092684</v>
          </cell>
          <cell r="AC97">
            <v>1355.5711121467748</v>
          </cell>
          <cell r="AD97">
            <v>1417.00554638842</v>
          </cell>
          <cell r="AE97">
            <v>1512.46458794555</v>
          </cell>
          <cell r="AF97">
            <v>1591.51881886499</v>
          </cell>
          <cell r="AG97">
            <v>1680.7854123387999</v>
          </cell>
          <cell r="AH97">
            <v>1775.0588723901701</v>
          </cell>
        </row>
        <row r="104">
          <cell r="E104" t="str">
            <v/>
          </cell>
          <cell r="F104">
            <v>1.00000004749745E-3</v>
          </cell>
          <cell r="G104">
            <v>1.00000004749745E-3</v>
          </cell>
          <cell r="H104">
            <v>1.00000004749745E-3</v>
          </cell>
          <cell r="I104">
            <v>1.00000004749745E-3</v>
          </cell>
          <cell r="J104">
            <v>1.00000004749745E-3</v>
          </cell>
          <cell r="K104">
            <v>1.00000004749745E-3</v>
          </cell>
          <cell r="L104">
            <v>1.00000004749745E-3</v>
          </cell>
          <cell r="M104">
            <v>1.00000004749745E-3</v>
          </cell>
          <cell r="N104">
            <v>1.00000004749745E-3</v>
          </cell>
          <cell r="O104">
            <v>1.00000004749745E-3</v>
          </cell>
          <cell r="P104">
            <v>1.00000004749745E-3</v>
          </cell>
          <cell r="Q104">
            <v>1.00000004749745E-3</v>
          </cell>
          <cell r="R104">
            <v>1.00000004749745E-3</v>
          </cell>
          <cell r="S104">
            <v>1.00000004749745E-3</v>
          </cell>
          <cell r="T104">
            <v>1.00000004749745E-3</v>
          </cell>
          <cell r="U104">
            <v>1.00000004749745E-3</v>
          </cell>
          <cell r="V104">
            <v>1.00000004749745E-3</v>
          </cell>
          <cell r="W104">
            <v>1.00000004749745E-3</v>
          </cell>
          <cell r="X104">
            <v>1.00000004749745E-3</v>
          </cell>
          <cell r="Y104">
            <v>1.00000004749745E-3</v>
          </cell>
          <cell r="Z104">
            <v>1.00000004749745E-3</v>
          </cell>
          <cell r="AA104">
            <v>1.00000004749745E-3</v>
          </cell>
          <cell r="AB104">
            <v>1.00000004749745E-3</v>
          </cell>
          <cell r="AC104">
            <v>1.00000004749745E-3</v>
          </cell>
          <cell r="AD104">
            <v>1.00000004749745E-3</v>
          </cell>
          <cell r="AE104">
            <v>1.00000004749745E-3</v>
          </cell>
          <cell r="AF104">
            <v>1.00000004749745E-3</v>
          </cell>
          <cell r="AG104">
            <v>1E-3</v>
          </cell>
          <cell r="AH104">
            <v>9.9999995E-4</v>
          </cell>
        </row>
        <row r="107">
          <cell r="E107">
            <v>-201.71935935156446</v>
          </cell>
          <cell r="F107">
            <v>-179.99571128027446</v>
          </cell>
          <cell r="G107">
            <v>-168.88365073339946</v>
          </cell>
          <cell r="H107">
            <v>-183.89999289648446</v>
          </cell>
          <cell r="I107">
            <v>-163.19999594824344</v>
          </cell>
          <cell r="J107">
            <v>-166.19999594824344</v>
          </cell>
          <cell r="K107">
            <v>-101.99999900000044</v>
          </cell>
          <cell r="L107">
            <v>-121.59999747412144</v>
          </cell>
          <cell r="M107">
            <v>-114.80000205175944</v>
          </cell>
          <cell r="N107">
            <v>-147.30000205175844</v>
          </cell>
          <cell r="O107">
            <v>-191.10000510351645</v>
          </cell>
          <cell r="P107" t="str">
            <v/>
          </cell>
          <cell r="Q107" t="str">
            <v/>
          </cell>
          <cell r="R107" t="str">
            <v/>
          </cell>
          <cell r="S107" t="str">
            <v/>
          </cell>
          <cell r="T107" t="str">
            <v/>
          </cell>
          <cell r="U107" t="str">
            <v/>
          </cell>
          <cell r="V107" t="str">
            <v/>
          </cell>
          <cell r="W107" t="str">
            <v/>
          </cell>
          <cell r="X107" t="str">
            <v/>
          </cell>
          <cell r="Y107" t="str">
            <v/>
          </cell>
          <cell r="Z107" t="str">
            <v/>
          </cell>
          <cell r="AA107" t="str">
            <v/>
          </cell>
          <cell r="AB107" t="str">
            <v/>
          </cell>
          <cell r="AC107" t="str">
            <v/>
          </cell>
          <cell r="AD107" t="str">
            <v/>
          </cell>
          <cell r="AE107" t="str">
            <v/>
          </cell>
          <cell r="AF107" t="str">
            <v/>
          </cell>
          <cell r="AG107" t="str">
            <v/>
          </cell>
          <cell r="AH107" t="str">
            <v/>
          </cell>
        </row>
      </sheetData>
      <sheetData sheetId="17" refreshError="1">
        <row r="10">
          <cell r="E10">
            <v>-13.722762610635868</v>
          </cell>
          <cell r="F10">
            <v>-16.007216983294054</v>
          </cell>
          <cell r="G10">
            <v>-9.2073051731314255</v>
          </cell>
          <cell r="H10">
            <v>-8.9933419817778226</v>
          </cell>
          <cell r="I10">
            <v>-4.2617337210110993</v>
          </cell>
          <cell r="J10">
            <v>-3.3139370240171715</v>
          </cell>
          <cell r="K10">
            <v>-1.6801732716842428</v>
          </cell>
          <cell r="L10">
            <v>-5.0523986655702711</v>
          </cell>
          <cell r="M10">
            <v>-3.4785256561288085</v>
          </cell>
          <cell r="N10">
            <v>-7.1964865745685005</v>
          </cell>
          <cell r="O10">
            <v>-7.837922917585165</v>
          </cell>
          <cell r="P10">
            <v>-3.1234812703767521</v>
          </cell>
          <cell r="Q10">
            <v>-5.2176156483874276</v>
          </cell>
          <cell r="R10">
            <v>-7.4628963133322594</v>
          </cell>
          <cell r="S10">
            <v>-5.4180246509528214</v>
          </cell>
          <cell r="T10">
            <v>-3.5903757847728479</v>
          </cell>
          <cell r="U10">
            <v>-3.767862777791668</v>
          </cell>
          <cell r="V10">
            <v>-4.8026268005624848</v>
          </cell>
          <cell r="W10">
            <v>-3.6842151895011832</v>
          </cell>
          <cell r="X10">
            <v>-4.3119656410284071</v>
          </cell>
          <cell r="Y10">
            <v>-4.4291700793955879</v>
          </cell>
          <cell r="Z10">
            <v>-4.4966088730370322</v>
          </cell>
          <cell r="AA10">
            <v>-5.6873846533076762</v>
          </cell>
          <cell r="AB10">
            <v>-5.3317009299823601</v>
          </cell>
          <cell r="AC10">
            <v>-5.2263071188749137</v>
          </cell>
          <cell r="AD10">
            <v>-4.9253456201362056</v>
          </cell>
          <cell r="AE10">
            <v>-4.7793964702279776</v>
          </cell>
          <cell r="AF10">
            <v>-4.6554089649167922</v>
          </cell>
          <cell r="AG10">
            <v>-4.4697109997132554</v>
          </cell>
          <cell r="AH10">
            <v>-4.4177979333419017</v>
          </cell>
        </row>
        <row r="13">
          <cell r="E13">
            <v>-460.99997847488908</v>
          </cell>
          <cell r="F13">
            <v>-128.00004960464491</v>
          </cell>
          <cell r="G13">
            <v>70.000029324942034</v>
          </cell>
          <cell r="H13">
            <v>-17.999995820765037</v>
          </cell>
          <cell r="I13">
            <v>17.000058545187017</v>
          </cell>
          <cell r="J13">
            <v>-67.000018288922888</v>
          </cell>
          <cell r="K13">
            <v>52.999980779751866</v>
          </cell>
          <cell r="L13">
            <v>-119.00006159542278</v>
          </cell>
          <cell r="M13">
            <v>15.700021699732133</v>
          </cell>
          <cell r="N13">
            <v>-252.31657213944703</v>
          </cell>
          <cell r="O13">
            <v>-392.6998086086038</v>
          </cell>
          <cell r="P13">
            <v>-156.95150186087665</v>
          </cell>
          <cell r="Q13">
            <v>-396.77252951643038</v>
          </cell>
          <cell r="R13">
            <v>-623.42086525869718</v>
          </cell>
          <cell r="S13">
            <v>-588.1778935243284</v>
          </cell>
          <cell r="T13">
            <v>-329.3446181654042</v>
          </cell>
          <cell r="U13">
            <v>-411.15505754671244</v>
          </cell>
          <cell r="V13">
            <v>-492.65381466312749</v>
          </cell>
          <cell r="W13">
            <v>-165.46724186786923</v>
          </cell>
          <cell r="X13">
            <v>1038.3137819300007</v>
          </cell>
          <cell r="Y13">
            <v>453.45116461460611</v>
          </cell>
          <cell r="Z13">
            <v>-91.841330615352035</v>
          </cell>
          <cell r="AA13">
            <v>-596.5219713202946</v>
          </cell>
          <cell r="AB13">
            <v>-303.51566359685216</v>
          </cell>
          <cell r="AC13">
            <v>-366.95993824858238</v>
          </cell>
          <cell r="AD13">
            <v>-205.30825395727652</v>
          </cell>
          <cell r="AE13">
            <v>-192.07741540409324</v>
          </cell>
          <cell r="AF13">
            <v>-151.08271697064993</v>
          </cell>
          <cell r="AG13">
            <v>-92.853521949004289</v>
          </cell>
          <cell r="AH13">
            <v>97.113241375190455</v>
          </cell>
        </row>
        <row r="16">
          <cell r="E16">
            <v>1218.9999438819559</v>
          </cell>
          <cell r="F16">
            <v>1205.999873450691</v>
          </cell>
          <cell r="G16">
            <v>1124.9999515653699</v>
          </cell>
          <cell r="H16">
            <v>1136.999915709453</v>
          </cell>
          <cell r="I16">
            <v>1281.9999791558</v>
          </cell>
          <cell r="J16">
            <v>1224.9999706574811</v>
          </cell>
          <cell r="K16">
            <v>1414.999989051101</v>
          </cell>
          <cell r="L16">
            <v>1463.999892309974</v>
          </cell>
          <cell r="M16">
            <v>1780.8999219376692</v>
          </cell>
          <cell r="N16">
            <v>1852.5873784783819</v>
          </cell>
          <cell r="O16">
            <v>2085.300172696268</v>
          </cell>
          <cell r="P16">
            <v>2408.4809031291234</v>
          </cell>
          <cell r="Q16">
            <v>3019.6699496963492</v>
          </cell>
          <cell r="R16">
            <v>3448.9630426176827</v>
          </cell>
          <cell r="S16">
            <v>3754.2863600613828</v>
          </cell>
          <cell r="T16">
            <v>4401.8936705905944</v>
          </cell>
          <cell r="U16">
            <v>4657.0543265518645</v>
          </cell>
          <cell r="V16">
            <v>5227.4894044396742</v>
          </cell>
          <cell r="W16">
            <v>6881.7129992699902</v>
          </cell>
          <cell r="X16">
            <v>8220.8215500000006</v>
          </cell>
          <cell r="Y16">
            <v>7748.1237262612176</v>
          </cell>
          <cell r="Z16">
            <v>6819.5410080070469</v>
          </cell>
          <cell r="AA16">
            <v>7123.2793566995506</v>
          </cell>
          <cell r="AB16">
            <v>8165.5341684593732</v>
          </cell>
          <cell r="AC16">
            <v>8346.4002385856693</v>
          </cell>
          <cell r="AD16">
            <v>8859.7881507988877</v>
          </cell>
          <cell r="AE16">
            <v>9382.4747469301492</v>
          </cell>
          <cell r="AF16">
            <v>9982.907311291654</v>
          </cell>
          <cell r="AG16">
            <v>10659.848261990197</v>
          </cell>
          <cell r="AH16">
            <v>11335.705755498489</v>
          </cell>
        </row>
        <row r="20">
          <cell r="F20">
            <v>0.79919046850681175</v>
          </cell>
          <cell r="G20">
            <v>-13.776010508162484</v>
          </cell>
          <cell r="H20">
            <v>-1.9540252137295593</v>
          </cell>
          <cell r="I20">
            <v>16.998832613596218</v>
          </cell>
          <cell r="J20">
            <v>-5.9118249940831626</v>
          </cell>
          <cell r="K20">
            <v>15.44196994076435</v>
          </cell>
          <cell r="L20">
            <v>3.7822772140660565</v>
          </cell>
          <cell r="M20">
            <v>4.9511167518119992</v>
          </cell>
          <cell r="N20">
            <v>12.789014558495055</v>
          </cell>
          <cell r="O20">
            <v>1.0738325044507433</v>
          </cell>
          <cell r="P20">
            <v>39.747385696686798</v>
          </cell>
          <cell r="Q20">
            <v>25.496737195785357</v>
          </cell>
          <cell r="R20">
            <v>9.7851815899819439</v>
          </cell>
          <cell r="S20">
            <v>8.5513790385365542</v>
          </cell>
          <cell r="T20">
            <v>21.560871285433542</v>
          </cell>
          <cell r="U20">
            <v>5.2174019824801761</v>
          </cell>
          <cell r="V20">
            <v>13.804850795319624</v>
          </cell>
          <cell r="W20">
            <v>30.474747556107751</v>
          </cell>
          <cell r="X20">
            <v>23.081530260709453</v>
          </cell>
          <cell r="Y20">
            <v>-11.597395818126518</v>
          </cell>
          <cell r="Z20">
            <v>-15.312723901517494</v>
          </cell>
          <cell r="AA20">
            <v>6.8213699122983096</v>
          </cell>
          <cell r="AB20">
            <v>16.771249286936683</v>
          </cell>
          <cell r="AC20">
            <v>8.0605764533463553</v>
          </cell>
          <cell r="AD20">
            <v>-2.9837251356238603</v>
          </cell>
          <cell r="AE20">
            <v>2.2050161295798385</v>
          </cell>
          <cell r="AF20">
            <v>10.332593561586808</v>
          </cell>
          <cell r="AG20">
            <v>8.4758007970331981</v>
          </cell>
          <cell r="AH20">
            <v>8.4758010000000521</v>
          </cell>
        </row>
        <row r="24">
          <cell r="E24">
            <v>-1679.999922356845</v>
          </cell>
          <cell r="F24">
            <v>-1333.999923055336</v>
          </cell>
          <cell r="G24">
            <v>-1054.9999222404281</v>
          </cell>
          <cell r="H24">
            <v>-1154.999911530218</v>
          </cell>
          <cell r="I24">
            <v>-1264.9999206106131</v>
          </cell>
          <cell r="J24">
            <v>-1291.9999889464038</v>
          </cell>
          <cell r="K24">
            <v>-1362.0000082713491</v>
          </cell>
          <cell r="L24">
            <v>-1582.999953905397</v>
          </cell>
          <cell r="M24">
            <v>-1765.1999002379371</v>
          </cell>
          <cell r="N24">
            <v>-2104.9039506178287</v>
          </cell>
          <cell r="O24">
            <v>-2477.9999813048717</v>
          </cell>
          <cell r="P24">
            <v>-2565.4324049900001</v>
          </cell>
          <cell r="Q24">
            <v>-3416.4424792127793</v>
          </cell>
          <cell r="R24">
            <v>-4072.3839078763799</v>
          </cell>
          <cell r="S24">
            <v>-4342.464253585711</v>
          </cell>
          <cell r="T24">
            <v>-4731.2382887559979</v>
          </cell>
          <cell r="U24">
            <v>-5068.2093840985763</v>
          </cell>
          <cell r="V24">
            <v>-5720.1432191028016</v>
          </cell>
          <cell r="W24">
            <v>-7047.1802411378594</v>
          </cell>
          <cell r="X24">
            <v>-7182.5077680700006</v>
          </cell>
          <cell r="Y24">
            <v>-7294.6725616466119</v>
          </cell>
          <cell r="Z24">
            <v>-6911.3823386223985</v>
          </cell>
          <cell r="AA24">
            <v>-7719.8013280198447</v>
          </cell>
          <cell r="AB24">
            <v>-8469.0498320562256</v>
          </cell>
          <cell r="AC24">
            <v>-8713.3601768342523</v>
          </cell>
          <cell r="AD24">
            <v>-9065.0964047561647</v>
          </cell>
          <cell r="AE24">
            <v>-9574.5521623342429</v>
          </cell>
          <cell r="AF24">
            <v>-10133.990028262304</v>
          </cell>
          <cell r="AG24">
            <v>-10752.701783939201</v>
          </cell>
          <cell r="AH24">
            <v>-11238.5925141233</v>
          </cell>
        </row>
        <row r="28">
          <cell r="F28">
            <v>-20.654548373336329</v>
          </cell>
          <cell r="G28">
            <v>-26.2144844099174</v>
          </cell>
          <cell r="H28">
            <v>11.055907155907288</v>
          </cell>
          <cell r="I28">
            <v>10.961967697319634</v>
          </cell>
          <cell r="J28">
            <v>0.80645326446893983</v>
          </cell>
          <cell r="K28">
            <v>4.7000050779741978</v>
          </cell>
          <cell r="L28">
            <v>18.242595647819371</v>
          </cell>
          <cell r="M28">
            <v>14.717281949055252</v>
          </cell>
          <cell r="N28">
            <v>22.98268166208755</v>
          </cell>
          <cell r="O28">
            <v>13.935650001437105</v>
          </cell>
          <cell r="P28">
            <v>7.8894472401454614</v>
          </cell>
          <cell r="Q28">
            <v>27.138338872910246</v>
          </cell>
          <cell r="R28">
            <v>19.960777910314381</v>
          </cell>
          <cell r="S28">
            <v>7.0750774012290911</v>
          </cell>
          <cell r="T28">
            <v>8.4960703606143628</v>
          </cell>
          <cell r="U28">
            <v>5.7606345400261745</v>
          </cell>
          <cell r="V28">
            <v>17.274029847457289</v>
          </cell>
          <cell r="W28">
            <v>26.016351622092081</v>
          </cell>
          <cell r="X28">
            <v>0.84597504314113969</v>
          </cell>
          <cell r="Y28">
            <v>0.47997496664442407</v>
          </cell>
          <cell r="Z28">
            <v>-4.6770061609853357</v>
          </cell>
          <cell r="AA28">
            <v>13.790701723837701</v>
          </cell>
          <cell r="AB28">
            <v>10.879877582249426</v>
          </cell>
          <cell r="AC28">
            <v>6.7485509246480904</v>
          </cell>
          <cell r="AD28">
            <v>0.73691014867485549</v>
          </cell>
          <cell r="AE28">
            <v>4.506628687031184</v>
          </cell>
          <cell r="AF28">
            <v>9.2671814408008135</v>
          </cell>
          <cell r="AG28">
            <v>7.4632353444593971</v>
          </cell>
          <cell r="AH28">
            <v>7.4632350000003473</v>
          </cell>
        </row>
        <row r="35">
          <cell r="E35">
            <v>0</v>
          </cell>
          <cell r="F35">
            <v>0</v>
          </cell>
          <cell r="G35">
            <v>0</v>
          </cell>
          <cell r="H35">
            <v>0</v>
          </cell>
          <cell r="I35">
            <v>0</v>
          </cell>
          <cell r="J35">
            <v>0</v>
          </cell>
          <cell r="K35">
            <v>0</v>
          </cell>
          <cell r="L35">
            <v>0</v>
          </cell>
          <cell r="M35">
            <v>0</v>
          </cell>
          <cell r="N35">
            <v>0</v>
          </cell>
          <cell r="O35">
            <v>0</v>
          </cell>
          <cell r="P35">
            <v>0</v>
          </cell>
          <cell r="Q35">
            <v>-92.159714811510113</v>
          </cell>
          <cell r="R35">
            <v>-101.66999760782383</v>
          </cell>
          <cell r="S35">
            <v>-65.429301171452167</v>
          </cell>
          <cell r="T35">
            <v>-108.83510027831895</v>
          </cell>
          <cell r="U35">
            <v>-89.299455145182208</v>
          </cell>
          <cell r="V35">
            <v>-179.49550000000002</v>
          </cell>
          <cell r="W35">
            <v>-381.17200000000003</v>
          </cell>
          <cell r="X35">
            <v>-1724.4484180000002</v>
          </cell>
          <cell r="Y35">
            <v>-1140.8282939999999</v>
          </cell>
          <cell r="Z35">
            <v>-595.79000200000007</v>
          </cell>
          <cell r="AA35">
            <v>-347.18532200000004</v>
          </cell>
          <cell r="AB35">
            <v>-622.08968599999992</v>
          </cell>
          <cell r="AC35">
            <v>-593.77438888968106</v>
          </cell>
          <cell r="AD35">
            <v>-730.90035936785239</v>
          </cell>
          <cell r="AE35">
            <v>-829.7401707059721</v>
          </cell>
          <cell r="AF35">
            <v>-903.67386950892023</v>
          </cell>
          <cell r="AG35">
            <v>-997.43590676208896</v>
          </cell>
          <cell r="AH35">
            <v>-1081.0932840290354</v>
          </cell>
        </row>
        <row r="39">
          <cell r="E39">
            <v>15.000002677552301</v>
          </cell>
          <cell r="F39">
            <v>26.999999417923501</v>
          </cell>
          <cell r="G39">
            <v>36.000000465661302</v>
          </cell>
          <cell r="H39">
            <v>69.000002444721602</v>
          </cell>
          <cell r="I39">
            <v>140.99999592546399</v>
          </cell>
          <cell r="J39">
            <v>218.999986379408</v>
          </cell>
          <cell r="K39">
            <v>149.99999883584701</v>
          </cell>
          <cell r="L39">
            <v>187.999984633178</v>
          </cell>
          <cell r="M39">
            <v>130.19999243300401</v>
          </cell>
          <cell r="N39">
            <v>126.50000448199</v>
          </cell>
          <cell r="O39">
            <v>191.90000576255801</v>
          </cell>
          <cell r="P39">
            <v>117.31004904442993</v>
          </cell>
          <cell r="Q39">
            <v>163.11299107740354</v>
          </cell>
          <cell r="R39">
            <v>143.40715014423412</v>
          </cell>
          <cell r="S39">
            <v>155.20663344368754</v>
          </cell>
          <cell r="T39">
            <v>133.80192719176176</v>
          </cell>
          <cell r="U39">
            <v>149.5169900322627</v>
          </cell>
          <cell r="V39">
            <v>125.502</v>
          </cell>
          <cell r="W39">
            <v>113.224</v>
          </cell>
          <cell r="X39">
            <v>102.17113199999997</v>
          </cell>
          <cell r="Y39">
            <v>92.201336600000005</v>
          </cell>
          <cell r="Z39">
            <v>147.91103221</v>
          </cell>
          <cell r="AA39">
            <v>169.04022115999996</v>
          </cell>
          <cell r="AB39">
            <v>197.39665000000005</v>
          </cell>
          <cell r="AC39">
            <v>211.34357808499999</v>
          </cell>
          <cell r="AD39">
            <v>220.78441063955006</v>
          </cell>
          <cell r="AE39">
            <v>223</v>
          </cell>
          <cell r="AF39">
            <v>225</v>
          </cell>
          <cell r="AG39">
            <v>231</v>
          </cell>
          <cell r="AH39">
            <v>233</v>
          </cell>
        </row>
        <row r="41">
          <cell r="E41">
            <v>-4.9999977881089999</v>
          </cell>
          <cell r="F41">
            <v>1.0061395682774799E-13</v>
          </cell>
          <cell r="G41">
            <v>6.0000006984918999</v>
          </cell>
          <cell r="H41">
            <v>46.000001629814399</v>
          </cell>
          <cell r="I41">
            <v>108.99999592546401</v>
          </cell>
          <cell r="J41">
            <v>175.99998696148501</v>
          </cell>
          <cell r="K41">
            <v>115.00000034924599</v>
          </cell>
          <cell r="L41">
            <v>150.999985913746</v>
          </cell>
          <cell r="M41">
            <v>90.399994877725604</v>
          </cell>
          <cell r="N41">
            <v>87.200004190951702</v>
          </cell>
          <cell r="O41">
            <v>136.400003958121</v>
          </cell>
        </row>
        <row r="44">
          <cell r="E44">
            <v>453.39994016252604</v>
          </cell>
          <cell r="F44">
            <v>319.28866330187503</v>
          </cell>
          <cell r="G44">
            <v>-205.39997462146002</v>
          </cell>
          <cell r="H44">
            <v>141.55306367277501</v>
          </cell>
          <cell r="I44">
            <v>-232.82318015212098</v>
          </cell>
          <cell r="J44">
            <v>-142.499971885701</v>
          </cell>
          <cell r="K44">
            <v>-285.19975273386791</v>
          </cell>
          <cell r="L44">
            <v>-324.01695798629498</v>
          </cell>
          <cell r="M44">
            <v>-182.79987077899901</v>
          </cell>
          <cell r="N44">
            <v>-64.422049293737984</v>
          </cell>
          <cell r="O44">
            <v>517.71566791541397</v>
          </cell>
          <cell r="P44">
            <v>59.293092502250943</v>
          </cell>
          <cell r="Q44">
            <v>106.19225325053702</v>
          </cell>
          <cell r="R44">
            <v>271.30671272228682</v>
          </cell>
          <cell r="S44">
            <v>159.29756125209298</v>
          </cell>
          <cell r="T44">
            <v>293.72979125196139</v>
          </cell>
          <cell r="U44">
            <v>152.322522659632</v>
          </cell>
          <cell r="V44">
            <v>291.82781466312753</v>
          </cell>
          <cell r="W44">
            <v>702.87424186786927</v>
          </cell>
          <cell r="X44">
            <v>462.46674536999899</v>
          </cell>
          <cell r="Y44">
            <v>311.46096518289301</v>
          </cell>
          <cell r="Z44">
            <v>471.1432321782064</v>
          </cell>
          <cell r="AA44">
            <v>824.37609704749332</v>
          </cell>
          <cell r="AB44">
            <v>936.66468049685193</v>
          </cell>
          <cell r="AC44">
            <v>960.90968029214014</v>
          </cell>
          <cell r="AD44">
            <v>943.33019701975604</v>
          </cell>
          <cell r="AE44">
            <v>970.63203012631402</v>
          </cell>
          <cell r="AF44">
            <v>1002.062842868434</v>
          </cell>
          <cell r="AG44">
            <v>1020.9741136664081</v>
          </cell>
          <cell r="AH44">
            <v>1073.3948578114246</v>
          </cell>
        </row>
        <row r="52">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row>
        <row r="59">
          <cell r="E59">
            <v>47.999998137354901</v>
          </cell>
          <cell r="F59">
            <v>65.999996507540502</v>
          </cell>
          <cell r="G59">
            <v>25.999999301508101</v>
          </cell>
          <cell r="H59">
            <v>55.000000814907203</v>
          </cell>
          <cell r="I59">
            <v>51.999998603016202</v>
          </cell>
          <cell r="J59">
            <v>65.0000019790604</v>
          </cell>
          <cell r="K59">
            <v>68.000000465661302</v>
          </cell>
          <cell r="L59">
            <v>106.00000116415301</v>
          </cell>
          <cell r="M59">
            <v>122.80000162981401</v>
          </cell>
          <cell r="N59">
            <v>95.199997671693694</v>
          </cell>
          <cell r="O59">
            <v>163.99999674037099</v>
          </cell>
          <cell r="P59">
            <v>169.30000305175801</v>
          </cell>
        </row>
        <row r="61">
          <cell r="E61">
            <v>0</v>
          </cell>
          <cell r="F61">
            <v>0</v>
          </cell>
          <cell r="G61">
            <v>0</v>
          </cell>
          <cell r="H61">
            <v>0</v>
          </cell>
          <cell r="I61">
            <v>0</v>
          </cell>
          <cell r="J61">
            <v>0</v>
          </cell>
          <cell r="K61">
            <v>0</v>
          </cell>
          <cell r="L61">
            <v>0</v>
          </cell>
          <cell r="M61">
            <v>0</v>
          </cell>
          <cell r="N61">
            <v>0</v>
          </cell>
          <cell r="O61">
            <v>0</v>
          </cell>
          <cell r="P61">
            <v>0</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E61" t="str">
            <v/>
          </cell>
          <cell r="AF61" t="str">
            <v/>
          </cell>
          <cell r="AG61" t="str">
            <v/>
          </cell>
          <cell r="AH61" t="str">
            <v/>
          </cell>
        </row>
        <row r="64">
          <cell r="E64">
            <v>47.999998137354901</v>
          </cell>
          <cell r="F64">
            <v>65.999996507540502</v>
          </cell>
          <cell r="G64">
            <v>25.999999301508101</v>
          </cell>
          <cell r="H64">
            <v>55.000000814907203</v>
          </cell>
          <cell r="I64">
            <v>51.999998603016202</v>
          </cell>
          <cell r="J64">
            <v>65.0000019790604</v>
          </cell>
          <cell r="K64">
            <v>68.000000465661302</v>
          </cell>
          <cell r="L64">
            <v>106.00000116415301</v>
          </cell>
          <cell r="M64">
            <v>122.80000162981401</v>
          </cell>
          <cell r="N64">
            <v>95.199997671693694</v>
          </cell>
          <cell r="O64">
            <v>163.99999674037099</v>
          </cell>
          <cell r="P64">
            <v>169.30000305175801</v>
          </cell>
          <cell r="Q64">
            <v>221.73500000000001</v>
          </cell>
          <cell r="R64">
            <v>243.14599999999999</v>
          </cell>
          <cell r="S64">
            <v>291.904</v>
          </cell>
          <cell r="T64">
            <v>331.4</v>
          </cell>
          <cell r="U64">
            <v>421.255</v>
          </cell>
          <cell r="V64">
            <v>402.483</v>
          </cell>
          <cell r="W64">
            <v>606.851</v>
          </cell>
          <cell r="X64">
            <v>614.46562999999992</v>
          </cell>
          <cell r="Y64">
            <v>400.11014699999998</v>
          </cell>
          <cell r="Z64">
            <v>445.01847299999997</v>
          </cell>
          <cell r="AA64">
            <v>636.98491899999999</v>
          </cell>
          <cell r="AB64">
            <v>586.94129019159004</v>
          </cell>
          <cell r="AC64">
            <v>556.36831849999999</v>
          </cell>
          <cell r="AD64">
            <v>550.02499999999998</v>
          </cell>
          <cell r="AE64">
            <v>599.34624201139172</v>
          </cell>
          <cell r="AF64">
            <v>650.21537135682979</v>
          </cell>
          <cell r="AG64">
            <v>705.19152512393521</v>
          </cell>
          <cell r="AH64">
            <v>581.75643348449182</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row>
        <row r="70">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2">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4">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6">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row>
        <row r="79">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1">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row>
        <row r="84">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7">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91">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3">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6">
          <cell r="E96">
            <v>480.40418827383075</v>
          </cell>
          <cell r="F96">
            <v>177.25768588470362</v>
          </cell>
          <cell r="G96">
            <v>-128.76909534240013</v>
          </cell>
          <cell r="H96">
            <v>156.49741889781771</v>
          </cell>
          <cell r="I96">
            <v>-142.73733526505217</v>
          </cell>
          <cell r="J96">
            <v>-152.64368729216329</v>
          </cell>
          <cell r="K96">
            <v>-334.20692403376552</v>
          </cell>
          <cell r="L96">
            <v>-495.6708091504787</v>
          </cell>
          <cell r="M96">
            <v>-261.59988591298901</v>
          </cell>
          <cell r="N96">
            <v>-180.42201436914149</v>
          </cell>
          <cell r="O96">
            <v>51.215854820201969</v>
          </cell>
          <cell r="P96">
            <v>77.950918141572942</v>
          </cell>
          <cell r="Q96" t="str">
            <v/>
          </cell>
          <cell r="R96" t="str">
            <v/>
          </cell>
          <cell r="S96" t="str">
            <v/>
          </cell>
          <cell r="T96" t="str">
            <v/>
          </cell>
          <cell r="U96" t="str">
            <v/>
          </cell>
          <cell r="V96" t="str">
            <v/>
          </cell>
          <cell r="W96" t="str">
            <v/>
          </cell>
          <cell r="X96" t="str">
            <v/>
          </cell>
          <cell r="Y96" t="str">
            <v/>
          </cell>
          <cell r="Z96" t="str">
            <v/>
          </cell>
          <cell r="AA96" t="str">
            <v/>
          </cell>
          <cell r="AB96" t="str">
            <v/>
          </cell>
          <cell r="AC96" t="str">
            <v/>
          </cell>
          <cell r="AD96" t="str">
            <v/>
          </cell>
          <cell r="AE96" t="str">
            <v/>
          </cell>
          <cell r="AF96" t="str">
            <v/>
          </cell>
          <cell r="AG96" t="str">
            <v/>
          </cell>
          <cell r="AH96" t="str">
            <v/>
          </cell>
        </row>
        <row r="99">
          <cell r="E99">
            <v>1</v>
          </cell>
          <cell r="F99">
            <v>32</v>
          </cell>
          <cell r="G99">
            <v>-1</v>
          </cell>
          <cell r="H99">
            <v>-21.999998835846799</v>
          </cell>
          <cell r="I99">
            <v>-11.9999995343387</v>
          </cell>
          <cell r="J99">
            <v>-5.9999997671693697</v>
          </cell>
          <cell r="K99">
            <v>-2.9999998835846799</v>
          </cell>
          <cell r="L99">
            <v>8.9999991850927898</v>
          </cell>
          <cell r="M99">
            <v>0</v>
          </cell>
          <cell r="N99">
            <v>-2.2053717519399201E-2</v>
          </cell>
          <cell r="O99">
            <v>-0.183969741913065</v>
          </cell>
          <cell r="P99">
            <v>-0.50669413805007901</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1">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3">
          <cell r="E103">
            <v>479.40418827383075</v>
          </cell>
          <cell r="F103">
            <v>145.25768588470362</v>
          </cell>
          <cell r="G103">
            <v>-127.76909534240013</v>
          </cell>
          <cell r="H103">
            <v>178.49741773366452</v>
          </cell>
          <cell r="I103">
            <v>-130.73733573071345</v>
          </cell>
          <cell r="J103">
            <v>-146.64368752499394</v>
          </cell>
          <cell r="K103">
            <v>-331.20692415018084</v>
          </cell>
          <cell r="L103">
            <v>-504.67080833557151</v>
          </cell>
          <cell r="M103">
            <v>-261.59988591298901</v>
          </cell>
          <cell r="N103">
            <v>-180.39996065162208</v>
          </cell>
          <cell r="O103">
            <v>51.399824562115036</v>
          </cell>
          <cell r="P103">
            <v>78.457612279623021</v>
          </cell>
          <cell r="Q103" t="str">
            <v/>
          </cell>
          <cell r="R103" t="str">
            <v/>
          </cell>
          <cell r="S103" t="str">
            <v/>
          </cell>
          <cell r="T103" t="str">
            <v/>
          </cell>
          <cell r="U103" t="str">
            <v/>
          </cell>
          <cell r="V103" t="str">
            <v/>
          </cell>
          <cell r="W103" t="str">
            <v/>
          </cell>
          <cell r="X103" t="str">
            <v/>
          </cell>
          <cell r="Y103" t="str">
            <v/>
          </cell>
          <cell r="Z103" t="str">
            <v/>
          </cell>
          <cell r="AA103" t="str">
            <v/>
          </cell>
          <cell r="AB103" t="str">
            <v/>
          </cell>
          <cell r="AC103" t="str">
            <v/>
          </cell>
          <cell r="AD103" t="str">
            <v/>
          </cell>
          <cell r="AE103" t="str">
            <v/>
          </cell>
          <cell r="AF103" t="str">
            <v/>
          </cell>
          <cell r="AG103" t="str">
            <v/>
          </cell>
          <cell r="AH103" t="str">
            <v/>
          </cell>
        </row>
        <row r="107">
          <cell r="E107">
            <v>223.88021828739477</v>
          </cell>
          <cell r="F107">
            <v>179.60573736671711</v>
          </cell>
          <cell r="G107">
            <v>-89.793935636009934</v>
          </cell>
          <cell r="H107">
            <v>-9.5085642286754819</v>
          </cell>
          <cell r="I107">
            <v>-245.73092061361046</v>
          </cell>
          <cell r="J107">
            <v>-170.64575434312462</v>
          </cell>
          <cell r="K107">
            <v>-330.20446595411795</v>
          </cell>
          <cell r="L107">
            <v>-547.67080367934329</v>
          </cell>
          <cell r="M107">
            <v>-396.679362199011</v>
          </cell>
          <cell r="N107">
            <v>-332.74095995281311</v>
          </cell>
          <cell r="O107">
            <v>8.28265411136897E-4</v>
          </cell>
          <cell r="P107">
            <v>15.063999215051723</v>
          </cell>
          <cell r="Q107" t="str">
            <v/>
          </cell>
          <cell r="R107" t="str">
            <v/>
          </cell>
          <cell r="S107" t="str">
            <v/>
          </cell>
          <cell r="T107" t="str">
            <v/>
          </cell>
          <cell r="U107" t="str">
            <v/>
          </cell>
          <cell r="V107" t="str">
            <v/>
          </cell>
          <cell r="W107" t="str">
            <v/>
          </cell>
          <cell r="X107" t="str">
            <v/>
          </cell>
          <cell r="Y107" t="str">
            <v/>
          </cell>
          <cell r="Z107" t="str">
            <v/>
          </cell>
          <cell r="AA107" t="str">
            <v/>
          </cell>
          <cell r="AB107" t="str">
            <v/>
          </cell>
          <cell r="AC107" t="str">
            <v/>
          </cell>
          <cell r="AD107" t="str">
            <v/>
          </cell>
          <cell r="AE107" t="str">
            <v/>
          </cell>
          <cell r="AF107" t="str">
            <v/>
          </cell>
          <cell r="AG107" t="str">
            <v/>
          </cell>
          <cell r="AH107" t="str">
            <v/>
          </cell>
        </row>
        <row r="110">
          <cell r="E110">
            <v>0</v>
          </cell>
          <cell r="F110">
            <v>0</v>
          </cell>
          <cell r="G110">
            <v>0</v>
          </cell>
          <cell r="H110">
            <v>0</v>
          </cell>
          <cell r="I110">
            <v>0</v>
          </cell>
          <cell r="J110">
            <v>0</v>
          </cell>
          <cell r="K110">
            <v>0</v>
          </cell>
          <cell r="L110">
            <v>0</v>
          </cell>
          <cell r="M110">
            <v>0</v>
          </cell>
          <cell r="N110">
            <v>0</v>
          </cell>
          <cell r="O110">
            <v>0</v>
          </cell>
          <cell r="P110">
            <v>0</v>
          </cell>
          <cell r="Q110">
            <v>19.954000000000001</v>
          </cell>
          <cell r="R110">
            <v>-67.207999999999998</v>
          </cell>
          <cell r="S110">
            <v>-143.29300000000001</v>
          </cell>
          <cell r="T110">
            <v>-120.419</v>
          </cell>
          <cell r="U110">
            <v>-189.18199999999999</v>
          </cell>
          <cell r="V110">
            <v>142.81399999999999</v>
          </cell>
          <cell r="W110">
            <v>230.21100000000001</v>
          </cell>
          <cell r="X110">
            <v>85.198999999999998</v>
          </cell>
          <cell r="Y110">
            <v>94.176000000000002</v>
          </cell>
          <cell r="Z110">
            <v>127.2931</v>
          </cell>
          <cell r="AA110">
            <v>67.599999999999994</v>
          </cell>
          <cell r="AB110">
            <v>242.9</v>
          </cell>
          <cell r="AC110">
            <v>112.54037</v>
          </cell>
          <cell r="AD110">
            <v>250.33397199999999</v>
          </cell>
          <cell r="AE110">
            <v>371.25200000000001</v>
          </cell>
          <cell r="AF110">
            <v>434.55200000000002</v>
          </cell>
          <cell r="AG110">
            <v>324.55200000000002</v>
          </cell>
          <cell r="AH110">
            <v>324.55201622760097</v>
          </cell>
        </row>
        <row r="112">
          <cell r="E112">
            <v>255.52396998643599</v>
          </cell>
          <cell r="F112">
            <v>-34.348051482013503</v>
          </cell>
          <cell r="G112">
            <v>-37.975159706390201</v>
          </cell>
          <cell r="H112">
            <v>188.00598196234</v>
          </cell>
          <cell r="I112">
            <v>114.993584882897</v>
          </cell>
          <cell r="J112">
            <v>24.0020668181307</v>
          </cell>
          <cell r="K112">
            <v>-1.00245819606289</v>
          </cell>
          <cell r="L112">
            <v>42.999995343771801</v>
          </cell>
          <cell r="M112">
            <v>135.07947628602199</v>
          </cell>
          <cell r="N112">
            <v>152.340999301191</v>
          </cell>
          <cell r="O112">
            <v>51.398996296703899</v>
          </cell>
          <cell r="P112">
            <v>63.393613064571298</v>
          </cell>
          <cell r="Q112">
            <v>-39.471079336953103</v>
          </cell>
          <cell r="R112">
            <v>-33.292296076766497</v>
          </cell>
          <cell r="S112">
            <v>-4.9948343127522801</v>
          </cell>
          <cell r="T112">
            <v>0.39877619993591701</v>
          </cell>
          <cell r="U112">
            <v>9.7390117826963092</v>
          </cell>
          <cell r="V112">
            <v>1.37326831308238</v>
          </cell>
          <cell r="W112">
            <v>-2.56408956862739E-13</v>
          </cell>
          <cell r="X112">
            <v>-4.3955728122736346</v>
          </cell>
          <cell r="Y112">
            <v>-0.40960168069541503</v>
          </cell>
          <cell r="Z112">
            <v>-0.13534742502655001</v>
          </cell>
          <cell r="AA112">
            <v>1.1951014910708453</v>
          </cell>
          <cell r="AB112">
            <v>0.54753616373195957</v>
          </cell>
          <cell r="AC112">
            <v>-1.6443406541063992</v>
          </cell>
          <cell r="AD112">
            <v>1.7612442947462701</v>
          </cell>
          <cell r="AE112">
            <v>38.7569914319931</v>
          </cell>
          <cell r="AF112">
            <v>2.2699226195512798</v>
          </cell>
          <cell r="AG112">
            <v>2.64209131021097</v>
          </cell>
          <cell r="AH112">
            <v>2.6420914423155399</v>
          </cell>
        </row>
        <row r="115">
          <cell r="E115">
            <v>184.53963714510101</v>
          </cell>
          <cell r="F115">
            <v>240.927923203143</v>
          </cell>
          <cell r="G115">
            <v>138.606988760684</v>
          </cell>
          <cell r="H115">
            <v>341.139657983441</v>
          </cell>
          <cell r="I115">
            <v>258.06407894821098</v>
          </cell>
          <cell r="J115">
            <v>92.042635479780103</v>
          </cell>
          <cell r="K115">
            <v>-100.941295597698</v>
          </cell>
          <cell r="L115">
            <v>53.30173418076</v>
          </cell>
          <cell r="M115">
            <v>-61.47947615436</v>
          </cell>
          <cell r="N115">
            <v>-94.241018587452402</v>
          </cell>
          <cell r="O115">
            <v>-69.979209854321894</v>
          </cell>
          <cell r="P115">
            <v>235.833138943878</v>
          </cell>
          <cell r="Q115">
            <v>3.82109616527259E-12</v>
          </cell>
          <cell r="R115">
            <v>-113.5</v>
          </cell>
          <cell r="S115">
            <v>55.500000000003197</v>
          </cell>
          <cell r="T115">
            <v>4.5999999999964301</v>
          </cell>
          <cell r="U115">
            <v>-376.80000000000501</v>
          </cell>
          <cell r="V115">
            <v>-179.49999999999599</v>
          </cell>
          <cell r="W115">
            <v>52.499999999997499</v>
          </cell>
          <cell r="X115">
            <v>-138.79048020548737</v>
          </cell>
          <cell r="Y115">
            <v>-142.09999999999101</v>
          </cell>
          <cell r="Z115">
            <v>-123.900000000002</v>
          </cell>
          <cell r="AA115">
            <v>-142.66512330850605</v>
          </cell>
          <cell r="AB115">
            <v>-7.0471001385587604</v>
          </cell>
          <cell r="AC115">
            <v>-272.46417432691777</v>
          </cell>
          <cell r="AD115">
            <v>-134.24750700000001</v>
          </cell>
          <cell r="AE115">
            <v>-154.04799999999901</v>
          </cell>
          <cell r="AF115">
            <v>29.252000000001701</v>
          </cell>
          <cell r="AG115">
            <v>-100.747999999999</v>
          </cell>
          <cell r="AH115">
            <v>-100.748005037399</v>
          </cell>
        </row>
        <row r="117">
          <cell r="E117">
            <v>1.08026496994081</v>
          </cell>
          <cell r="F117">
            <v>51.317124239839899</v>
          </cell>
          <cell r="G117">
            <v>-4.3939543788734898</v>
          </cell>
          <cell r="H117">
            <v>105.938318198255</v>
          </cell>
          <cell r="I117">
            <v>-24.907749309053401</v>
          </cell>
          <cell r="J117">
            <v>12.8542269722181</v>
          </cell>
          <cell r="K117">
            <v>-36.004644418799899</v>
          </cell>
          <cell r="L117">
            <v>-61.653845460216203</v>
          </cell>
          <cell r="M117">
            <v>-54.079479894896402</v>
          </cell>
          <cell r="N117">
            <v>-33.441000174305898</v>
          </cell>
          <cell r="O117">
            <v>-25.778091831186899</v>
          </cell>
          <cell r="P117">
            <v>68.531011324690397</v>
          </cell>
          <cell r="Q117">
            <v>1.76046418188385</v>
          </cell>
          <cell r="R117">
            <v>0</v>
          </cell>
          <cell r="S117">
            <v>-19.786094631213999</v>
          </cell>
          <cell r="T117">
            <v>-44.2038151310459</v>
          </cell>
          <cell r="U117">
            <v>-22.966849330408301</v>
          </cell>
          <cell r="V117">
            <v>-0.68801024768728103</v>
          </cell>
          <cell r="W117">
            <v>0</v>
          </cell>
          <cell r="X117">
            <v>0</v>
          </cell>
          <cell r="Y117">
            <v>0</v>
          </cell>
          <cell r="Z117">
            <v>0</v>
          </cell>
          <cell r="AA117">
            <v>0</v>
          </cell>
          <cell r="AB117">
            <v>0</v>
          </cell>
          <cell r="AC117">
            <v>0</v>
          </cell>
          <cell r="AD117">
            <v>0</v>
          </cell>
          <cell r="AE117">
            <v>0</v>
          </cell>
          <cell r="AF117">
            <v>0</v>
          </cell>
          <cell r="AG117">
            <v>0</v>
          </cell>
          <cell r="AH117">
            <v>0</v>
          </cell>
        </row>
        <row r="120">
          <cell r="E120">
            <v>234.18090125245499</v>
          </cell>
          <cell r="F120">
            <v>178.65509436334401</v>
          </cell>
          <cell r="G120">
            <v>96.892426776222095</v>
          </cell>
          <cell r="H120">
            <v>206.63281293746601</v>
          </cell>
          <cell r="I120">
            <v>1.25316058852603</v>
          </cell>
          <cell r="J120">
            <v>134.210788789438</v>
          </cell>
          <cell r="K120">
            <v>20.743458477857601</v>
          </cell>
          <cell r="L120">
            <v>-67.161534516849798</v>
          </cell>
          <cell r="M120">
            <v>87.100002502929101</v>
          </cell>
          <cell r="N120">
            <v>-242.500010535586</v>
          </cell>
          <cell r="O120">
            <v>-280.50004103639799</v>
          </cell>
          <cell r="P120">
            <v>12.8948314122408</v>
          </cell>
          <cell r="Q120">
            <v>-6.2923278238590097</v>
          </cell>
          <cell r="R120">
            <v>-1.83963158152242</v>
          </cell>
          <cell r="S120">
            <v>0.30322374844533201</v>
          </cell>
          <cell r="T120">
            <v>31.841197733428899</v>
          </cell>
          <cell r="U120">
            <v>-0.30000001192103098</v>
          </cell>
          <cell r="V120">
            <v>-15.4245724624042</v>
          </cell>
          <cell r="W120">
            <v>8.1000003814696395</v>
          </cell>
          <cell r="X120">
            <v>31.782407649131134</v>
          </cell>
          <cell r="Y120">
            <v>12.2412626455798</v>
          </cell>
          <cell r="Z120">
            <v>23.188489597459402</v>
          </cell>
          <cell r="AA120">
            <v>5.8441674172870259</v>
          </cell>
          <cell r="AB120">
            <v>5.9406199914714497</v>
          </cell>
          <cell r="AC120">
            <v>71.564757230909464</v>
          </cell>
          <cell r="AD120">
            <v>104.249498908668</v>
          </cell>
          <cell r="AE120">
            <v>541.83398163577499</v>
          </cell>
          <cell r="AF120">
            <v>158.85820240915501</v>
          </cell>
          <cell r="AG120">
            <v>174.24687309541</v>
          </cell>
          <cell r="AH120">
            <v>174.24688180775399</v>
          </cell>
        </row>
        <row r="122">
          <cell r="E122">
            <v>60.683649876274785</v>
          </cell>
          <cell r="F122">
            <v>-274.32533168178338</v>
          </cell>
          <cell r="G122">
            <v>-363.26851087930623</v>
          </cell>
          <cell r="H122">
            <v>-369.27505318724252</v>
          </cell>
          <cell r="I122">
            <v>-390.05457526745045</v>
          </cell>
          <cell r="J122">
            <v>-372.89711179421204</v>
          </cell>
          <cell r="K122">
            <v>-251.00908703034042</v>
          </cell>
          <cell r="L122">
            <v>-490.81100799948172</v>
          </cell>
          <cell r="M122">
            <v>-287.22041226155812</v>
          </cell>
          <cell r="N122">
            <v>156.34106847141632</v>
          </cell>
          <cell r="O122">
            <v>401.87907545283491</v>
          </cell>
          <cell r="P122">
            <v>-170.27035807649577</v>
          </cell>
          <cell r="Q122" t="str">
            <v/>
          </cell>
          <cell r="R122" t="str">
            <v/>
          </cell>
          <cell r="S122" t="str">
            <v/>
          </cell>
          <cell r="T122" t="str">
            <v/>
          </cell>
          <cell r="U122" t="str">
            <v/>
          </cell>
          <cell r="V122" t="str">
            <v/>
          </cell>
          <cell r="W122" t="str">
            <v/>
          </cell>
          <cell r="X122" t="str">
            <v/>
          </cell>
          <cell r="Y122" t="str">
            <v/>
          </cell>
          <cell r="Z122" t="str">
            <v/>
          </cell>
          <cell r="AA122" t="str">
            <v/>
          </cell>
          <cell r="AB122" t="str">
            <v/>
          </cell>
          <cell r="AC122" t="str">
            <v/>
          </cell>
          <cell r="AD122" t="str">
            <v/>
          </cell>
          <cell r="AE122" t="str">
            <v/>
          </cell>
          <cell r="AF122" t="str">
            <v/>
          </cell>
          <cell r="AG122" t="str">
            <v/>
          </cell>
          <cell r="AH122" t="str">
            <v/>
          </cell>
        </row>
        <row r="129">
          <cell r="E129">
            <v>149.45174149568001</v>
          </cell>
          <cell r="F129">
            <v>132.59697259356301</v>
          </cell>
          <cell r="G129">
            <v>228.11664337809</v>
          </cell>
          <cell r="H129">
            <v>314.485756635543</v>
          </cell>
          <cell r="I129">
            <v>405.78436843972702</v>
          </cell>
          <cell r="J129">
            <v>508.60042972092799</v>
          </cell>
          <cell r="K129">
            <v>526.34290729355405</v>
          </cell>
          <cell r="L129">
            <v>491.97145423061102</v>
          </cell>
          <cell r="M129">
            <v>668.98518449041001</v>
          </cell>
          <cell r="N129">
            <v>742.94780921227402</v>
          </cell>
          <cell r="O129">
            <v>521.18251933115903</v>
          </cell>
          <cell r="P129">
            <v>921.386056865162</v>
          </cell>
          <cell r="Q129">
            <v>1020.55334590132</v>
          </cell>
          <cell r="R129">
            <v>1025.70789743209</v>
          </cell>
          <cell r="S129">
            <v>894.93447632519496</v>
          </cell>
          <cell r="T129">
            <v>1048.4056992088699</v>
          </cell>
          <cell r="U129">
            <v>1000.32401486676</v>
          </cell>
          <cell r="V129">
            <v>1261.9128610113601</v>
          </cell>
          <cell r="W129">
            <v>1063.4875612604001</v>
          </cell>
          <cell r="X129">
            <v>1460.49501412062</v>
          </cell>
          <cell r="Y129">
            <v>1317.8452259032299</v>
          </cell>
          <cell r="Z129">
            <v>1329.9051540685</v>
          </cell>
          <cell r="AA129">
            <v>1496.6494911662501</v>
          </cell>
          <cell r="AB129">
            <v>1155.3856521662503</v>
          </cell>
          <cell r="AC129">
            <v>1305.342002217008</v>
          </cell>
          <cell r="AD129">
            <v>1405.3051440260761</v>
          </cell>
          <cell r="AE129">
            <v>1305.3051440260761</v>
          </cell>
          <cell r="AF129">
            <v>1205.3051440260761</v>
          </cell>
          <cell r="AG129">
            <v>1105.3051440260761</v>
          </cell>
          <cell r="AH129">
            <v>989.258690015615</v>
          </cell>
        </row>
        <row r="142">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row>
        <row r="143">
          <cell r="E143">
            <v>0</v>
          </cell>
          <cell r="F143">
            <v>0</v>
          </cell>
          <cell r="G143">
            <v>0</v>
          </cell>
          <cell r="H143">
            <v>0</v>
          </cell>
          <cell r="I143">
            <v>0</v>
          </cell>
          <cell r="J143">
            <v>0</v>
          </cell>
          <cell r="K143">
            <v>0</v>
          </cell>
          <cell r="L143">
            <v>0</v>
          </cell>
          <cell r="M143">
            <v>0</v>
          </cell>
          <cell r="N143">
            <v>0</v>
          </cell>
          <cell r="O143">
            <v>0</v>
          </cell>
          <cell r="P143">
            <v>0</v>
          </cell>
          <cell r="Q143">
            <v>-13.800000190734901</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row>
        <row r="144">
          <cell r="E144">
            <v>0</v>
          </cell>
          <cell r="F144">
            <v>0</v>
          </cell>
          <cell r="G144">
            <v>0</v>
          </cell>
          <cell r="H144">
            <v>0</v>
          </cell>
          <cell r="I144">
            <v>0</v>
          </cell>
          <cell r="J144">
            <v>0</v>
          </cell>
          <cell r="K144">
            <v>0</v>
          </cell>
          <cell r="L144">
            <v>0</v>
          </cell>
          <cell r="M144">
            <v>0</v>
          </cell>
          <cell r="N144">
            <v>0</v>
          </cell>
          <cell r="O144">
            <v>0</v>
          </cell>
          <cell r="P144">
            <v>0</v>
          </cell>
          <cell r="Q144">
            <v>11.3999996185303</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45">
          <cell r="E145">
            <v>298.99998079147298</v>
          </cell>
          <cell r="F145">
            <v>358.99998032581198</v>
          </cell>
          <cell r="G145">
            <v>452.99998754356102</v>
          </cell>
          <cell r="H145">
            <v>-267.999993946404</v>
          </cell>
          <cell r="I145">
            <v>175.99999068677499</v>
          </cell>
          <cell r="J145">
            <v>-111.99999813735501</v>
          </cell>
          <cell r="K145">
            <v>153.99999185092801</v>
          </cell>
          <cell r="L145">
            <v>82.999992898665695</v>
          </cell>
          <cell r="M145">
            <v>320.60001757871299</v>
          </cell>
          <cell r="N145">
            <v>432.70001740408998</v>
          </cell>
          <cell r="O145">
            <v>275.29998306157103</v>
          </cell>
          <cell r="P145">
            <v>113.800003051758</v>
          </cell>
          <cell r="Q145">
            <v>4.7683717063762288E-7</v>
          </cell>
          <cell r="R145">
            <v>46.400001525878899</v>
          </cell>
          <cell r="S145">
            <v>26.5</v>
          </cell>
          <cell r="T145">
            <v>-15.3999996185303</v>
          </cell>
          <cell r="U145">
            <v>1</v>
          </cell>
          <cell r="V145">
            <v>0</v>
          </cell>
          <cell r="W145">
            <v>0</v>
          </cell>
          <cell r="X145">
            <v>0</v>
          </cell>
          <cell r="Y145">
            <v>0</v>
          </cell>
          <cell r="Z145">
            <v>0</v>
          </cell>
          <cell r="AA145">
            <v>0</v>
          </cell>
          <cell r="AB145">
            <v>0</v>
          </cell>
          <cell r="AC145">
            <v>0</v>
          </cell>
          <cell r="AD145">
            <v>0</v>
          </cell>
          <cell r="AE145">
            <v>0</v>
          </cell>
          <cell r="AF145">
            <v>0</v>
          </cell>
          <cell r="AG145">
            <v>0</v>
          </cell>
          <cell r="AH145">
            <v>0</v>
          </cell>
        </row>
        <row r="153">
          <cell r="E153">
            <v>149.45174149568001</v>
          </cell>
          <cell r="F153">
            <v>132.59697259356301</v>
          </cell>
          <cell r="G153">
            <v>228.11664337809</v>
          </cell>
          <cell r="H153">
            <v>314.485756635543</v>
          </cell>
          <cell r="I153">
            <v>405.78436843972702</v>
          </cell>
          <cell r="J153">
            <v>508.60042972092799</v>
          </cell>
          <cell r="K153">
            <v>526.34290729355405</v>
          </cell>
          <cell r="L153">
            <v>491.97145423061102</v>
          </cell>
          <cell r="M153">
            <v>668.98518449041001</v>
          </cell>
          <cell r="N153">
            <v>742.94780921227402</v>
          </cell>
          <cell r="O153">
            <v>521.18251933115903</v>
          </cell>
          <cell r="P153">
            <v>921.386056865162</v>
          </cell>
          <cell r="Q153">
            <v>1020.55334590132</v>
          </cell>
          <cell r="R153">
            <v>1025.70789743209</v>
          </cell>
          <cell r="S153">
            <v>894.93447632519496</v>
          </cell>
          <cell r="T153">
            <v>1048.4056992088699</v>
          </cell>
          <cell r="U153">
            <v>1000.32401486676</v>
          </cell>
          <cell r="V153">
            <v>1261.9128610113601</v>
          </cell>
          <cell r="W153">
            <v>1063.4875612604001</v>
          </cell>
          <cell r="X153">
            <v>1460.49501412062</v>
          </cell>
          <cell r="Y153">
            <v>1317.8452259032299</v>
          </cell>
          <cell r="Z153">
            <v>1329.9051540685</v>
          </cell>
          <cell r="AA153">
            <v>1496.6494911662501</v>
          </cell>
        </row>
        <row r="161">
          <cell r="E161" t="str">
            <v/>
          </cell>
          <cell r="F161">
            <v>1.00000004749745E-3</v>
          </cell>
          <cell r="G161">
            <v>1.00000004749745E-3</v>
          </cell>
          <cell r="H161">
            <v>1.00000004749745E-3</v>
          </cell>
          <cell r="I161">
            <v>1.00000004749745E-3</v>
          </cell>
          <cell r="J161">
            <v>1.00000004749745E-3</v>
          </cell>
          <cell r="K161">
            <v>1.00000004749745E-3</v>
          </cell>
          <cell r="L161">
            <v>1.00000004749745E-3</v>
          </cell>
          <cell r="M161">
            <v>1.00000004749745E-3</v>
          </cell>
          <cell r="N161">
            <v>1.00000004749745E-3</v>
          </cell>
          <cell r="O161">
            <v>1.00000004749745E-3</v>
          </cell>
          <cell r="P161">
            <v>1.00000004749745E-3</v>
          </cell>
          <cell r="Q161">
            <v>1.00000004749745E-3</v>
          </cell>
          <cell r="R161">
            <v>1.00000004749745E-3</v>
          </cell>
          <cell r="S161">
            <v>1.00000004749745E-3</v>
          </cell>
          <cell r="T161">
            <v>1.00000004749745E-3</v>
          </cell>
          <cell r="U161">
            <v>1.00000004749745E-3</v>
          </cell>
          <cell r="V161">
            <v>1.00000004749745E-3</v>
          </cell>
          <cell r="W161">
            <v>1.00000004749745E-3</v>
          </cell>
          <cell r="X161">
            <v>1.00000004749745E-3</v>
          </cell>
          <cell r="Y161">
            <v>1.00000004749745E-3</v>
          </cell>
          <cell r="Z161">
            <v>1.00000004749745E-3</v>
          </cell>
          <cell r="AA161">
            <v>1.00000004749745E-3</v>
          </cell>
          <cell r="AB161">
            <v>1.00000004749745E-3</v>
          </cell>
          <cell r="AC161">
            <v>1.00000004749745E-3</v>
          </cell>
          <cell r="AD161">
            <v>1.00000004749745E-3</v>
          </cell>
          <cell r="AE161">
            <v>1.00000004749745E-3</v>
          </cell>
          <cell r="AF161">
            <v>1.00000004749745E-3</v>
          </cell>
          <cell r="AG161">
            <v>1E-3</v>
          </cell>
          <cell r="AH161">
            <v>9.9999995E-4</v>
          </cell>
        </row>
      </sheetData>
      <sheetData sheetId="18" refreshError="1">
        <row r="6">
          <cell r="E6">
            <v>1980</v>
          </cell>
          <cell r="F6">
            <v>1981</v>
          </cell>
          <cell r="G6">
            <v>1982</v>
          </cell>
          <cell r="H6">
            <v>1983</v>
          </cell>
          <cell r="I6">
            <v>1984</v>
          </cell>
          <cell r="J6">
            <v>1985</v>
          </cell>
          <cell r="K6">
            <v>1986</v>
          </cell>
          <cell r="L6">
            <v>1987</v>
          </cell>
          <cell r="M6">
            <v>1988</v>
          </cell>
          <cell r="N6">
            <v>1989</v>
          </cell>
          <cell r="O6">
            <v>1990</v>
          </cell>
          <cell r="P6">
            <v>1991</v>
          </cell>
          <cell r="Q6">
            <v>1992</v>
          </cell>
          <cell r="R6">
            <v>1993</v>
          </cell>
          <cell r="S6">
            <v>1994</v>
          </cell>
          <cell r="T6">
            <v>1995</v>
          </cell>
          <cell r="U6">
            <v>1996</v>
          </cell>
          <cell r="V6">
            <v>1997</v>
          </cell>
          <cell r="W6">
            <v>1998</v>
          </cell>
          <cell r="X6">
            <v>1999</v>
          </cell>
          <cell r="Y6">
            <v>2000</v>
          </cell>
          <cell r="Z6">
            <v>2001</v>
          </cell>
          <cell r="AA6">
            <v>2002</v>
          </cell>
          <cell r="AB6">
            <v>2003</v>
          </cell>
          <cell r="AC6">
            <v>2004</v>
          </cell>
          <cell r="AD6">
            <v>2005</v>
          </cell>
          <cell r="AE6">
            <v>2006</v>
          </cell>
          <cell r="AF6">
            <v>2007</v>
          </cell>
          <cell r="AG6">
            <v>2008</v>
          </cell>
          <cell r="AH6">
            <v>2009</v>
          </cell>
        </row>
        <row r="10">
          <cell r="E10">
            <v>48.379247984155896</v>
          </cell>
          <cell r="F10">
            <v>111.50135344151306</v>
          </cell>
          <cell r="G10">
            <v>120.64875356814765</v>
          </cell>
          <cell r="H10">
            <v>117.86334291852134</v>
          </cell>
          <cell r="I10">
            <v>102.16788024400181</v>
          </cell>
          <cell r="J10">
            <v>101.77692569020516</v>
          </cell>
          <cell r="K10">
            <v>93.917246304526671</v>
          </cell>
          <cell r="L10">
            <v>94.943455994534858</v>
          </cell>
          <cell r="M10">
            <v>91.323089682356013</v>
          </cell>
          <cell r="N10">
            <v>79.034965685547192</v>
          </cell>
          <cell r="O10">
            <v>61.001770827989219</v>
          </cell>
          <cell r="P10">
            <v>46.774173596263694</v>
          </cell>
          <cell r="Q10">
            <v>38.353754358019017</v>
          </cell>
          <cell r="R10">
            <v>32.759682848332794</v>
          </cell>
          <cell r="S10">
            <v>30.836458834836282</v>
          </cell>
          <cell r="T10">
            <v>27.801260213671419</v>
          </cell>
          <cell r="U10">
            <v>24.134885309481326</v>
          </cell>
          <cell r="V10">
            <v>20.579975415941735</v>
          </cell>
          <cell r="W10">
            <v>20.376734460869582</v>
          </cell>
          <cell r="X10">
            <v>19.34914155483396</v>
          </cell>
          <cell r="Y10">
            <v>19.743767756730417</v>
          </cell>
          <cell r="Z10">
            <v>19.791944510484367</v>
          </cell>
          <cell r="AA10">
            <v>19.783185333912982</v>
          </cell>
          <cell r="AB10">
            <v>20.801646826473903</v>
          </cell>
          <cell r="AC10">
            <v>20.064601999372627</v>
          </cell>
          <cell r="AD10">
            <v>20.566604350645697</v>
          </cell>
          <cell r="AE10">
            <v>21.222385472952965</v>
          </cell>
          <cell r="AF10">
            <v>22.040896555217127</v>
          </cell>
          <cell r="AG10">
            <v>22.18928054294215</v>
          </cell>
          <cell r="AH10">
            <v>22.23619560917885</v>
          </cell>
        </row>
        <row r="13">
          <cell r="E13">
            <v>2289.3893599893349</v>
          </cell>
          <cell r="F13">
            <v>2894.5910915507552</v>
          </cell>
          <cell r="G13">
            <v>3119.8586885698173</v>
          </cell>
          <cell r="H13">
            <v>3676.8912155912699</v>
          </cell>
          <cell r="I13">
            <v>3712.8322242252166</v>
          </cell>
          <cell r="J13">
            <v>3958.5332554902893</v>
          </cell>
          <cell r="K13">
            <v>4104.4076557040298</v>
          </cell>
          <cell r="L13">
            <v>4270.3159136826998</v>
          </cell>
          <cell r="M13">
            <v>3833.766248522254</v>
          </cell>
          <cell r="N13">
            <v>3793.2013557727751</v>
          </cell>
          <cell r="O13">
            <v>3179.6925643791237</v>
          </cell>
          <cell r="P13">
            <v>3197.9</v>
          </cell>
          <cell r="Q13">
            <v>3117.5000030517576</v>
          </cell>
          <cell r="R13">
            <v>3021.9</v>
          </cell>
          <cell r="S13">
            <v>3168.4000015258789</v>
          </cell>
          <cell r="T13">
            <v>3234.4431396484379</v>
          </cell>
          <cell r="U13">
            <v>2858.2999999761582</v>
          </cell>
          <cell r="V13">
            <v>2639.6337999761581</v>
          </cell>
          <cell r="W13">
            <v>2871.7999999761578</v>
          </cell>
          <cell r="X13">
            <v>3046.5</v>
          </cell>
          <cell r="Y13">
            <v>3130.6</v>
          </cell>
          <cell r="Z13">
            <v>3222.5</v>
          </cell>
          <cell r="AA13">
            <v>3305.7</v>
          </cell>
          <cell r="AB13">
            <v>3656</v>
          </cell>
          <cell r="AC13">
            <v>3777.7736784999997</v>
          </cell>
          <cell r="AD13">
            <v>3768.7339308800001</v>
          </cell>
          <cell r="AE13">
            <v>3924.9859308800001</v>
          </cell>
          <cell r="AF13">
            <v>4104.5379308800002</v>
          </cell>
          <cell r="AG13">
            <v>4254.0899308799999</v>
          </cell>
          <cell r="AH13">
            <v>4433.6419308800005</v>
          </cell>
        </row>
        <row r="16">
          <cell r="E16">
            <v>47.999998137354901</v>
          </cell>
          <cell r="F16">
            <v>30.999999883584699</v>
          </cell>
          <cell r="G16">
            <v>24.999999185092801</v>
          </cell>
          <cell r="H16">
            <v>32</v>
          </cell>
          <cell r="I16">
            <v>26.999999417923402</v>
          </cell>
          <cell r="J16">
            <v>34.000000232830601</v>
          </cell>
          <cell r="K16">
            <v>32</v>
          </cell>
          <cell r="L16">
            <v>32.9999982537703</v>
          </cell>
          <cell r="M16">
            <v>379.89999039573598</v>
          </cell>
          <cell r="N16">
            <v>334.00000535510497</v>
          </cell>
          <cell r="O16">
            <v>301.59999487772598</v>
          </cell>
          <cell r="P16">
            <v>69</v>
          </cell>
          <cell r="Q16">
            <v>171.19999694824199</v>
          </cell>
          <cell r="R16">
            <v>136.5</v>
          </cell>
          <cell r="S16">
            <v>87.099998474121094</v>
          </cell>
          <cell r="T16">
            <v>24.1568603515625</v>
          </cell>
          <cell r="U16">
            <v>0.60000002384185802</v>
          </cell>
          <cell r="V16">
            <v>0.60000002384185802</v>
          </cell>
          <cell r="W16">
            <v>0.60000002384185802</v>
          </cell>
          <cell r="X16">
            <v>10</v>
          </cell>
          <cell r="Y16">
            <v>20</v>
          </cell>
          <cell r="Z16">
            <v>20</v>
          </cell>
          <cell r="AA16">
            <v>32</v>
          </cell>
          <cell r="AB16">
            <v>97</v>
          </cell>
          <cell r="AC16">
            <v>60</v>
          </cell>
          <cell r="AD16">
            <v>70</v>
          </cell>
          <cell r="AE16">
            <v>70</v>
          </cell>
          <cell r="AF16">
            <v>60</v>
          </cell>
          <cell r="AG16">
            <v>80</v>
          </cell>
          <cell r="AH16">
            <v>95</v>
          </cell>
        </row>
        <row r="18">
          <cell r="E18">
            <v>0</v>
          </cell>
          <cell r="F18">
            <v>0</v>
          </cell>
          <cell r="G18">
            <v>0</v>
          </cell>
          <cell r="H18">
            <v>0</v>
          </cell>
          <cell r="I18">
            <v>0</v>
          </cell>
          <cell r="J18">
            <v>0</v>
          </cell>
          <cell r="K18">
            <v>0</v>
          </cell>
          <cell r="L18">
            <v>0</v>
          </cell>
          <cell r="M18">
            <v>0</v>
          </cell>
          <cell r="N18">
            <v>0</v>
          </cell>
          <cell r="O18">
            <v>0</v>
          </cell>
          <cell r="P18">
            <v>69</v>
          </cell>
          <cell r="Q18">
            <v>171.19999694824199</v>
          </cell>
          <cell r="R18">
            <v>136.5</v>
          </cell>
          <cell r="S18">
            <v>87.099998474121094</v>
          </cell>
          <cell r="T18">
            <v>24.1568603515625</v>
          </cell>
          <cell r="U18">
            <v>0.60000002384185802</v>
          </cell>
          <cell r="V18">
            <v>0.60000002384185802</v>
          </cell>
          <cell r="W18">
            <v>0.60000002384185802</v>
          </cell>
          <cell r="X18">
            <v>10</v>
          </cell>
          <cell r="Y18">
            <v>20</v>
          </cell>
          <cell r="Z18">
            <v>20</v>
          </cell>
          <cell r="AA18">
            <v>32</v>
          </cell>
          <cell r="AB18">
            <v>97</v>
          </cell>
          <cell r="AC18">
            <v>60</v>
          </cell>
          <cell r="AD18">
            <v>70</v>
          </cell>
          <cell r="AE18">
            <v>70</v>
          </cell>
          <cell r="AF18">
            <v>60</v>
          </cell>
          <cell r="AG18">
            <v>80</v>
          </cell>
          <cell r="AH18">
            <v>95</v>
          </cell>
        </row>
        <row r="21">
          <cell r="E21">
            <v>966.934396593222</v>
          </cell>
          <cell r="F21">
            <v>1151.59100784814</v>
          </cell>
          <cell r="G21">
            <v>1251.85877099186</v>
          </cell>
          <cell r="H21">
            <v>1553.8912273492199</v>
          </cell>
          <cell r="I21">
            <v>1754.8324228297399</v>
          </cell>
          <cell r="J21">
            <v>1959.53312149626</v>
          </cell>
          <cell r="K21">
            <v>1977.40783835966</v>
          </cell>
          <cell r="L21">
            <v>2212.3161695635599</v>
          </cell>
          <cell r="M21">
            <v>2354.7660186019998</v>
          </cell>
          <cell r="N21">
            <v>2286.9013653770398</v>
          </cell>
          <cell r="O21">
            <v>2511.79254045578</v>
          </cell>
          <cell r="P21">
            <v>2711.1000000000004</v>
          </cell>
          <cell r="Q21">
            <v>2711.1000000000004</v>
          </cell>
          <cell r="R21">
            <v>2597.6</v>
          </cell>
          <cell r="S21">
            <v>2653.1000000000004</v>
          </cell>
          <cell r="T21">
            <v>2657.7</v>
          </cell>
          <cell r="U21">
            <v>2280.9</v>
          </cell>
          <cell r="V21">
            <v>2101.3999999999996</v>
          </cell>
          <cell r="W21">
            <v>2153.8999999999996</v>
          </cell>
          <cell r="X21">
            <v>2056.1999999999998</v>
          </cell>
          <cell r="Y21">
            <v>1914.1</v>
          </cell>
          <cell r="Z21">
            <v>1790.1999999999998</v>
          </cell>
          <cell r="AA21">
            <v>1640</v>
          </cell>
          <cell r="AB21">
            <v>1767.3</v>
          </cell>
          <cell r="AC21">
            <v>1614.9736784999996</v>
          </cell>
          <cell r="AD21">
            <v>1696.7339308800001</v>
          </cell>
          <cell r="AE21">
            <v>1592.9859308800001</v>
          </cell>
          <cell r="AF21">
            <v>1512.5379308800002</v>
          </cell>
          <cell r="AG21">
            <v>1422.0899308799999</v>
          </cell>
          <cell r="AH21">
            <v>1391.6419308800005</v>
          </cell>
        </row>
        <row r="22">
          <cell r="E22">
            <v>880.85182297654205</v>
          </cell>
          <cell r="F22">
            <v>1053.40797666106</v>
          </cell>
          <cell r="G22">
            <v>1146.1364678545301</v>
          </cell>
          <cell r="H22">
            <v>1347.00196543978</v>
          </cell>
          <cell r="I22">
            <v>1345.29882240087</v>
          </cell>
          <cell r="J22">
            <v>1483.81548032668</v>
          </cell>
          <cell r="K22">
            <v>1508.35649955442</v>
          </cell>
          <cell r="L22">
            <v>1443.7855988433</v>
          </cell>
          <cell r="M22">
            <v>1470.30000855653</v>
          </cell>
          <cell r="N22">
            <v>1471.8000189756999</v>
          </cell>
          <cell r="O22">
            <v>632.09995605321797</v>
          </cell>
          <cell r="P22">
            <v>15.7</v>
          </cell>
          <cell r="Q22">
            <v>22.7</v>
          </cell>
          <cell r="R22">
            <v>18</v>
          </cell>
          <cell r="S22">
            <v>12.9</v>
          </cell>
          <cell r="T22">
            <v>37.9</v>
          </cell>
          <cell r="U22">
            <v>37.6</v>
          </cell>
          <cell r="V22">
            <v>25</v>
          </cell>
          <cell r="W22">
            <v>33.1</v>
          </cell>
          <cell r="X22">
            <v>39.700000000000003</v>
          </cell>
          <cell r="Y22">
            <v>44.9</v>
          </cell>
          <cell r="Z22">
            <v>39.9</v>
          </cell>
          <cell r="AA22">
            <v>64</v>
          </cell>
          <cell r="AB22">
            <v>225.3</v>
          </cell>
          <cell r="AC22">
            <v>80</v>
          </cell>
          <cell r="AD22">
            <v>90</v>
          </cell>
          <cell r="AE22">
            <v>100</v>
          </cell>
          <cell r="AF22">
            <v>100</v>
          </cell>
          <cell r="AG22">
            <v>110</v>
          </cell>
          <cell r="AH22">
            <v>110</v>
          </cell>
        </row>
        <row r="23">
          <cell r="E23">
            <v>489.6</v>
          </cell>
          <cell r="F23">
            <v>720.6</v>
          </cell>
          <cell r="G23">
            <v>746.9</v>
          </cell>
          <cell r="H23">
            <v>808</v>
          </cell>
          <cell r="I23">
            <v>639.70000000000005</v>
          </cell>
          <cell r="J23">
            <v>549.20000000000005</v>
          </cell>
          <cell r="K23">
            <v>650.6</v>
          </cell>
          <cell r="L23">
            <v>647.20000000000005</v>
          </cell>
          <cell r="M23">
            <v>388.6</v>
          </cell>
          <cell r="N23">
            <v>368.5</v>
          </cell>
          <cell r="O23">
            <v>337.4</v>
          </cell>
          <cell r="P23">
            <v>540.1</v>
          </cell>
          <cell r="Q23">
            <v>554.9</v>
          </cell>
          <cell r="R23">
            <v>542.79999999999995</v>
          </cell>
          <cell r="S23">
            <v>589.5</v>
          </cell>
          <cell r="T23">
            <v>563</v>
          </cell>
          <cell r="U23">
            <v>540.4</v>
          </cell>
          <cell r="V23">
            <v>513.79999999999995</v>
          </cell>
          <cell r="W23">
            <v>685.4</v>
          </cell>
          <cell r="X23">
            <v>960.6</v>
          </cell>
          <cell r="Y23">
            <v>1191.5999999999999</v>
          </cell>
          <cell r="Z23">
            <v>1412.4</v>
          </cell>
          <cell r="AA23">
            <v>1633.7</v>
          </cell>
          <cell r="AB23">
            <v>1760.4</v>
          </cell>
          <cell r="AC23">
            <v>2142.8000000000002</v>
          </cell>
          <cell r="AD23">
            <v>2052</v>
          </cell>
          <cell r="AE23">
            <v>2302</v>
          </cell>
          <cell r="AF23">
            <v>2552</v>
          </cell>
          <cell r="AG23">
            <v>2802</v>
          </cell>
          <cell r="AH23">
            <v>3027</v>
          </cell>
        </row>
        <row r="27">
          <cell r="E27">
            <v>0</v>
          </cell>
          <cell r="F27">
            <v>0</v>
          </cell>
          <cell r="G27">
            <v>0</v>
          </cell>
          <cell r="H27">
            <v>0</v>
          </cell>
          <cell r="I27">
            <v>0</v>
          </cell>
          <cell r="J27">
            <v>0</v>
          </cell>
          <cell r="K27">
            <v>0</v>
          </cell>
          <cell r="L27">
            <v>0</v>
          </cell>
          <cell r="M27">
            <v>0</v>
          </cell>
          <cell r="N27">
            <v>0</v>
          </cell>
          <cell r="O27">
            <v>0</v>
          </cell>
          <cell r="P27">
            <v>3266.9</v>
          </cell>
          <cell r="Q27">
            <v>3288.7</v>
          </cell>
          <cell r="R27">
            <v>3158.4</v>
          </cell>
          <cell r="S27">
            <v>3255.5</v>
          </cell>
          <cell r="T27">
            <v>3258.6000000000004</v>
          </cell>
          <cell r="U27">
            <v>2858.9</v>
          </cell>
          <cell r="V27">
            <v>2640.2338</v>
          </cell>
          <cell r="W27">
            <v>2872.3999999999996</v>
          </cell>
          <cell r="X27">
            <v>3056.5</v>
          </cell>
          <cell r="Y27">
            <v>3150.6</v>
          </cell>
          <cell r="Z27">
            <v>3242.5</v>
          </cell>
          <cell r="AA27">
            <v>3337.7</v>
          </cell>
          <cell r="AB27">
            <v>3753</v>
          </cell>
          <cell r="AC27">
            <v>3837.7736784999997</v>
          </cell>
          <cell r="AD27">
            <v>3838.7339308800001</v>
          </cell>
          <cell r="AE27">
            <v>3994.9859308800001</v>
          </cell>
          <cell r="AF27">
            <v>4164.5379308800002</v>
          </cell>
          <cell r="AG27">
            <v>4334.0899308799999</v>
          </cell>
          <cell r="AH27">
            <v>4528.6419308800005</v>
          </cell>
        </row>
        <row r="28">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row>
        <row r="29">
          <cell r="E29">
            <v>2337.4</v>
          </cell>
          <cell r="F29">
            <v>2925.6</v>
          </cell>
          <cell r="G29">
            <v>3144.9</v>
          </cell>
          <cell r="H29">
            <v>3708.9</v>
          </cell>
          <cell r="I29">
            <v>3739.8</v>
          </cell>
          <cell r="J29">
            <v>3992.5</v>
          </cell>
          <cell r="K29">
            <v>4136.3999999999996</v>
          </cell>
          <cell r="L29">
            <v>4303.3</v>
          </cell>
          <cell r="M29">
            <v>4213.7</v>
          </cell>
          <cell r="N29">
            <v>4127.2</v>
          </cell>
          <cell r="O29">
            <v>3481.3</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row>
        <row r="33">
          <cell r="E33">
            <v>298.99998079147298</v>
          </cell>
          <cell r="F33">
            <v>657.99996111728399</v>
          </cell>
          <cell r="G33">
            <v>1111.0000082654899</v>
          </cell>
          <cell r="H33">
            <v>41.000006635673003</v>
          </cell>
          <cell r="I33">
            <v>216.999997322448</v>
          </cell>
          <cell r="J33">
            <v>48.000005587935199</v>
          </cell>
          <cell r="K33">
            <v>189.00000151339901</v>
          </cell>
          <cell r="L33">
            <v>543.34715408207398</v>
          </cell>
          <cell r="M33">
            <v>930.90005267793094</v>
          </cell>
          <cell r="N33">
            <v>1307.90000902219</v>
          </cell>
          <cell r="O33">
            <v>393.70001472653797</v>
          </cell>
          <cell r="P33">
            <v>62.499996185302699</v>
          </cell>
          <cell r="Q33">
            <v>48.6999959945678</v>
          </cell>
          <cell r="R33">
            <v>48.6999959945678</v>
          </cell>
          <cell r="S33">
            <v>48.6999959945678</v>
          </cell>
          <cell r="T33">
            <v>48.6999959945678</v>
          </cell>
          <cell r="U33">
            <v>48.6999959945678</v>
          </cell>
          <cell r="V33">
            <v>48.6999959945678</v>
          </cell>
          <cell r="W33">
            <v>48.6999959945678</v>
          </cell>
          <cell r="X33">
            <v>48.6999959945678</v>
          </cell>
          <cell r="Y33">
            <v>48.6999959945678</v>
          </cell>
          <cell r="Z33">
            <v>48.6999959945678</v>
          </cell>
          <cell r="AA33">
            <v>48.6999959945678</v>
          </cell>
          <cell r="AB33">
            <v>48.6999959945678</v>
          </cell>
          <cell r="AC33">
            <v>48.6999959945678</v>
          </cell>
          <cell r="AD33">
            <v>48.6999959945678</v>
          </cell>
          <cell r="AE33">
            <v>48.6999959945678</v>
          </cell>
          <cell r="AF33">
            <v>48.6999959945678</v>
          </cell>
          <cell r="AG33">
            <v>48.6999959945678</v>
          </cell>
          <cell r="AH33">
            <v>48.6999984295677</v>
          </cell>
        </row>
        <row r="34">
          <cell r="E34">
            <v>368.73779184592189</v>
          </cell>
          <cell r="F34">
            <v>315.36909743787368</v>
          </cell>
          <cell r="G34">
            <v>303.55478312699682</v>
          </cell>
          <cell r="H34">
            <v>395.91414463555299</v>
          </cell>
          <cell r="I34">
            <v>406.66532633832537</v>
          </cell>
          <cell r="J34">
            <v>450.00711181167259</v>
          </cell>
          <cell r="K34">
            <v>540.65415302909696</v>
          </cell>
          <cell r="L34">
            <v>513.7733051530663</v>
          </cell>
          <cell r="M34">
            <v>849.94100467582098</v>
          </cell>
          <cell r="N34">
            <v>875.59996856786506</v>
          </cell>
          <cell r="O34">
            <v>548.99998877421001</v>
          </cell>
          <cell r="P34">
            <v>472.30500057220502</v>
          </cell>
          <cell r="Q34">
            <v>537.80099694824196</v>
          </cell>
          <cell r="R34">
            <v>532.02700038146997</v>
          </cell>
          <cell r="S34">
            <v>507.29099847412107</v>
          </cell>
          <cell r="T34">
            <v>400.85686079406747</v>
          </cell>
          <cell r="U34">
            <v>434.51800002384186</v>
          </cell>
          <cell r="V34">
            <v>448.59400002384189</v>
          </cell>
          <cell r="W34">
            <v>518.60000002384186</v>
          </cell>
          <cell r="X34">
            <v>567.87800000000004</v>
          </cell>
          <cell r="Y34">
            <v>599.067662806724</v>
          </cell>
          <cell r="Z34">
            <v>639.78773731476599</v>
          </cell>
          <cell r="AA34">
            <v>710.02134567997905</v>
          </cell>
          <cell r="AB34">
            <v>927.82703648298695</v>
          </cell>
          <cell r="AC34">
            <v>1109.1404468503199</v>
          </cell>
          <cell r="AD34">
            <v>1244.7499003478499</v>
          </cell>
          <cell r="AE34">
            <v>1395.0761887250701</v>
          </cell>
          <cell r="AF34">
            <v>1514.55225529679</v>
          </cell>
          <cell r="AG34">
            <v>1534.5523280244099</v>
          </cell>
          <cell r="AH34" t="str">
            <v/>
          </cell>
        </row>
        <row r="38">
          <cell r="E38">
            <v>468.00691646677097</v>
          </cell>
          <cell r="F38">
            <v>275.54650041007301</v>
          </cell>
          <cell r="G38">
            <v>183.41573946717901</v>
          </cell>
          <cell r="H38">
            <v>603.17969437487</v>
          </cell>
          <cell r="I38">
            <v>513.53607122754704</v>
          </cell>
          <cell r="J38">
            <v>657.43058777511101</v>
          </cell>
          <cell r="K38">
            <v>534.35463155425498</v>
          </cell>
          <cell r="L38">
            <v>693.23655650479304</v>
          </cell>
          <cell r="M38">
            <v>429.23050570231402</v>
          </cell>
          <cell r="N38">
            <v>313.37568165533298</v>
          </cell>
          <cell r="O38">
            <v>317.01834484195803</v>
          </cell>
          <cell r="P38">
            <v>0</v>
          </cell>
          <cell r="Q38">
            <v>572.83799999999997</v>
          </cell>
          <cell r="R38">
            <v>702.07500000000005</v>
          </cell>
          <cell r="S38">
            <v>635.47700000000009</v>
          </cell>
          <cell r="T38">
            <v>558.69299999999998</v>
          </cell>
          <cell r="U38">
            <v>519.66000000000008</v>
          </cell>
          <cell r="V38">
            <v>646.72700000000009</v>
          </cell>
          <cell r="W38">
            <v>627.654</v>
          </cell>
          <cell r="X38">
            <v>629.20830000000001</v>
          </cell>
          <cell r="Y38">
            <v>635.84324550000008</v>
          </cell>
          <cell r="Z38">
            <v>629.86178970000003</v>
          </cell>
          <cell r="AA38">
            <v>614.00228300000003</v>
          </cell>
          <cell r="AB38">
            <v>926.45986302999984</v>
          </cell>
          <cell r="AC38">
            <v>732.97707339999999</v>
          </cell>
          <cell r="AD38">
            <v>534.48968849336006</v>
          </cell>
          <cell r="AE38">
            <v>572.31391667775961</v>
          </cell>
          <cell r="AF38">
            <v>588.7275724012801</v>
          </cell>
          <cell r="AG38">
            <v>823.79764412480006</v>
          </cell>
          <cell r="AH38">
            <v>815.23063692599999</v>
          </cell>
        </row>
        <row r="40">
          <cell r="E40">
            <v>181.71041340824996</v>
          </cell>
          <cell r="F40">
            <v>165.80869960017202</v>
          </cell>
          <cell r="G40">
            <v>116.04662433417741</v>
          </cell>
          <cell r="H40">
            <v>340.62491229561101</v>
          </cell>
          <cell r="I40">
            <v>225.62192798897803</v>
          </cell>
          <cell r="J40">
            <v>283.765242926751</v>
          </cell>
          <cell r="K40">
            <v>200.34753324675899</v>
          </cell>
          <cell r="L40">
            <v>182.58242931989605</v>
          </cell>
          <cell r="M40">
            <v>192.45721975777502</v>
          </cell>
          <cell r="N40">
            <v>167.43468443009198</v>
          </cell>
          <cell r="O40">
            <v>142.13924924926704</v>
          </cell>
          <cell r="P40">
            <v>-161.29731750488301</v>
          </cell>
          <cell r="Q40">
            <v>167.18700000000001</v>
          </cell>
          <cell r="R40">
            <v>159.01200000000006</v>
          </cell>
          <cell r="S40">
            <v>154.33200000000005</v>
          </cell>
          <cell r="T40">
            <v>194.72500000000002</v>
          </cell>
          <cell r="U40">
            <v>164.51200000000006</v>
          </cell>
          <cell r="V40">
            <v>194.99000000000007</v>
          </cell>
          <cell r="W40">
            <v>183.63299999999998</v>
          </cell>
          <cell r="X40">
            <v>200.30399999999997</v>
          </cell>
          <cell r="Y40">
            <v>213.92663800000003</v>
          </cell>
          <cell r="Z40">
            <v>243.80839840000004</v>
          </cell>
          <cell r="AA40">
            <v>236.53543890000003</v>
          </cell>
          <cell r="AB40">
            <v>246.73556120000001</v>
          </cell>
          <cell r="AC40">
            <v>256.50994280000003</v>
          </cell>
          <cell r="AD40">
            <v>276.3888430233601</v>
          </cell>
          <cell r="AE40">
            <v>307.61391667775962</v>
          </cell>
          <cell r="AF40">
            <v>337.32757240128007</v>
          </cell>
          <cell r="AG40">
            <v>368.39764412480002</v>
          </cell>
          <cell r="AH40">
            <v>563.8306369259999</v>
          </cell>
        </row>
        <row r="43">
          <cell r="E43">
            <v>286.29650305852101</v>
          </cell>
          <cell r="F43">
            <v>109.737800809901</v>
          </cell>
          <cell r="G43">
            <v>67.3691151330016</v>
          </cell>
          <cell r="H43">
            <v>262.55478207925898</v>
          </cell>
          <cell r="I43">
            <v>287.91414323856901</v>
          </cell>
          <cell r="J43">
            <v>373.66534484836001</v>
          </cell>
          <cell r="K43">
            <v>334.00709830749599</v>
          </cell>
          <cell r="L43">
            <v>510.65412718489699</v>
          </cell>
          <cell r="M43">
            <v>236.773285944539</v>
          </cell>
          <cell r="N43">
            <v>145.94099722524101</v>
          </cell>
          <cell r="O43">
            <v>174.87909559269099</v>
          </cell>
          <cell r="P43">
            <v>161.29731750488301</v>
          </cell>
          <cell r="Q43">
            <v>405.65099999999995</v>
          </cell>
          <cell r="R43">
            <v>543.06299999999999</v>
          </cell>
          <cell r="S43">
            <v>481.14500000000004</v>
          </cell>
          <cell r="T43">
            <v>363.96799999999996</v>
          </cell>
          <cell r="U43">
            <v>355.14800000000002</v>
          </cell>
          <cell r="V43">
            <v>451.73700000000002</v>
          </cell>
          <cell r="W43">
            <v>444.02100000000002</v>
          </cell>
          <cell r="X43">
            <v>428.90430000000003</v>
          </cell>
          <cell r="Y43">
            <v>421.91660750000005</v>
          </cell>
          <cell r="Z43">
            <v>386.05339129999999</v>
          </cell>
          <cell r="AA43">
            <v>377.4668441</v>
          </cell>
          <cell r="AB43">
            <v>679.72430182999983</v>
          </cell>
          <cell r="AC43">
            <v>476.46713059999996</v>
          </cell>
          <cell r="AD43">
            <v>258.10084546999997</v>
          </cell>
          <cell r="AE43">
            <v>264.7</v>
          </cell>
          <cell r="AF43">
            <v>251.40000000000003</v>
          </cell>
          <cell r="AG43">
            <v>455.40000000000003</v>
          </cell>
          <cell r="AH43">
            <v>251.40000000000003</v>
          </cell>
        </row>
        <row r="45">
          <cell r="E45">
            <v>0</v>
          </cell>
          <cell r="F45">
            <v>0</v>
          </cell>
          <cell r="G45">
            <v>0</v>
          </cell>
          <cell r="H45">
            <v>0</v>
          </cell>
          <cell r="I45">
            <v>0</v>
          </cell>
          <cell r="J45">
            <v>0</v>
          </cell>
          <cell r="K45">
            <v>0</v>
          </cell>
          <cell r="L45">
            <v>0</v>
          </cell>
          <cell r="M45">
            <v>0</v>
          </cell>
          <cell r="N45">
            <v>0</v>
          </cell>
          <cell r="O45">
            <v>0</v>
          </cell>
          <cell r="P45">
            <v>0</v>
          </cell>
          <cell r="Q45">
            <v>405.65099999999995</v>
          </cell>
          <cell r="R45">
            <v>543.06299999999999</v>
          </cell>
          <cell r="S45">
            <v>481.14500000000004</v>
          </cell>
          <cell r="T45">
            <v>363.96799999999996</v>
          </cell>
          <cell r="U45">
            <v>355.14800000000002</v>
          </cell>
          <cell r="V45">
            <v>451.73700000000002</v>
          </cell>
          <cell r="W45">
            <v>444.02100000000002</v>
          </cell>
          <cell r="X45">
            <v>428.90430000000003</v>
          </cell>
          <cell r="Y45">
            <v>421.91660750000005</v>
          </cell>
          <cell r="Z45">
            <v>386.05339129999999</v>
          </cell>
          <cell r="AA45">
            <v>377.4668441</v>
          </cell>
          <cell r="AB45">
            <v>679.72430182999983</v>
          </cell>
          <cell r="AC45">
            <v>476.46713059999996</v>
          </cell>
          <cell r="AD45">
            <v>258.10084546999997</v>
          </cell>
          <cell r="AE45">
            <v>264.7</v>
          </cell>
          <cell r="AF45">
            <v>251.40000000000003</v>
          </cell>
          <cell r="AG45">
            <v>455.40000000000003</v>
          </cell>
          <cell r="AH45">
            <v>251.40000000000003</v>
          </cell>
        </row>
        <row r="48">
          <cell r="E48">
            <v>175.28957786060101</v>
          </cell>
          <cell r="F48">
            <v>302.19130272813499</v>
          </cell>
          <cell r="G48">
            <v>331.95336076466202</v>
          </cell>
          <cell r="H48">
            <v>337.37505860056001</v>
          </cell>
          <cell r="I48">
            <v>297.37804907720499</v>
          </cell>
          <cell r="J48">
            <v>264.23476871478101</v>
          </cell>
          <cell r="K48">
            <v>267.652469081547</v>
          </cell>
          <cell r="L48">
            <v>284.41755612818997</v>
          </cell>
          <cell r="M48">
            <v>281.84275480547899</v>
          </cell>
          <cell r="N48">
            <v>299.76533419635899</v>
          </cell>
          <cell r="O48">
            <v>246.800008614733</v>
          </cell>
          <cell r="P48">
            <v>189.39999389648401</v>
          </cell>
          <cell r="Q48">
            <v>235.518</v>
          </cell>
          <cell r="R48">
            <v>210.38900000000001</v>
          </cell>
          <cell r="S48">
            <v>255.39500000000004</v>
          </cell>
          <cell r="T48">
            <v>230.26599999999999</v>
          </cell>
          <cell r="U48">
            <v>246.15199999999999</v>
          </cell>
          <cell r="V48">
            <v>245.72800000000001</v>
          </cell>
          <cell r="W48">
            <v>265.96100000000001</v>
          </cell>
          <cell r="X48">
            <v>320.096</v>
          </cell>
          <cell r="Y48">
            <v>346.15199999999999</v>
          </cell>
          <cell r="Z48">
            <v>337.26666280672401</v>
          </cell>
          <cell r="AA48">
            <v>377.48773731476501</v>
          </cell>
          <cell r="AB48">
            <v>408.02134567997899</v>
          </cell>
          <cell r="AC48">
            <v>575.331821649625</v>
          </cell>
          <cell r="AD48">
            <v>678.44139980531895</v>
          </cell>
          <cell r="AE48">
            <v>764.79075535285301</v>
          </cell>
          <cell r="AF48">
            <v>869.153043730067</v>
          </cell>
          <cell r="AG48">
            <v>963.80211030178805</v>
          </cell>
          <cell r="AH48">
            <v>1068.7582763093201</v>
          </cell>
        </row>
        <row r="59">
          <cell r="E59" t="str">
            <v/>
          </cell>
          <cell r="F59">
            <v>1.00000004749745E-3</v>
          </cell>
          <cell r="G59">
            <v>1.00000004749745E-3</v>
          </cell>
          <cell r="H59">
            <v>1.00000004749745E-3</v>
          </cell>
          <cell r="I59">
            <v>1.00000004749745E-3</v>
          </cell>
          <cell r="J59">
            <v>1.00000004749745E-3</v>
          </cell>
          <cell r="K59">
            <v>1.00000004749745E-3</v>
          </cell>
          <cell r="L59">
            <v>1.00000004749745E-3</v>
          </cell>
          <cell r="M59">
            <v>1.00000004749745E-3</v>
          </cell>
          <cell r="N59">
            <v>1.00000004749745E-3</v>
          </cell>
          <cell r="O59">
            <v>1.00000004749745E-3</v>
          </cell>
          <cell r="P59">
            <v>1.00000004749745E-3</v>
          </cell>
          <cell r="Q59">
            <v>1.00000004749745E-3</v>
          </cell>
          <cell r="R59">
            <v>1.00000004749745E-3</v>
          </cell>
          <cell r="S59">
            <v>1.00000004749745E-3</v>
          </cell>
          <cell r="T59">
            <v>1.00000004749745E-3</v>
          </cell>
          <cell r="U59">
            <v>1.00000004749745E-3</v>
          </cell>
          <cell r="V59">
            <v>1.00000004749745E-3</v>
          </cell>
          <cell r="W59">
            <v>1.00000004749745E-3</v>
          </cell>
          <cell r="X59">
            <v>1.00000004749745E-3</v>
          </cell>
          <cell r="Y59">
            <v>1.00000004749745E-3</v>
          </cell>
          <cell r="Z59">
            <v>1.00000004749745E-3</v>
          </cell>
          <cell r="AA59">
            <v>1.00000004749745E-3</v>
          </cell>
          <cell r="AB59">
            <v>1.00000004749745E-3</v>
          </cell>
          <cell r="AC59">
            <v>1.00000004749745E-3</v>
          </cell>
          <cell r="AD59">
            <v>1.00000004749745E-3</v>
          </cell>
          <cell r="AE59">
            <v>1.00000004749745E-3</v>
          </cell>
          <cell r="AF59">
            <v>1.00000004749745E-3</v>
          </cell>
          <cell r="AG59">
            <v>1E-3</v>
          </cell>
          <cell r="AH59">
            <v>9.9999995E-4</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99-00mod"/>
      <sheetName val="PROYECCIONES-PM 2000mod"/>
      <sheetName val="RESUMEN"/>
      <sheetName val="PROYECCIONES-PM 2000mod (2)"/>
      <sheetName val="REV I sem 2000"/>
    </sheetNames>
    <sheetDataSet>
      <sheetData sheetId="0" refreshError="1"/>
      <sheetData sheetId="1" refreshError="1">
        <row r="29">
          <cell r="B29">
            <v>11364.599999999999</v>
          </cell>
        </row>
      </sheetData>
      <sheetData sheetId="2" refreshError="1"/>
      <sheetData sheetId="3" refreshError="1">
        <row r="66">
          <cell r="F66">
            <v>308.10000000000002</v>
          </cell>
        </row>
      </sheetData>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1"/>
      <sheetName val="Sum2"/>
      <sheetName val="BCV"/>
      <sheetName val="Macro"/>
      <sheetName val="Projections"/>
      <sheetName val="Debt"/>
      <sheetName val="PDVSA"/>
      <sheetName val="CashFlow"/>
      <sheetName val="Trade Ind"/>
      <sheetName val="Indicators"/>
      <sheetName val="WEO"/>
      <sheetName val="Berne Union"/>
    </sheetNames>
    <sheetDataSet>
      <sheetData sheetId="0" refreshError="1"/>
      <sheetData sheetId="1" refreshError="1"/>
      <sheetData sheetId="2" refreshError="1"/>
      <sheetData sheetId="3" refreshError="1"/>
      <sheetData sheetId="4" refreshError="1"/>
      <sheetData sheetId="5" refreshError="1">
        <row r="2">
          <cell r="B2">
            <v>1987</v>
          </cell>
          <cell r="C2">
            <v>1988</v>
          </cell>
          <cell r="D2">
            <v>1989</v>
          </cell>
          <cell r="E2">
            <v>1990</v>
          </cell>
          <cell r="F2">
            <v>1991</v>
          </cell>
          <cell r="G2">
            <v>1992</v>
          </cell>
          <cell r="H2">
            <v>1993</v>
          </cell>
          <cell r="I2">
            <v>1994</v>
          </cell>
          <cell r="J2" t="str">
            <v>1995</v>
          </cell>
          <cell r="K2" t="str">
            <v>1995</v>
          </cell>
          <cell r="L2" t="str">
            <v>1995</v>
          </cell>
          <cell r="M2" t="str">
            <v>1995</v>
          </cell>
          <cell r="N2">
            <v>1995</v>
          </cell>
          <cell r="O2">
            <v>1996</v>
          </cell>
          <cell r="P2">
            <v>1996</v>
          </cell>
          <cell r="Q2">
            <v>1996</v>
          </cell>
          <cell r="R2">
            <v>1996</v>
          </cell>
          <cell r="S2">
            <v>1996</v>
          </cell>
          <cell r="T2">
            <v>1997</v>
          </cell>
          <cell r="U2">
            <v>1997</v>
          </cell>
          <cell r="V2">
            <v>1997</v>
          </cell>
          <cell r="W2">
            <v>1997</v>
          </cell>
          <cell r="X2">
            <v>1997</v>
          </cell>
          <cell r="Y2">
            <v>1998</v>
          </cell>
          <cell r="Z2">
            <v>1998</v>
          </cell>
          <cell r="AA2">
            <v>1998</v>
          </cell>
          <cell r="AB2">
            <v>1998</v>
          </cell>
          <cell r="AC2">
            <v>1998</v>
          </cell>
          <cell r="AD2">
            <v>1998</v>
          </cell>
          <cell r="AE2">
            <v>1998</v>
          </cell>
          <cell r="AF2">
            <v>1998</v>
          </cell>
          <cell r="AG2">
            <v>1998</v>
          </cell>
          <cell r="AH2">
            <v>1998</v>
          </cell>
          <cell r="AI2">
            <v>1998</v>
          </cell>
          <cell r="AJ2">
            <v>1998</v>
          </cell>
          <cell r="AK2">
            <v>1998</v>
          </cell>
          <cell r="AL2">
            <v>1998</v>
          </cell>
          <cell r="AM2">
            <v>1998</v>
          </cell>
          <cell r="AN2">
            <v>1999</v>
          </cell>
          <cell r="AO2">
            <v>1999</v>
          </cell>
          <cell r="AP2">
            <v>2000</v>
          </cell>
          <cell r="AQ2">
            <v>2001</v>
          </cell>
          <cell r="AR2">
            <v>2002</v>
          </cell>
          <cell r="AS2">
            <v>2003</v>
          </cell>
          <cell r="AT2">
            <v>2004</v>
          </cell>
        </row>
        <row r="3">
          <cell r="J3" t="str">
            <v>Q1</v>
          </cell>
          <cell r="K3" t="str">
            <v>Q2</v>
          </cell>
          <cell r="L3" t="str">
            <v>Q3</v>
          </cell>
          <cell r="M3" t="str">
            <v>Q4</v>
          </cell>
          <cell r="O3" t="str">
            <v>Q1</v>
          </cell>
          <cell r="P3" t="str">
            <v>Q2</v>
          </cell>
          <cell r="Q3" t="str">
            <v>Q3</v>
          </cell>
          <cell r="R3" t="str">
            <v>Q4</v>
          </cell>
          <cell r="T3" t="str">
            <v>Q1</v>
          </cell>
          <cell r="U3" t="str">
            <v>Q2</v>
          </cell>
          <cell r="V3" t="str">
            <v>Q3</v>
          </cell>
          <cell r="W3" t="str">
            <v>Q4</v>
          </cell>
          <cell r="Y3" t="str">
            <v>Q1</v>
          </cell>
          <cell r="Z3" t="str">
            <v>Q2</v>
          </cell>
          <cell r="AA3" t="str">
            <v>Q3</v>
          </cell>
          <cell r="AB3" t="str">
            <v>Q4</v>
          </cell>
          <cell r="AC3" t="str">
            <v>Rev-3</v>
          </cell>
          <cell r="AD3" t="str">
            <v>Q1</v>
          </cell>
          <cell r="AE3" t="str">
            <v>Q2</v>
          </cell>
          <cell r="AF3" t="str">
            <v>Q3</v>
          </cell>
          <cell r="AG3" t="str">
            <v>Q4</v>
          </cell>
          <cell r="AH3" t="str">
            <v>Rev-3</v>
          </cell>
          <cell r="AI3" t="str">
            <v>Q1</v>
          </cell>
          <cell r="AJ3" t="str">
            <v>Q2</v>
          </cell>
          <cell r="AK3" t="str">
            <v>Q3</v>
          </cell>
          <cell r="AL3" t="str">
            <v>Q4</v>
          </cell>
          <cell r="AM3" t="str">
            <v>Yr.</v>
          </cell>
          <cell r="AN3" t="str">
            <v>Auth</v>
          </cell>
          <cell r="AO3" t="str">
            <v>Staff</v>
          </cell>
        </row>
        <row r="4">
          <cell r="O4" t="str">
            <v>Prel.</v>
          </cell>
          <cell r="P4" t="str">
            <v>Prel.</v>
          </cell>
          <cell r="Q4" t="str">
            <v>Prel.</v>
          </cell>
          <cell r="R4" t="str">
            <v>Prel.</v>
          </cell>
          <cell r="S4" t="str">
            <v>Prel.</v>
          </cell>
          <cell r="T4" t="str">
            <v>Prel.</v>
          </cell>
          <cell r="U4" t="str">
            <v>Prel.</v>
          </cell>
          <cell r="V4" t="str">
            <v>Prel.</v>
          </cell>
          <cell r="W4" t="str">
            <v>Prel.</v>
          </cell>
          <cell r="X4" t="str">
            <v>Prel.</v>
          </cell>
          <cell r="Y4" t="str">
            <v>Prog.</v>
          </cell>
          <cell r="Z4" t="str">
            <v>Prog.</v>
          </cell>
          <cell r="AA4" t="str">
            <v>Prog.</v>
          </cell>
          <cell r="AB4" t="str">
            <v>Prog.</v>
          </cell>
          <cell r="AC4" t="str">
            <v>Prog.</v>
          </cell>
          <cell r="AD4" t="str">
            <v>Prog.</v>
          </cell>
          <cell r="AE4" t="str">
            <v>Prog.</v>
          </cell>
          <cell r="AF4" t="str">
            <v>Prog.</v>
          </cell>
          <cell r="AG4" t="str">
            <v>Prog.</v>
          </cell>
          <cell r="AH4" t="str">
            <v>Prog.</v>
          </cell>
          <cell r="AI4" t="str">
            <v>Prel.</v>
          </cell>
          <cell r="AJ4" t="str">
            <v>Prel.</v>
          </cell>
          <cell r="AK4" t="str">
            <v>Prel.</v>
          </cell>
          <cell r="AL4" t="str">
            <v>Prel.</v>
          </cell>
          <cell r="AM4" t="str">
            <v>Prel.</v>
          </cell>
          <cell r="AN4" t="str">
            <v>Proj.</v>
          </cell>
          <cell r="AO4" t="str">
            <v>Proj.</v>
          </cell>
          <cell r="AP4" t="str">
            <v>Proj.</v>
          </cell>
          <cell r="AQ4" t="str">
            <v>Proj.</v>
          </cell>
          <cell r="AR4" t="str">
            <v>Proj.</v>
          </cell>
          <cell r="AS4" t="str">
            <v>Proj.</v>
          </cell>
          <cell r="AT4" t="str">
            <v>Proj.</v>
          </cell>
        </row>
        <row r="6">
          <cell r="B6">
            <v>-2921.846</v>
          </cell>
          <cell r="C6">
            <v>-5953.9814000000006</v>
          </cell>
          <cell r="D6">
            <v>2175.7862000000005</v>
          </cell>
          <cell r="E6">
            <v>8452</v>
          </cell>
          <cell r="F6">
            <v>1924</v>
          </cell>
          <cell r="G6">
            <v>-3753</v>
          </cell>
          <cell r="H6">
            <v>-1992.7672000000002</v>
          </cell>
          <cell r="I6">
            <v>2541</v>
          </cell>
          <cell r="J6">
            <v>1057.586</v>
          </cell>
          <cell r="K6">
            <v>508.68799999999999</v>
          </cell>
          <cell r="L6">
            <v>-113.79999999999995</v>
          </cell>
          <cell r="M6">
            <v>565.73299999999995</v>
          </cell>
          <cell r="N6">
            <v>2018.2069999999999</v>
          </cell>
          <cell r="O6">
            <v>1942.16</v>
          </cell>
          <cell r="P6">
            <v>1189.05</v>
          </cell>
          <cell r="Q6">
            <v>2376</v>
          </cell>
          <cell r="R6">
            <v>3317</v>
          </cell>
          <cell r="S6">
            <v>8824.27</v>
          </cell>
          <cell r="T6">
            <v>2024.37</v>
          </cell>
          <cell r="U6">
            <v>1102.54</v>
          </cell>
          <cell r="V6">
            <v>549.63</v>
          </cell>
          <cell r="W6">
            <v>1008.1599999999999</v>
          </cell>
          <cell r="X6">
            <v>4684.7</v>
          </cell>
          <cell r="Y6">
            <v>244.7659014869362</v>
          </cell>
          <cell r="Z6">
            <v>-111.05554753685104</v>
          </cell>
          <cell r="AA6">
            <v>-464.34658760663842</v>
          </cell>
          <cell r="AB6">
            <v>501.33117648661573</v>
          </cell>
          <cell r="AC6">
            <v>170.69494283006665</v>
          </cell>
          <cell r="AD6">
            <v>299.43484632237369</v>
          </cell>
          <cell r="AE6">
            <v>-279.47940708625174</v>
          </cell>
          <cell r="AF6">
            <v>-338.90370090463983</v>
          </cell>
          <cell r="AG6">
            <v>-479.3342512642858</v>
          </cell>
          <cell r="AH6">
            <v>-790.78251293280459</v>
          </cell>
          <cell r="AI6">
            <v>-284.50711999999999</v>
          </cell>
          <cell r="AJ6">
            <v>-691.35270300000025</v>
          </cell>
          <cell r="AK6">
            <v>-365.12059999999951</v>
          </cell>
          <cell r="AL6">
            <v>-142.19319999999971</v>
          </cell>
          <cell r="AM6">
            <v>-1483.173622999997</v>
          </cell>
          <cell r="AN6">
            <v>-3119.1132356658786</v>
          </cell>
          <cell r="AO6">
            <v>-4422.7923318088333</v>
          </cell>
          <cell r="AP6">
            <v>-4581.7563565312812</v>
          </cell>
          <cell r="AQ6">
            <v>-6908.233072595719</v>
          </cell>
          <cell r="AR6">
            <v>-7882.8903497072452</v>
          </cell>
          <cell r="AS6">
            <v>-9137.4223165277072</v>
          </cell>
          <cell r="AT6">
            <v>-10191.551803354865</v>
          </cell>
        </row>
        <row r="9">
          <cell r="B9">
            <v>10564</v>
          </cell>
          <cell r="C9">
            <v>10195</v>
          </cell>
          <cell r="D9">
            <v>13054</v>
          </cell>
          <cell r="E9">
            <v>17617</v>
          </cell>
          <cell r="F9">
            <v>15156</v>
          </cell>
          <cell r="G9">
            <v>13988</v>
          </cell>
          <cell r="H9">
            <v>14586</v>
          </cell>
          <cell r="I9">
            <v>15905</v>
          </cell>
          <cell r="J9">
            <v>4395</v>
          </cell>
          <cell r="K9">
            <v>5065</v>
          </cell>
          <cell r="L9">
            <v>4585</v>
          </cell>
          <cell r="M9">
            <v>4797</v>
          </cell>
          <cell r="N9">
            <v>18842</v>
          </cell>
          <cell r="O9">
            <v>4847</v>
          </cell>
          <cell r="P9">
            <v>5551</v>
          </cell>
          <cell r="Q9">
            <v>5924</v>
          </cell>
          <cell r="R9">
            <v>7078</v>
          </cell>
          <cell r="S9">
            <v>23400</v>
          </cell>
          <cell r="T9">
            <v>5696</v>
          </cell>
          <cell r="U9">
            <v>5820</v>
          </cell>
          <cell r="V9">
            <v>5997</v>
          </cell>
          <cell r="W9">
            <v>5932</v>
          </cell>
          <cell r="X9">
            <v>23445</v>
          </cell>
          <cell r="Y9">
            <v>4455.0976000000001</v>
          </cell>
          <cell r="Z9">
            <v>4702.9871200000007</v>
          </cell>
          <cell r="AA9">
            <v>4948.6144240000003</v>
          </cell>
          <cell r="AB9">
            <v>5900.9577600000002</v>
          </cell>
          <cell r="AC9">
            <v>20007.656904000003</v>
          </cell>
          <cell r="AD9">
            <v>4477.5828799999999</v>
          </cell>
          <cell r="AE9">
            <v>4341.9072969999997</v>
          </cell>
          <cell r="AF9">
            <v>4406.0554120000006</v>
          </cell>
          <cell r="AG9">
            <v>4200.0706640000008</v>
          </cell>
          <cell r="AH9">
            <v>17425.616253</v>
          </cell>
          <cell r="AI9">
            <v>4528.5828799999999</v>
          </cell>
          <cell r="AJ9">
            <v>4396.9072969999997</v>
          </cell>
          <cell r="AK9">
            <v>4296.1994000000004</v>
          </cell>
          <cell r="AL9">
            <v>4189.8068000000003</v>
          </cell>
          <cell r="AM9">
            <v>17411.496377000003</v>
          </cell>
          <cell r="AN9">
            <v>15628.692369</v>
          </cell>
          <cell r="AO9">
            <v>15312.054368999999</v>
          </cell>
          <cell r="AP9">
            <v>17040.937447743341</v>
          </cell>
          <cell r="AQ9">
            <v>19913.26766326799</v>
          </cell>
          <cell r="AR9">
            <v>21501.884945067617</v>
          </cell>
          <cell r="AS9">
            <v>23039.872295464811</v>
          </cell>
          <cell r="AT9">
            <v>24262.637114675206</v>
          </cell>
        </row>
        <row r="10">
          <cell r="C10">
            <v>-3.4929950776221075E-2</v>
          </cell>
          <cell r="D10">
            <v>0.28043158410985769</v>
          </cell>
          <cell r="E10">
            <v>0.34954803125478784</v>
          </cell>
          <cell r="F10">
            <v>-0.13969461315774534</v>
          </cell>
          <cell r="G10">
            <v>-7.7065188704143583E-2</v>
          </cell>
          <cell r="H10">
            <v>4.2750929368029711E-2</v>
          </cell>
          <cell r="I10">
            <v>9.0429178664472865E-2</v>
          </cell>
          <cell r="N10">
            <v>0.18465891229173215</v>
          </cell>
          <cell r="O10">
            <v>0.10284414106939699</v>
          </cell>
          <cell r="P10">
            <v>9.5952615992102697E-2</v>
          </cell>
          <cell r="Q10">
            <v>0.29203925845147216</v>
          </cell>
          <cell r="R10">
            <v>0.475505524286012</v>
          </cell>
          <cell r="S10">
            <v>0.24190637936524784</v>
          </cell>
          <cell r="T10">
            <v>0.17515989271714472</v>
          </cell>
          <cell r="U10">
            <v>4.8459736984327151E-2</v>
          </cell>
          <cell r="V10">
            <v>1.232275489534107E-2</v>
          </cell>
          <cell r="W10">
            <v>-0.16191014410850524</v>
          </cell>
          <cell r="X10">
            <v>1.9230769230769162E-3</v>
          </cell>
          <cell r="Y10">
            <v>-0.21605510990374466</v>
          </cell>
          <cell r="Z10">
            <v>-0.19051154352220634</v>
          </cell>
          <cell r="AA10">
            <v>-0.17321940632251376</v>
          </cell>
          <cell r="AB10">
            <v>-1.8277413065105885E-2</v>
          </cell>
          <cell r="AC10">
            <v>-0.14821055499609026</v>
          </cell>
          <cell r="AD10">
            <v>-0.21390750000000003</v>
          </cell>
          <cell r="AE10">
            <v>-0.25396781838487981</v>
          </cell>
          <cell r="AF10">
            <v>-0.26529007637151902</v>
          </cell>
          <cell r="AG10">
            <v>-0.29196381254214421</v>
          </cell>
          <cell r="AH10">
            <v>-0.25674488150991681</v>
          </cell>
          <cell r="AI10">
            <v>-0.20495384831460672</v>
          </cell>
          <cell r="AJ10">
            <v>-2.9076553634809543E-2</v>
          </cell>
          <cell r="AK10">
            <v>-2.2904257514983817E-2</v>
          </cell>
          <cell r="AL10">
            <v>-2.4764353349148616E-2</v>
          </cell>
          <cell r="AM10">
            <v>-0.25734713683088062</v>
          </cell>
          <cell r="AN10">
            <v>-0.10311967496074292</v>
          </cell>
          <cell r="AO10">
            <v>-0.12129051009235492</v>
          </cell>
          <cell r="AP10">
            <v>0.11290993599418964</v>
          </cell>
          <cell r="AQ10">
            <v>0.16855470682483031</v>
          </cell>
          <cell r="AR10">
            <v>7.9776825615114344E-2</v>
          </cell>
          <cell r="AS10">
            <v>7.1528024372114363E-2</v>
          </cell>
          <cell r="AT10">
            <v>5.3071683884770682E-2</v>
          </cell>
        </row>
        <row r="12">
          <cell r="B12">
            <v>9054</v>
          </cell>
          <cell r="C12">
            <v>8136</v>
          </cell>
          <cell r="D12">
            <v>10001</v>
          </cell>
          <cell r="E12">
            <v>14085</v>
          </cell>
          <cell r="F12">
            <v>12307</v>
          </cell>
          <cell r="G12">
            <v>11014</v>
          </cell>
          <cell r="H12">
            <v>10855</v>
          </cell>
          <cell r="I12">
            <v>11351</v>
          </cell>
          <cell r="J12">
            <v>3054</v>
          </cell>
          <cell r="K12">
            <v>3671</v>
          </cell>
          <cell r="L12">
            <v>3306</v>
          </cell>
          <cell r="M12">
            <v>3599</v>
          </cell>
          <cell r="N12">
            <v>13630</v>
          </cell>
          <cell r="O12">
            <v>3733</v>
          </cell>
          <cell r="P12">
            <v>4341</v>
          </cell>
          <cell r="Q12">
            <v>4669</v>
          </cell>
          <cell r="R12">
            <v>5642</v>
          </cell>
          <cell r="S12">
            <v>18385</v>
          </cell>
          <cell r="T12">
            <v>4480</v>
          </cell>
          <cell r="U12">
            <v>4373</v>
          </cell>
          <cell r="V12">
            <v>4651</v>
          </cell>
          <cell r="W12">
            <v>4537</v>
          </cell>
          <cell r="X12">
            <v>18041</v>
          </cell>
          <cell r="Y12">
            <v>3137.0976000000001</v>
          </cell>
          <cell r="Z12">
            <v>3324.9871200000007</v>
          </cell>
          <cell r="AA12">
            <v>3557.6144240000003</v>
          </cell>
          <cell r="AB12">
            <v>4348.9577600000002</v>
          </cell>
          <cell r="AC12">
            <v>14368.656904000001</v>
          </cell>
          <cell r="AD12">
            <v>3180.5828800000004</v>
          </cell>
          <cell r="AE12">
            <v>3032.9072970000002</v>
          </cell>
          <cell r="AF12">
            <v>2947.0554120000006</v>
          </cell>
          <cell r="AG12">
            <v>2682.0706640000003</v>
          </cell>
          <cell r="AH12">
            <v>11842.616253000002</v>
          </cell>
          <cell r="AI12">
            <v>3234.5828800000004</v>
          </cell>
          <cell r="AJ12">
            <v>3087.9072970000002</v>
          </cell>
          <cell r="AK12">
            <v>3032.1994000000004</v>
          </cell>
          <cell r="AL12">
            <v>2764.8068000000003</v>
          </cell>
          <cell r="AM12">
            <v>12119.496377000001</v>
          </cell>
          <cell r="AN12">
            <v>9508.494369</v>
          </cell>
          <cell r="AO12">
            <v>10020.054368999999</v>
          </cell>
          <cell r="AP12">
            <v>11643.097447743341</v>
          </cell>
          <cell r="AQ12">
            <v>14191.55726326799</v>
          </cell>
          <cell r="AR12">
            <v>15436.871921067617</v>
          </cell>
          <cell r="AS12">
            <v>16610.958490024812</v>
          </cell>
          <cell r="AT12">
            <v>17447.988480908807</v>
          </cell>
        </row>
        <row r="13">
          <cell r="C13">
            <v>-0.10139165009940354</v>
          </cell>
          <cell r="D13">
            <v>0.22922812192723696</v>
          </cell>
          <cell r="E13">
            <v>0.40835916408359174</v>
          </cell>
          <cell r="F13">
            <v>-0.12623358182463618</v>
          </cell>
          <cell r="G13">
            <v>-0.10506215974648569</v>
          </cell>
          <cell r="H13">
            <v>-1.4436172144543291E-2</v>
          </cell>
          <cell r="I13">
            <v>4.5693228926761753E-2</v>
          </cell>
          <cell r="N13">
            <v>0.20077526209144558</v>
          </cell>
          <cell r="O13">
            <v>0.22233136869679115</v>
          </cell>
          <cell r="P13">
            <v>0.18251157722691369</v>
          </cell>
          <cell r="Q13">
            <v>0.41228070175438591</v>
          </cell>
          <cell r="R13">
            <v>0.56765768268963601</v>
          </cell>
          <cell r="S13">
            <v>0.34886280264123259</v>
          </cell>
          <cell r="T13">
            <v>0.20010715242432364</v>
          </cell>
          <cell r="U13">
            <v>7.3715733701911201E-3</v>
          </cell>
          <cell r="V13">
            <v>-3.8552152495181513E-3</v>
          </cell>
          <cell r="W13">
            <v>-0.19585253456221197</v>
          </cell>
          <cell r="X13">
            <v>-1.8710905629589325E-2</v>
          </cell>
          <cell r="Y13">
            <v>-0.2995864504822624</v>
          </cell>
          <cell r="Z13">
            <v>-0.24032002105284489</v>
          </cell>
          <cell r="AA13">
            <v>-0.23564525916755252</v>
          </cell>
          <cell r="AB13">
            <v>-5.4331815552685181E-2</v>
          </cell>
          <cell r="AC13">
            <v>-0.20654478235848439</v>
          </cell>
          <cell r="AD13">
            <v>-0.29004846428571418</v>
          </cell>
          <cell r="AE13">
            <v>-0.30644699359707295</v>
          </cell>
          <cell r="AF13">
            <v>-0.36636090905181673</v>
          </cell>
          <cell r="AG13">
            <v>-0.40884490544412599</v>
          </cell>
          <cell r="AH13">
            <v>-0.34357207178094329</v>
          </cell>
          <cell r="AI13">
            <v>-0.27799489285714274</v>
          </cell>
          <cell r="AJ13">
            <v>-4.5346058036392023E-2</v>
          </cell>
          <cell r="AK13">
            <v>-1.8040663673459911E-2</v>
          </cell>
          <cell r="AL13">
            <v>-8.8184372043606407E-2</v>
          </cell>
          <cell r="AM13">
            <v>-0.32822480034366164</v>
          </cell>
          <cell r="AN13">
            <v>-0.19709512105559579</v>
          </cell>
          <cell r="AO13">
            <v>-0.15389858499706988</v>
          </cell>
          <cell r="AP13">
            <v>0.1619794682716198</v>
          </cell>
          <cell r="AQ13">
            <v>0.21888160147784297</v>
          </cell>
          <cell r="AR13">
            <v>8.775038811440905E-2</v>
          </cell>
          <cell r="AS13">
            <v>7.6057285113239059E-2</v>
          </cell>
          <cell r="AT13">
            <v>5.039022831744755E-2</v>
          </cell>
        </row>
        <row r="15">
          <cell r="B15">
            <v>9054</v>
          </cell>
          <cell r="C15">
            <v>8136</v>
          </cell>
          <cell r="D15">
            <v>10001</v>
          </cell>
          <cell r="E15">
            <v>14085</v>
          </cell>
          <cell r="F15">
            <v>12307</v>
          </cell>
          <cell r="G15">
            <v>11014</v>
          </cell>
          <cell r="H15">
            <v>10855</v>
          </cell>
          <cell r="I15">
            <v>11351</v>
          </cell>
          <cell r="J15">
            <v>3033</v>
          </cell>
          <cell r="K15">
            <v>3638</v>
          </cell>
          <cell r="L15">
            <v>3276</v>
          </cell>
          <cell r="M15">
            <v>3570</v>
          </cell>
          <cell r="N15">
            <v>13517</v>
          </cell>
          <cell r="O15">
            <v>3707</v>
          </cell>
          <cell r="P15">
            <v>4295</v>
          </cell>
          <cell r="Q15">
            <v>4640</v>
          </cell>
          <cell r="R15">
            <v>5603</v>
          </cell>
          <cell r="S15">
            <v>18245</v>
          </cell>
          <cell r="T15">
            <v>4455</v>
          </cell>
          <cell r="U15">
            <v>4352</v>
          </cell>
          <cell r="V15">
            <v>4621</v>
          </cell>
          <cell r="W15">
            <v>4510</v>
          </cell>
          <cell r="X15">
            <v>17938</v>
          </cell>
          <cell r="Y15">
            <v>3201.12</v>
          </cell>
          <cell r="Z15">
            <v>3392.8440000000005</v>
          </cell>
          <cell r="AA15">
            <v>3630.2188000000001</v>
          </cell>
          <cell r="AB15">
            <v>4437.7120000000004</v>
          </cell>
          <cell r="AC15">
            <v>14661.894800000002</v>
          </cell>
          <cell r="AD15">
            <v>3209.5828800000004</v>
          </cell>
          <cell r="AE15">
            <v>3067.9072970000002</v>
          </cell>
          <cell r="AF15">
            <v>3007.1994000000004</v>
          </cell>
          <cell r="AG15">
            <v>2736.8068000000003</v>
          </cell>
          <cell r="AH15">
            <v>12021.496377000001</v>
          </cell>
          <cell r="AI15">
            <v>3209.5828800000004</v>
          </cell>
          <cell r="AJ15">
            <v>3067.9072970000002</v>
          </cell>
          <cell r="AK15">
            <v>3007.1994000000004</v>
          </cell>
          <cell r="AL15">
            <v>2736.8068000000003</v>
          </cell>
          <cell r="AM15">
            <v>12021.496377000001</v>
          </cell>
          <cell r="AN15">
            <v>9334.0840499999995</v>
          </cell>
          <cell r="AO15">
            <v>9856.0840499999995</v>
          </cell>
          <cell r="AP15">
            <v>11488.982011302729</v>
          </cell>
          <cell r="AQ15">
            <v>13300.934758436724</v>
          </cell>
          <cell r="AR15">
            <v>14055.654562313895</v>
          </cell>
          <cell r="AS15">
            <v>14845.620908188585</v>
          </cell>
          <cell r="AT15">
            <v>15679.248449906947</v>
          </cell>
        </row>
        <row r="16">
          <cell r="C16">
            <v>-0.10139165009940354</v>
          </cell>
          <cell r="D16">
            <v>0.22922812192723696</v>
          </cell>
          <cell r="E16">
            <v>0.40835916408359174</v>
          </cell>
          <cell r="F16">
            <v>-0.12623358182463618</v>
          </cell>
          <cell r="G16">
            <v>-0.10506215974648569</v>
          </cell>
          <cell r="H16">
            <v>-1.4436172144543291E-2</v>
          </cell>
          <cell r="I16">
            <v>4.5693228926761753E-2</v>
          </cell>
          <cell r="N16">
            <v>0.19082019205356349</v>
          </cell>
          <cell r="O16">
            <v>0.22222222222222232</v>
          </cell>
          <cell r="P16">
            <v>0.18059373282023095</v>
          </cell>
          <cell r="Q16">
            <v>0.41636141636141644</v>
          </cell>
          <cell r="R16">
            <v>0.56946778711484591</v>
          </cell>
          <cell r="S16">
            <v>0.3497817563068728</v>
          </cell>
          <cell r="T16">
            <v>0.20178041543026715</v>
          </cell>
          <cell r="U16">
            <v>1.3271245634458584E-2</v>
          </cell>
          <cell r="V16">
            <v>-4.0948275862069394E-3</v>
          </cell>
          <cell r="W16">
            <v>-0.19507406746385869</v>
          </cell>
          <cell r="X16">
            <v>-1.6826527815839931E-2</v>
          </cell>
          <cell r="Y16">
            <v>-0.28128062020449607</v>
          </cell>
          <cell r="Z16">
            <v>-0.22107908749986893</v>
          </cell>
          <cell r="AA16">
            <v>-0.21515608689607735</v>
          </cell>
          <cell r="AB16">
            <v>-2.4211160512069396E-2</v>
          </cell>
          <cell r="AC16">
            <v>-0.18467891433447037</v>
          </cell>
          <cell r="AD16">
            <v>-0.27955490909090897</v>
          </cell>
          <cell r="AE16">
            <v>-0.29505806594669115</v>
          </cell>
          <cell r="AF16">
            <v>-0.34923189785760644</v>
          </cell>
          <cell r="AG16">
            <v>-0.39316922394678488</v>
          </cell>
          <cell r="AH16">
            <v>-0.32983072934552338</v>
          </cell>
          <cell r="AI16">
            <v>-0.27955490909090897</v>
          </cell>
          <cell r="AJ16">
            <v>-4.4141431549510335E-2</v>
          </cell>
          <cell r="AK16">
            <v>-1.9788048048050233E-2</v>
          </cell>
          <cell r="AL16">
            <v>-8.9915088437434565E-2</v>
          </cell>
          <cell r="AM16">
            <v>-0.32983072934552338</v>
          </cell>
          <cell r="AN16">
            <v>-0.22355056664506967</v>
          </cell>
          <cell r="AO16">
            <v>-0.18012835167034225</v>
          </cell>
          <cell r="AP16">
            <v>0.16567411083540118</v>
          </cell>
          <cell r="AQ16">
            <v>0.15771221030300309</v>
          </cell>
          <cell r="AR16">
            <v>5.6741861950601269E-2</v>
          </cell>
          <cell r="AS16">
            <v>5.6202743342366412E-2</v>
          </cell>
          <cell r="AT16">
            <v>5.6153093688290801E-2</v>
          </cell>
        </row>
        <row r="18">
          <cell r="B18">
            <v>16.32</v>
          </cell>
          <cell r="C18">
            <v>13.51</v>
          </cell>
          <cell r="D18">
            <v>16.87</v>
          </cell>
          <cell r="E18">
            <v>20.52</v>
          </cell>
          <cell r="F18">
            <v>15.92</v>
          </cell>
          <cell r="G18">
            <v>14.91</v>
          </cell>
          <cell r="H18">
            <v>13.34</v>
          </cell>
          <cell r="I18">
            <v>13.324999999999999</v>
          </cell>
          <cell r="J18">
            <v>14.18</v>
          </cell>
          <cell r="K18">
            <v>16.41</v>
          </cell>
          <cell r="L18">
            <v>14.13</v>
          </cell>
          <cell r="M18">
            <v>14.64</v>
          </cell>
          <cell r="N18">
            <v>14.8475</v>
          </cell>
          <cell r="O18">
            <v>16.29</v>
          </cell>
          <cell r="P18">
            <v>17.46</v>
          </cell>
          <cell r="Q18">
            <v>18.22</v>
          </cell>
          <cell r="R18">
            <v>21.24</v>
          </cell>
          <cell r="S18">
            <v>18.36</v>
          </cell>
          <cell r="T18">
            <v>17.72</v>
          </cell>
          <cell r="U18">
            <v>15.663</v>
          </cell>
          <cell r="V18">
            <v>16.27</v>
          </cell>
          <cell r="W18">
            <v>15.733176405427859</v>
          </cell>
          <cell r="X18">
            <v>16.308610946691381</v>
          </cell>
          <cell r="Y18">
            <v>11.7</v>
          </cell>
          <cell r="Z18">
            <v>12</v>
          </cell>
          <cell r="AA18">
            <v>12.7</v>
          </cell>
          <cell r="AB18">
            <v>15.5</v>
          </cell>
          <cell r="AC18">
            <v>12.975</v>
          </cell>
          <cell r="AD18">
            <v>11.34</v>
          </cell>
          <cell r="AE18">
            <v>11.095000000000001</v>
          </cell>
          <cell r="AF18">
            <v>10.77</v>
          </cell>
          <cell r="AG18">
            <v>9.1</v>
          </cell>
          <cell r="AH18">
            <v>10.57625</v>
          </cell>
          <cell r="AI18">
            <v>11.34</v>
          </cell>
          <cell r="AJ18">
            <v>11.095000000000001</v>
          </cell>
          <cell r="AK18">
            <v>10.77</v>
          </cell>
          <cell r="AL18">
            <v>9.1</v>
          </cell>
          <cell r="AM18">
            <v>10.57625</v>
          </cell>
          <cell r="AN18">
            <v>9.01</v>
          </cell>
          <cell r="AO18">
            <v>9.01</v>
          </cell>
          <cell r="AP18">
            <v>10.211333333333332</v>
          </cell>
          <cell r="AQ18">
            <v>11.08</v>
          </cell>
          <cell r="AR18">
            <v>11.19</v>
          </cell>
          <cell r="AS18">
            <v>11.3</v>
          </cell>
          <cell r="AT18">
            <v>11.41</v>
          </cell>
        </row>
        <row r="19">
          <cell r="B19">
            <v>0.28503937007874036</v>
          </cell>
          <cell r="C19">
            <v>-0.17218137254901966</v>
          </cell>
          <cell r="D19">
            <v>0.24870466321243523</v>
          </cell>
          <cell r="E19">
            <v>0.21636040308239468</v>
          </cell>
          <cell r="F19">
            <v>-0.22417153996101358</v>
          </cell>
          <cell r="G19">
            <v>-6.3442211055276365E-2</v>
          </cell>
          <cell r="H19">
            <v>-0.10529845741113353</v>
          </cell>
          <cell r="I19">
            <v>-1.1244377811094886E-3</v>
          </cell>
          <cell r="J19">
            <v>6.4165103189493422E-2</v>
          </cell>
          <cell r="K19">
            <v>0.15726375176304663</v>
          </cell>
          <cell r="L19">
            <v>-0.13893967093235826</v>
          </cell>
          <cell r="M19">
            <v>3.6093418259023347E-2</v>
          </cell>
          <cell r="N19">
            <v>0.11425891181988757</v>
          </cell>
          <cell r="O19">
            <v>0.14880112834978831</v>
          </cell>
          <cell r="P19">
            <v>6.3985374771480918E-2</v>
          </cell>
          <cell r="Q19">
            <v>0.28945506015569689</v>
          </cell>
          <cell r="R19">
            <v>0.45081967213114749</v>
          </cell>
          <cell r="S19">
            <v>0.23657181343660549</v>
          </cell>
          <cell r="T19">
            <v>8.7783916513198168E-2</v>
          </cell>
          <cell r="U19">
            <v>-0.10292096219931279</v>
          </cell>
          <cell r="V19">
            <v>-0.10702524698133919</v>
          </cell>
          <cell r="W19">
            <v>-0.25926664757872597</v>
          </cell>
          <cell r="X19">
            <v>-0.11173142991877005</v>
          </cell>
          <cell r="Y19">
            <v>-0.33972911963882624</v>
          </cell>
          <cell r="Z19">
            <v>-0.23371647509578541</v>
          </cell>
          <cell r="AA19">
            <v>-0.22419059254734275</v>
          </cell>
          <cell r="AB19">
            <v>-2.515723270440251E-2</v>
          </cell>
          <cell r="AC19">
            <v>-0.20771042782975158</v>
          </cell>
          <cell r="AD19">
            <v>-0.36004514672686228</v>
          </cell>
          <cell r="AE19">
            <v>-0.29164272489306009</v>
          </cell>
          <cell r="AF19">
            <v>-0.33804548248309774</v>
          </cell>
          <cell r="AG19">
            <v>-0.42160440044004399</v>
          </cell>
          <cell r="AH19">
            <v>-0.35149289939094031</v>
          </cell>
          <cell r="AI19">
            <v>-0.36004514672686228</v>
          </cell>
          <cell r="AJ19">
            <v>-2.1604938271604923E-2</v>
          </cell>
          <cell r="AK19">
            <v>-2.9292474087426856E-2</v>
          </cell>
          <cell r="AL19">
            <v>-0.15506035283194053</v>
          </cell>
          <cell r="AM19">
            <v>-0.35149289939094031</v>
          </cell>
          <cell r="AN19">
            <v>-0.14809124216995628</v>
          </cell>
          <cell r="AO19">
            <v>-0.14809124216995628</v>
          </cell>
          <cell r="AP19">
            <v>0.1333333333333333</v>
          </cell>
          <cell r="AQ19">
            <v>8.5068877717568769E-2</v>
          </cell>
          <cell r="AR19">
            <v>9.9277978339349371E-3</v>
          </cell>
          <cell r="AS19">
            <v>9.8302055406613853E-3</v>
          </cell>
          <cell r="AT19">
            <v>9.7345132743362761E-3</v>
          </cell>
        </row>
        <row r="20">
          <cell r="B20">
            <v>1.5199435938759065</v>
          </cell>
          <cell r="C20">
            <v>1.6499193900003044</v>
          </cell>
          <cell r="D20">
            <v>1.6241849436870184</v>
          </cell>
          <cell r="E20">
            <v>1.8805575582792597</v>
          </cell>
          <cell r="F20">
            <v>2.117952777586563</v>
          </cell>
          <cell r="G20">
            <v>2.0238324926729327</v>
          </cell>
          <cell r="H20">
            <v>2.2293647696699592</v>
          </cell>
          <cell r="I20">
            <v>2.3338559202241127</v>
          </cell>
          <cell r="J20">
            <v>2.376586741889986</v>
          </cell>
          <cell r="K20">
            <v>2.43619877989165</v>
          </cell>
          <cell r="L20">
            <v>2.5200775408474105</v>
          </cell>
          <cell r="M20">
            <v>2.6505702066999284</v>
          </cell>
          <cell r="N20">
            <v>2.4942163133408837</v>
          </cell>
          <cell r="O20">
            <v>2.5462110360821226</v>
          </cell>
          <cell r="P20">
            <v>2.7321475775084019</v>
          </cell>
          <cell r="Q20">
            <v>2.7854006586169047</v>
          </cell>
          <cell r="R20">
            <v>2.8872922295914192</v>
          </cell>
          <cell r="S20">
            <v>2.7434565911600561</v>
          </cell>
          <cell r="T20">
            <v>2.8304</v>
          </cell>
          <cell r="U20">
            <v>3.1008</v>
          </cell>
          <cell r="V20">
            <v>3.1322000000000001</v>
          </cell>
          <cell r="W20">
            <v>3.14</v>
          </cell>
          <cell r="X20">
            <v>3.0508500000000005</v>
          </cell>
          <cell r="Y20">
            <v>3.04</v>
          </cell>
          <cell r="Z20">
            <v>3.1070000000000002</v>
          </cell>
          <cell r="AA20">
            <v>3.1070000000000002</v>
          </cell>
          <cell r="AB20">
            <v>3.1120000000000001</v>
          </cell>
          <cell r="AC20">
            <v>3.0915000000000004</v>
          </cell>
          <cell r="AD20">
            <v>3.1448</v>
          </cell>
          <cell r="AE20">
            <v>3.0386000000000002</v>
          </cell>
          <cell r="AF20">
            <v>3.0350000000000001</v>
          </cell>
          <cell r="AG20">
            <v>3.2690000000000001</v>
          </cell>
          <cell r="AH20">
            <v>3.1218500000000002</v>
          </cell>
          <cell r="AI20">
            <v>3.1448</v>
          </cell>
          <cell r="AJ20">
            <v>3.0386000000000002</v>
          </cell>
          <cell r="AK20">
            <v>3.0350000000000001</v>
          </cell>
          <cell r="AL20">
            <v>3.2690000000000001</v>
          </cell>
          <cell r="AM20">
            <v>3.1218500000000002</v>
          </cell>
          <cell r="AN20">
            <v>2.9969999999999999</v>
          </cell>
          <cell r="AO20">
            <v>2.9969999999999999</v>
          </cell>
          <cell r="AP20">
            <v>3.0825223325062039</v>
          </cell>
          <cell r="AQ20">
            <v>3.2888914392059556</v>
          </cell>
          <cell r="AR20">
            <v>3.4413442928039699</v>
          </cell>
          <cell r="AS20">
            <v>3.5993746898263024</v>
          </cell>
          <cell r="AT20">
            <v>3.7648418114143918</v>
          </cell>
        </row>
        <row r="21">
          <cell r="B21">
            <v>-1.0999999999999999E-2</v>
          </cell>
          <cell r="C21">
            <v>8.5513565534991454E-2</v>
          </cell>
          <cell r="D21">
            <v>-1.559739613295974E-2</v>
          </cell>
          <cell r="E21">
            <v>0.15784693460478505</v>
          </cell>
          <cell r="F21">
            <v>0.12623661438181322</v>
          </cell>
          <cell r="G21">
            <v>-4.4439274524751937E-2</v>
          </cell>
          <cell r="H21">
            <v>0.10155597251310766</v>
          </cell>
          <cell r="I21">
            <v>4.6870369522176825E-2</v>
          </cell>
          <cell r="N21">
            <v>6.8710493962871544E-2</v>
          </cell>
          <cell r="O21">
            <v>7.1373070968679508E-2</v>
          </cell>
          <cell r="P21">
            <v>0.12147974133289496</v>
          </cell>
          <cell r="Q21">
            <v>0.10528371189732355</v>
          </cell>
          <cell r="R21">
            <v>8.9309848233078748E-2</v>
          </cell>
          <cell r="S21">
            <v>9.9927290382175071E-2</v>
          </cell>
          <cell r="T21">
            <v>0.11161249397267614</v>
          </cell>
          <cell r="U21">
            <v>0.13493137249481713</v>
          </cell>
          <cell r="V21">
            <v>0.12450608866995072</v>
          </cell>
          <cell r="W21">
            <v>8.7524140375753179E-2</v>
          </cell>
          <cell r="X21">
            <v>0.11204602610824055</v>
          </cell>
          <cell r="Y21">
            <v>7.4053137365743371E-2</v>
          </cell>
          <cell r="Z21">
            <v>1.9994840041279716E-3</v>
          </cell>
          <cell r="AA21">
            <v>-8.0454632526658632E-3</v>
          </cell>
          <cell r="AB21">
            <v>-1.2063492063491998E-2</v>
          </cell>
          <cell r="AC21">
            <v>1.2494473283442664E-2</v>
          </cell>
          <cell r="AD21">
            <v>0.11107970604861506</v>
          </cell>
          <cell r="AE21">
            <v>-2.0059339525283715E-2</v>
          </cell>
          <cell r="AF21">
            <v>-3.1032501117425393E-2</v>
          </cell>
          <cell r="AG21">
            <v>4.1082802547770747E-2</v>
          </cell>
          <cell r="AH21">
            <v>2.3272202828719779E-2</v>
          </cell>
          <cell r="AI21">
            <v>0.11107970604861506</v>
          </cell>
          <cell r="AJ21">
            <v>-3.3770033070465444E-2</v>
          </cell>
          <cell r="AK21">
            <v>-1.1847561376949756E-3</v>
          </cell>
          <cell r="AL21">
            <v>7.7100494233937278E-2</v>
          </cell>
          <cell r="AM21">
            <v>2.3272202828719779E-2</v>
          </cell>
          <cell r="AN21">
            <v>-3.999231225074884E-2</v>
          </cell>
          <cell r="AO21">
            <v>-3.999231225074884E-2</v>
          </cell>
          <cell r="AP21">
            <v>2.8535980148883588E-2</v>
          </cell>
          <cell r="AQ21">
            <v>6.6948130277442619E-2</v>
          </cell>
          <cell r="AR21">
            <v>4.6353872244205618E-2</v>
          </cell>
          <cell r="AS21">
            <v>4.5921123716909706E-2</v>
          </cell>
          <cell r="AT21">
            <v>4.5971074380165344E-2</v>
          </cell>
        </row>
        <row r="23">
          <cell r="B23">
            <v>127</v>
          </cell>
          <cell r="C23">
            <v>135</v>
          </cell>
          <cell r="D23">
            <v>139</v>
          </cell>
          <cell r="E23">
            <v>174</v>
          </cell>
          <cell r="F23">
            <v>184</v>
          </cell>
          <cell r="G23">
            <v>195</v>
          </cell>
          <cell r="H23">
            <v>175</v>
          </cell>
          <cell r="I23">
            <v>187</v>
          </cell>
          <cell r="J23">
            <v>54</v>
          </cell>
          <cell r="K23">
            <v>58</v>
          </cell>
          <cell r="L23">
            <v>52</v>
          </cell>
          <cell r="M23">
            <v>58</v>
          </cell>
          <cell r="N23">
            <v>222</v>
          </cell>
          <cell r="O23">
            <v>63</v>
          </cell>
          <cell r="P23">
            <v>71</v>
          </cell>
          <cell r="Q23">
            <v>61</v>
          </cell>
          <cell r="R23">
            <v>79</v>
          </cell>
          <cell r="S23">
            <v>274</v>
          </cell>
          <cell r="T23">
            <v>60</v>
          </cell>
          <cell r="U23">
            <v>58</v>
          </cell>
          <cell r="V23">
            <v>66</v>
          </cell>
          <cell r="W23">
            <v>64</v>
          </cell>
          <cell r="X23">
            <v>248</v>
          </cell>
          <cell r="Y23">
            <v>64.022400000000005</v>
          </cell>
          <cell r="Z23">
            <v>67.856880000000018</v>
          </cell>
          <cell r="AA23">
            <v>72.604376000000002</v>
          </cell>
          <cell r="AB23">
            <v>88.75424000000001</v>
          </cell>
          <cell r="AC23">
            <v>293.23789600000003</v>
          </cell>
          <cell r="AD23">
            <v>55</v>
          </cell>
          <cell r="AE23">
            <v>54</v>
          </cell>
          <cell r="AF23">
            <v>60.143988000000007</v>
          </cell>
          <cell r="AG23">
            <v>54.736136000000009</v>
          </cell>
          <cell r="AH23">
            <v>223.88012400000002</v>
          </cell>
          <cell r="AI23">
            <v>55</v>
          </cell>
          <cell r="AJ23">
            <v>49</v>
          </cell>
          <cell r="AK23">
            <v>48</v>
          </cell>
          <cell r="AL23">
            <v>48</v>
          </cell>
          <cell r="AM23">
            <v>200</v>
          </cell>
          <cell r="AN23">
            <v>186.681681</v>
          </cell>
          <cell r="AO23">
            <v>197.121681</v>
          </cell>
          <cell r="AP23">
            <v>229.7796402260546</v>
          </cell>
          <cell r="AQ23">
            <v>266.0186951687345</v>
          </cell>
          <cell r="AR23">
            <v>281.11309124627792</v>
          </cell>
          <cell r="AS23">
            <v>296.91241816377169</v>
          </cell>
          <cell r="AT23">
            <v>313.58496899813895</v>
          </cell>
        </row>
        <row r="25">
          <cell r="J25">
            <v>21</v>
          </cell>
          <cell r="K25">
            <v>33</v>
          </cell>
          <cell r="L25">
            <v>30</v>
          </cell>
          <cell r="M25">
            <v>29</v>
          </cell>
          <cell r="N25">
            <v>113</v>
          </cell>
          <cell r="O25">
            <v>26</v>
          </cell>
          <cell r="P25">
            <v>46</v>
          </cell>
          <cell r="Q25">
            <v>29</v>
          </cell>
          <cell r="R25">
            <v>39</v>
          </cell>
          <cell r="S25">
            <v>140</v>
          </cell>
          <cell r="T25">
            <v>25</v>
          </cell>
          <cell r="U25">
            <v>21</v>
          </cell>
          <cell r="V25">
            <v>30</v>
          </cell>
          <cell r="W25">
            <v>27</v>
          </cell>
          <cell r="X25">
            <v>103</v>
          </cell>
          <cell r="Y25">
            <v>0</v>
          </cell>
          <cell r="Z25">
            <v>0</v>
          </cell>
          <cell r="AA25">
            <v>0</v>
          </cell>
          <cell r="AB25">
            <v>0</v>
          </cell>
          <cell r="AC25">
            <v>0</v>
          </cell>
          <cell r="AD25">
            <v>26</v>
          </cell>
          <cell r="AE25">
            <v>19</v>
          </cell>
          <cell r="AF25">
            <v>0</v>
          </cell>
          <cell r="AG25">
            <v>0</v>
          </cell>
          <cell r="AH25">
            <v>45</v>
          </cell>
          <cell r="AI25">
            <v>25</v>
          </cell>
          <cell r="AJ25">
            <v>20</v>
          </cell>
          <cell r="AK25">
            <v>25</v>
          </cell>
          <cell r="AL25">
            <v>28</v>
          </cell>
          <cell r="AM25">
            <v>98</v>
          </cell>
          <cell r="AN25">
            <v>361.09199999999998</v>
          </cell>
          <cell r="AO25">
            <v>361.09199999999998</v>
          </cell>
          <cell r="AP25">
            <v>383.89507666666663</v>
          </cell>
          <cell r="AQ25">
            <v>1156.6411999999998</v>
          </cell>
          <cell r="AR25">
            <v>1662.3304499999997</v>
          </cell>
          <cell r="AS25">
            <v>2062.25</v>
          </cell>
          <cell r="AT25">
            <v>2082.3249999999998</v>
          </cell>
        </row>
        <row r="26">
          <cell r="AP26">
            <v>6.3150323647897633E-2</v>
          </cell>
          <cell r="AQ26">
            <v>2.0129096992934432</v>
          </cell>
          <cell r="AR26">
            <v>0.43720494307136915</v>
          </cell>
          <cell r="AS26">
            <v>0.24057764808435067</v>
          </cell>
          <cell r="AT26">
            <v>9.7345132743362761E-3</v>
          </cell>
        </row>
        <row r="28">
          <cell r="AC28">
            <v>-0.20771042782975158</v>
          </cell>
          <cell r="AH28">
            <v>-0.35149289939094031</v>
          </cell>
          <cell r="AN28">
            <v>-0.14809124216995628</v>
          </cell>
          <cell r="AO28">
            <v>-0.14809124216995628</v>
          </cell>
          <cell r="AP28">
            <v>0.1333333333333333</v>
          </cell>
          <cell r="AQ28">
            <v>8.5068877717568769E-2</v>
          </cell>
          <cell r="AR28">
            <v>9.9277978339349371E-3</v>
          </cell>
          <cell r="AS28">
            <v>9.8302055406613853E-3</v>
          </cell>
          <cell r="AT28">
            <v>9.7345132743362761E-3</v>
          </cell>
        </row>
        <row r="29">
          <cell r="AQ29">
            <v>1.7766990291262132</v>
          </cell>
          <cell r="AR29">
            <v>0.42307692307692335</v>
          </cell>
          <cell r="AS29">
            <v>0.22850122850122867</v>
          </cell>
          <cell r="AT29">
            <v>0</v>
          </cell>
        </row>
        <row r="31">
          <cell r="B31">
            <v>1510</v>
          </cell>
          <cell r="C31">
            <v>2059</v>
          </cell>
          <cell r="D31">
            <v>3053</v>
          </cell>
          <cell r="E31">
            <v>3532</v>
          </cell>
          <cell r="F31">
            <v>2849</v>
          </cell>
          <cell r="G31">
            <v>2974</v>
          </cell>
          <cell r="H31">
            <v>3731</v>
          </cell>
          <cell r="I31">
            <v>4554</v>
          </cell>
          <cell r="J31">
            <v>1341</v>
          </cell>
          <cell r="K31">
            <v>1394</v>
          </cell>
          <cell r="L31">
            <v>1279</v>
          </cell>
          <cell r="M31">
            <v>1198</v>
          </cell>
          <cell r="N31">
            <v>5212</v>
          </cell>
          <cell r="O31">
            <v>1114</v>
          </cell>
          <cell r="P31">
            <v>1210</v>
          </cell>
          <cell r="Q31">
            <v>1255</v>
          </cell>
          <cell r="R31">
            <v>1436</v>
          </cell>
          <cell r="S31">
            <v>5015</v>
          </cell>
          <cell r="T31">
            <v>1216</v>
          </cell>
          <cell r="U31">
            <v>1447</v>
          </cell>
          <cell r="V31">
            <v>1346</v>
          </cell>
          <cell r="W31">
            <v>1395</v>
          </cell>
          <cell r="X31">
            <v>5404</v>
          </cell>
          <cell r="Y31">
            <v>1318</v>
          </cell>
          <cell r="Z31">
            <v>1378</v>
          </cell>
          <cell r="AA31">
            <v>1391</v>
          </cell>
          <cell r="AB31">
            <v>1552</v>
          </cell>
          <cell r="AC31">
            <v>5639</v>
          </cell>
          <cell r="AD31">
            <v>1297</v>
          </cell>
          <cell r="AE31">
            <v>1309</v>
          </cell>
          <cell r="AF31">
            <v>1459</v>
          </cell>
          <cell r="AG31">
            <v>1518</v>
          </cell>
          <cell r="AH31">
            <v>5583</v>
          </cell>
          <cell r="AI31">
            <v>1294</v>
          </cell>
          <cell r="AJ31">
            <v>1309</v>
          </cell>
          <cell r="AK31">
            <v>1264</v>
          </cell>
          <cell r="AL31">
            <v>1425</v>
          </cell>
          <cell r="AM31">
            <v>5292</v>
          </cell>
          <cell r="AN31">
            <v>6120.1980000000003</v>
          </cell>
          <cell r="AO31">
            <v>5292</v>
          </cell>
          <cell r="AP31">
            <v>5397.84</v>
          </cell>
          <cell r="AQ31">
            <v>5721.7104000000008</v>
          </cell>
          <cell r="AR31">
            <v>6065.0130240000008</v>
          </cell>
          <cell r="AS31">
            <v>6428.9138054400009</v>
          </cell>
          <cell r="AT31">
            <v>6814.648633766401</v>
          </cell>
        </row>
        <row r="32">
          <cell r="C32">
            <v>0.36357615894039741</v>
          </cell>
          <cell r="D32">
            <v>0.48275862068965525</v>
          </cell>
          <cell r="E32">
            <v>0.15689485751719623</v>
          </cell>
          <cell r="F32">
            <v>-0.19337485843714608</v>
          </cell>
          <cell r="G32">
            <v>4.3875043875043929E-2</v>
          </cell>
          <cell r="H32">
            <v>0.25453934095494279</v>
          </cell>
          <cell r="I32">
            <v>0.22058429375502553</v>
          </cell>
          <cell r="N32">
            <v>0.14448836187966618</v>
          </cell>
          <cell r="O32">
            <v>-0.16927665920954515</v>
          </cell>
          <cell r="P32">
            <v>-0.13199426111908175</v>
          </cell>
          <cell r="Q32">
            <v>-1.8764659890539437E-2</v>
          </cell>
          <cell r="R32">
            <v>0.19866444073455769</v>
          </cell>
          <cell r="S32">
            <v>-3.7797390636991612E-2</v>
          </cell>
          <cell r="T32">
            <v>9.1561938958707456E-2</v>
          </cell>
          <cell r="U32">
            <v>0.1958677685950414</v>
          </cell>
          <cell r="V32">
            <v>7.2509960159362619E-2</v>
          </cell>
          <cell r="W32">
            <v>-2.8551532033426197E-2</v>
          </cell>
          <cell r="X32">
            <v>7.7567298105682969E-2</v>
          </cell>
          <cell r="Y32">
            <v>9.468438538205981E-2</v>
          </cell>
          <cell r="Z32">
            <v>-3.8381018841591064E-2</v>
          </cell>
          <cell r="AA32">
            <v>4.5078888054094657E-2</v>
          </cell>
          <cell r="AB32">
            <v>9.9150141643059575E-2</v>
          </cell>
          <cell r="AC32">
            <v>4.814126394052054E-2</v>
          </cell>
          <cell r="AD32">
            <v>6.6611842105263053E-2</v>
          </cell>
          <cell r="AE32">
            <v>-9.5369730476848602E-2</v>
          </cell>
          <cell r="AF32">
            <v>8.395245170876664E-2</v>
          </cell>
          <cell r="AG32">
            <v>8.8172043010752654E-2</v>
          </cell>
          <cell r="AH32">
            <v>3.3123612139156267E-2</v>
          </cell>
          <cell r="AI32">
            <v>6.414473684210531E-2</v>
          </cell>
          <cell r="AJ32">
            <v>1.1591962905718622E-2</v>
          </cell>
          <cell r="AK32">
            <v>-3.4377387318563768E-2</v>
          </cell>
          <cell r="AL32">
            <v>0.12737341772151889</v>
          </cell>
          <cell r="AM32">
            <v>-2.0725388601036232E-2</v>
          </cell>
          <cell r="AN32">
            <v>0.1565</v>
          </cell>
          <cell r="AO32">
            <v>0</v>
          </cell>
          <cell r="AP32">
            <v>0.02</v>
          </cell>
          <cell r="AQ32">
            <v>0.06</v>
          </cell>
          <cell r="AR32">
            <v>0.06</v>
          </cell>
          <cell r="AS32">
            <v>0.06</v>
          </cell>
          <cell r="AT32">
            <v>0.06</v>
          </cell>
        </row>
        <row r="34">
          <cell r="B34">
            <v>161</v>
          </cell>
          <cell r="C34">
            <v>155.80000000000001</v>
          </cell>
          <cell r="D34">
            <v>206</v>
          </cell>
          <cell r="E34">
            <v>241</v>
          </cell>
          <cell r="F34">
            <v>250</v>
          </cell>
          <cell r="G34">
            <v>280.5</v>
          </cell>
          <cell r="H34">
            <v>279.7</v>
          </cell>
          <cell r="I34">
            <v>235.60000000000002</v>
          </cell>
          <cell r="N34">
            <v>253.29999999999998</v>
          </cell>
          <cell r="S34">
            <v>279</v>
          </cell>
          <cell r="X34">
            <v>250.39999999999998</v>
          </cell>
          <cell r="AC34">
            <v>256.95632467532465</v>
          </cell>
          <cell r="AH34">
            <v>260.06477168007586</v>
          </cell>
          <cell r="AN34">
            <v>264.90072702982104</v>
          </cell>
          <cell r="AP34">
            <v>269.02683232472305</v>
          </cell>
          <cell r="AQ34">
            <v>273.86058238656443</v>
          </cell>
          <cell r="AR34">
            <v>279.2592830300344</v>
          </cell>
          <cell r="AS34">
            <v>284.64428010500058</v>
          </cell>
          <cell r="AT34">
            <v>290.13379672591594</v>
          </cell>
        </row>
        <row r="35">
          <cell r="C35">
            <v>-3.2298136645962705E-2</v>
          </cell>
          <cell r="D35">
            <v>0.3222079589216944</v>
          </cell>
          <cell r="E35">
            <v>0.16990291262135915</v>
          </cell>
          <cell r="F35">
            <v>3.7344398340249052E-2</v>
          </cell>
          <cell r="G35">
            <v>0.12200000000000011</v>
          </cell>
          <cell r="H35">
            <v>-2.8520499108735109E-3</v>
          </cell>
          <cell r="I35">
            <v>-0.15766893099749724</v>
          </cell>
          <cell r="N35">
            <v>7.5127334465195039E-2</v>
          </cell>
          <cell r="S35">
            <v>0.10146071851559424</v>
          </cell>
          <cell r="X35">
            <v>-0.1025089605734768</v>
          </cell>
          <cell r="AC35">
            <v>2.6183405252893976E-2</v>
          </cell>
          <cell r="AH35">
            <v>3.8597330990718381E-2</v>
          </cell>
          <cell r="AN35">
            <v>1.8595195798738251E-2</v>
          </cell>
          <cell r="AP35">
            <v>1.5576043679327078E-2</v>
          </cell>
          <cell r="AQ35">
            <v>1.7967538851317633E-2</v>
          </cell>
          <cell r="AR35">
            <v>1.9713317617390702E-2</v>
          </cell>
          <cell r="AS35">
            <v>1.9283144383017703E-2</v>
          </cell>
          <cell r="AT35">
            <v>1.9285532872434175E-2</v>
          </cell>
        </row>
        <row r="37">
          <cell r="B37">
            <v>123</v>
          </cell>
          <cell r="C37">
            <v>118</v>
          </cell>
          <cell r="D37">
            <v>172</v>
          </cell>
          <cell r="E37">
            <v>203</v>
          </cell>
          <cell r="F37">
            <v>220</v>
          </cell>
          <cell r="G37">
            <v>256.89999999999998</v>
          </cell>
          <cell r="H37">
            <v>233.7</v>
          </cell>
          <cell r="I37">
            <v>193.8</v>
          </cell>
          <cell r="N37">
            <v>230.9</v>
          </cell>
          <cell r="S37">
            <v>228</v>
          </cell>
          <cell r="X37">
            <v>219.2</v>
          </cell>
          <cell r="AC37">
            <v>229.29885714285714</v>
          </cell>
          <cell r="AH37">
            <v>231.27902184136272</v>
          </cell>
          <cell r="AN37">
            <v>235.99105444665062</v>
          </cell>
          <cell r="AP37">
            <v>240.7344746410283</v>
          </cell>
          <cell r="AQ37">
            <v>245.54916413384885</v>
          </cell>
          <cell r="AR37">
            <v>250.43607396906171</v>
          </cell>
          <cell r="AS37">
            <v>255.39616708456546</v>
          </cell>
          <cell r="AT37">
            <v>260.45449893750248</v>
          </cell>
        </row>
        <row r="38">
          <cell r="C38">
            <v>-4.065040650406504E-2</v>
          </cell>
          <cell r="D38">
            <v>0.45762711864406769</v>
          </cell>
          <cell r="E38">
            <v>0.18023255813953498</v>
          </cell>
          <cell r="F38">
            <v>8.3743842364532028E-2</v>
          </cell>
          <cell r="G38">
            <v>0.16772727272727272</v>
          </cell>
          <cell r="H38">
            <v>-9.0307512650836919E-2</v>
          </cell>
          <cell r="I38">
            <v>-0.1707317073170731</v>
          </cell>
          <cell r="N38">
            <v>0.19143446852425172</v>
          </cell>
          <cell r="S38">
            <v>-1.2559549588566532E-2</v>
          </cell>
          <cell r="X38">
            <v>-3.8596491228070184E-2</v>
          </cell>
          <cell r="AC38">
            <v>4.6071428571428541E-2</v>
          </cell>
          <cell r="AH38">
            <v>5.5105026648552657E-2</v>
          </cell>
          <cell r="AN38">
            <v>2.0373800303081335E-2</v>
          </cell>
          <cell r="AP38">
            <v>2.0100000000000007E-2</v>
          </cell>
          <cell r="AQ38">
            <v>2.0000000000000018E-2</v>
          </cell>
          <cell r="AR38">
            <v>1.990196078431361E-2</v>
          </cell>
          <cell r="AS38">
            <v>1.9805825242718456E-2</v>
          </cell>
          <cell r="AT38">
            <v>1.9805825242718456E-2</v>
          </cell>
        </row>
        <row r="40">
          <cell r="B40">
            <v>11.92</v>
          </cell>
          <cell r="C40">
            <v>11.990322580645161</v>
          </cell>
          <cell r="D40">
            <v>13.716455696202532</v>
          </cell>
          <cell r="E40">
            <v>14.5</v>
          </cell>
          <cell r="F40">
            <v>18.333333333333332</v>
          </cell>
          <cell r="G40">
            <v>25.689999999999998</v>
          </cell>
          <cell r="H40">
            <v>21.923076923076923</v>
          </cell>
          <cell r="I40">
            <v>18.095238095238095</v>
          </cell>
          <cell r="N40">
            <v>21.783018867924529</v>
          </cell>
          <cell r="S40">
            <v>24</v>
          </cell>
          <cell r="X40">
            <v>23.826086956521738</v>
          </cell>
          <cell r="AC40">
            <v>24.65</v>
          </cell>
          <cell r="AH40">
            <v>24.64610207175647</v>
          </cell>
          <cell r="AN40">
            <v>24.899244389718611</v>
          </cell>
          <cell r="AP40">
            <v>25.148236833615798</v>
          </cell>
          <cell r="AQ40">
            <v>25.397229277512984</v>
          </cell>
          <cell r="AR40">
            <v>25.646221721410171</v>
          </cell>
          <cell r="AS40">
            <v>25.895214165307358</v>
          </cell>
          <cell r="AT40">
            <v>26.146624011572477</v>
          </cell>
        </row>
        <row r="41">
          <cell r="B41">
            <v>-3.0303030303030276E-2</v>
          </cell>
          <cell r="C41">
            <v>5.8995453561376809E-3</v>
          </cell>
          <cell r="D41">
            <v>0.14396052349281274</v>
          </cell>
          <cell r="E41">
            <v>5.7124400147655852E-2</v>
          </cell>
          <cell r="F41">
            <v>0.26436781609195403</v>
          </cell>
          <cell r="G41">
            <v>0.40127272727272723</v>
          </cell>
          <cell r="H41">
            <v>-0.14662993682067238</v>
          </cell>
          <cell r="I41">
            <v>-0.17460317460317465</v>
          </cell>
          <cell r="N41">
            <v>0.20379841112214514</v>
          </cell>
          <cell r="S41">
            <v>0.10177566045907316</v>
          </cell>
          <cell r="X41">
            <v>-7.2463768115942351E-3</v>
          </cell>
          <cell r="AC41">
            <v>3.5714285714285809E-2</v>
          </cell>
          <cell r="AH41">
            <v>3.4416692792698544E-2</v>
          </cell>
          <cell r="AN41">
            <v>1.0271089408991463E-2</v>
          </cell>
          <cell r="AP41">
            <v>1.0000000000000009E-2</v>
          </cell>
          <cell r="AQ41">
            <v>9.9009900990099098E-3</v>
          </cell>
          <cell r="AR41">
            <v>9.8039215686274161E-3</v>
          </cell>
          <cell r="AS41">
            <v>9.7087378640776656E-3</v>
          </cell>
          <cell r="AT41">
            <v>9.7087378640776656E-3</v>
          </cell>
        </row>
        <row r="42">
          <cell r="B42">
            <v>6.97</v>
          </cell>
          <cell r="C42">
            <v>9.8412698412698418</v>
          </cell>
          <cell r="D42">
            <v>12.53968253968254</v>
          </cell>
          <cell r="E42">
            <v>14</v>
          </cell>
          <cell r="F42">
            <v>12</v>
          </cell>
          <cell r="G42">
            <v>10</v>
          </cell>
          <cell r="H42">
            <v>10.66</v>
          </cell>
          <cell r="I42">
            <v>10.71</v>
          </cell>
          <cell r="N42">
            <v>10.6</v>
          </cell>
          <cell r="S42">
            <v>9.5</v>
          </cell>
          <cell r="X42">
            <v>9.1999999999999993</v>
          </cell>
          <cell r="AC42">
            <v>9.2919999999999998</v>
          </cell>
          <cell r="AH42">
            <v>9.3839999999999986</v>
          </cell>
          <cell r="AN42">
            <v>9.4778399999999987</v>
          </cell>
          <cell r="AP42">
            <v>9.5726183999999996</v>
          </cell>
          <cell r="AQ42">
            <v>9.6683445839999997</v>
          </cell>
          <cell r="AR42">
            <v>9.7650280298399998</v>
          </cell>
          <cell r="AS42">
            <v>9.8626783101383992</v>
          </cell>
          <cell r="AT42">
            <v>9.9613050932397833</v>
          </cell>
        </row>
        <row r="43">
          <cell r="B43">
            <v>0.16595192978956819</v>
          </cell>
          <cell r="C43">
            <v>0.41194689257816952</v>
          </cell>
          <cell r="D43">
            <v>0.27419354838709675</v>
          </cell>
          <cell r="E43">
            <v>0.1164556962025316</v>
          </cell>
          <cell r="F43">
            <v>-0.1428571428571429</v>
          </cell>
          <cell r="G43">
            <v>-0.16666666666666663</v>
          </cell>
          <cell r="H43">
            <v>6.6000000000000059E-2</v>
          </cell>
          <cell r="I43">
            <v>4.6904315196998336E-3</v>
          </cell>
          <cell r="N43">
            <v>-1.0270774976657404E-2</v>
          </cell>
          <cell r="S43">
            <v>-0.10377358490566035</v>
          </cell>
          <cell r="X43">
            <v>-3.1578947368421151E-2</v>
          </cell>
          <cell r="AC43">
            <v>0.01</v>
          </cell>
          <cell r="AH43">
            <v>0.02</v>
          </cell>
          <cell r="AN43">
            <v>0.01</v>
          </cell>
          <cell r="AP43">
            <v>0.01</v>
          </cell>
          <cell r="AQ43">
            <v>0.01</v>
          </cell>
          <cell r="AR43">
            <v>0.01</v>
          </cell>
          <cell r="AS43">
            <v>0.01</v>
          </cell>
          <cell r="AT43">
            <v>0.01</v>
          </cell>
        </row>
        <row r="45">
          <cell r="B45">
            <v>27</v>
          </cell>
          <cell r="C45">
            <v>24</v>
          </cell>
          <cell r="D45">
            <v>23</v>
          </cell>
          <cell r="E45">
            <v>26</v>
          </cell>
          <cell r="F45">
            <v>14</v>
          </cell>
          <cell r="G45">
            <v>11.6</v>
          </cell>
          <cell r="H45">
            <v>34.9</v>
          </cell>
          <cell r="I45">
            <v>31.5</v>
          </cell>
          <cell r="N45">
            <v>10.7</v>
          </cell>
          <cell r="S45">
            <v>40</v>
          </cell>
          <cell r="X45">
            <v>17.100000000000001</v>
          </cell>
          <cell r="AC45">
            <v>12.824999999999999</v>
          </cell>
          <cell r="AH45">
            <v>14.346063743496986</v>
          </cell>
          <cell r="AN45">
            <v>13.009379253761955</v>
          </cell>
          <cell r="AP45">
            <v>12.044516959107941</v>
          </cell>
          <cell r="AQ45">
            <v>11.716030132950452</v>
          </cell>
          <cell r="AR45">
            <v>11.880273546029196</v>
          </cell>
          <cell r="AS45">
            <v>12.044516959107941</v>
          </cell>
          <cell r="AT45">
            <v>12.211031018450448</v>
          </cell>
        </row>
        <row r="46">
          <cell r="C46">
            <v>-0.11111111111111116</v>
          </cell>
          <cell r="D46">
            <v>-4.166666666666663E-2</v>
          </cell>
          <cell r="E46">
            <v>0.13043478260869557</v>
          </cell>
          <cell r="F46">
            <v>-0.46153846153846156</v>
          </cell>
          <cell r="G46">
            <v>-0.17142857142857149</v>
          </cell>
          <cell r="H46">
            <v>2.0086206896551726</v>
          </cell>
          <cell r="I46">
            <v>-9.7421203438395332E-2</v>
          </cell>
          <cell r="N46">
            <v>-0.66031746031746041</v>
          </cell>
          <cell r="S46">
            <v>2.7383177570093462</v>
          </cell>
          <cell r="X46">
            <v>-0.57250000000000001</v>
          </cell>
          <cell r="AC46">
            <v>-0.25</v>
          </cell>
          <cell r="AH46">
            <v>-0.16104890388906523</v>
          </cell>
          <cell r="AN46">
            <v>-9.3174302974984635E-2</v>
          </cell>
          <cell r="AP46">
            <v>-7.4166666666666825E-2</v>
          </cell>
          <cell r="AQ46">
            <v>-2.7272727272727226E-2</v>
          </cell>
          <cell r="AR46">
            <v>1.4018691588784993E-2</v>
          </cell>
          <cell r="AS46">
            <v>1.3824884792626779E-2</v>
          </cell>
          <cell r="AT46">
            <v>1.3824884792626779E-2</v>
          </cell>
        </row>
        <row r="48">
          <cell r="B48">
            <v>1.0718539102818578</v>
          </cell>
          <cell r="C48">
            <v>1.2244897959183672</v>
          </cell>
          <cell r="D48">
            <v>1.0454545454545454</v>
          </cell>
          <cell r="E48">
            <v>0.76470588235294112</v>
          </cell>
          <cell r="F48">
            <v>0.77777777777777779</v>
          </cell>
          <cell r="G48">
            <v>0.75324675324675316</v>
          </cell>
          <cell r="H48">
            <v>0.56290322580645158</v>
          </cell>
          <cell r="I48">
            <v>0.78749999999999998</v>
          </cell>
          <cell r="N48">
            <v>1.3374999999999999</v>
          </cell>
          <cell r="S48">
            <v>1.1111111111111112</v>
          </cell>
          <cell r="X48">
            <v>1.8586956521739133</v>
          </cell>
          <cell r="AC48">
            <v>1.394021739130435</v>
          </cell>
          <cell r="AH48">
            <v>1.3559606562851596</v>
          </cell>
          <cell r="AN48">
            <v>1.2055097718375365</v>
          </cell>
          <cell r="AP48">
            <v>1.1050506241844085</v>
          </cell>
          <cell r="AQ48">
            <v>1.0749128798884702</v>
          </cell>
          <cell r="AR48">
            <v>1.0899817520364394</v>
          </cell>
          <cell r="AS48">
            <v>1.1050506241844087</v>
          </cell>
          <cell r="AT48">
            <v>1.1203278217537784</v>
          </cell>
        </row>
        <row r="49">
          <cell r="B49">
            <v>-0.37209302325581395</v>
          </cell>
          <cell r="C49">
            <v>0.14240362811791374</v>
          </cell>
          <cell r="D49">
            <v>-0.14621212121212113</v>
          </cell>
          <cell r="E49">
            <v>-0.26854219948849112</v>
          </cell>
          <cell r="F49">
            <v>1.7094017094017255E-2</v>
          </cell>
          <cell r="G49">
            <v>-3.1539888682745931E-2</v>
          </cell>
          <cell r="H49">
            <v>-0.25269744160177976</v>
          </cell>
          <cell r="I49">
            <v>0.39899713467048725</v>
          </cell>
          <cell r="N49">
            <v>0.69841269841269837</v>
          </cell>
          <cell r="S49">
            <v>-0.19463087248322197</v>
          </cell>
          <cell r="X49">
            <v>0.33333333333332993</v>
          </cell>
          <cell r="AC49">
            <v>-0.25</v>
          </cell>
          <cell r="AH49">
            <v>-0.27047730772962186</v>
          </cell>
          <cell r="AN49">
            <v>-0.11095519899508299</v>
          </cell>
          <cell r="AP49">
            <v>-8.333333333333337E-2</v>
          </cell>
          <cell r="AQ49">
            <v>-2.7272727272727226E-2</v>
          </cell>
          <cell r="AR49">
            <v>1.4018691588784993E-2</v>
          </cell>
          <cell r="AS49">
            <v>1.3824884792626779E-2</v>
          </cell>
          <cell r="AT49">
            <v>1.3824884792626779E-2</v>
          </cell>
        </row>
        <row r="50">
          <cell r="B50">
            <v>12.595000000000001</v>
          </cell>
          <cell r="C50">
            <v>9.8000000000000007</v>
          </cell>
          <cell r="D50">
            <v>11</v>
          </cell>
          <cell r="E50">
            <v>17</v>
          </cell>
          <cell r="F50">
            <v>9</v>
          </cell>
          <cell r="G50">
            <v>7.7</v>
          </cell>
          <cell r="H50">
            <v>31</v>
          </cell>
          <cell r="I50">
            <v>20</v>
          </cell>
          <cell r="N50">
            <v>4</v>
          </cell>
          <cell r="S50">
            <v>18</v>
          </cell>
          <cell r="X50">
            <v>4.5999999999999996</v>
          </cell>
          <cell r="AC50">
            <v>4.5999999999999996</v>
          </cell>
          <cell r="AH50">
            <v>5.2899999999999991</v>
          </cell>
          <cell r="AN50">
            <v>5.3957999999999995</v>
          </cell>
          <cell r="AP50">
            <v>5.4497579999999992</v>
          </cell>
          <cell r="AQ50">
            <v>5.4497579999999992</v>
          </cell>
          <cell r="AR50">
            <v>5.4497579999999992</v>
          </cell>
          <cell r="AS50">
            <v>5.4497579999999992</v>
          </cell>
          <cell r="AT50">
            <v>5.4497579999999992</v>
          </cell>
        </row>
        <row r="51">
          <cell r="B51">
            <v>-0.34375</v>
          </cell>
          <cell r="C51">
            <v>-0.22191345772131799</v>
          </cell>
          <cell r="D51">
            <v>0.12244897959183665</v>
          </cell>
          <cell r="E51">
            <v>0.54545454545454541</v>
          </cell>
          <cell r="F51">
            <v>-0.47058823529411764</v>
          </cell>
          <cell r="G51">
            <v>-0.14444444444444438</v>
          </cell>
          <cell r="H51">
            <v>3.0259740259740262</v>
          </cell>
          <cell r="I51">
            <v>-0.35483870967741937</v>
          </cell>
          <cell r="N51">
            <v>-0.8</v>
          </cell>
          <cell r="S51">
            <v>3.5</v>
          </cell>
          <cell r="X51">
            <v>-0.74444444444444446</v>
          </cell>
          <cell r="AC51">
            <v>0</v>
          </cell>
          <cell r="AH51">
            <v>0.15</v>
          </cell>
          <cell r="AN51">
            <v>0.02</v>
          </cell>
          <cell r="AP51">
            <v>0.01</v>
          </cell>
          <cell r="AQ51">
            <v>0</v>
          </cell>
          <cell r="AR51">
            <v>0</v>
          </cell>
          <cell r="AS51">
            <v>0</v>
          </cell>
          <cell r="AT51">
            <v>0</v>
          </cell>
        </row>
        <row r="53">
          <cell r="B53">
            <v>11</v>
          </cell>
          <cell r="C53">
            <v>13.8</v>
          </cell>
          <cell r="D53">
            <v>11</v>
          </cell>
          <cell r="E53">
            <v>12</v>
          </cell>
          <cell r="F53">
            <v>16</v>
          </cell>
          <cell r="G53">
            <v>12</v>
          </cell>
          <cell r="H53">
            <v>11.1</v>
          </cell>
          <cell r="I53">
            <v>10.3</v>
          </cell>
          <cell r="N53">
            <v>11.7</v>
          </cell>
          <cell r="S53">
            <v>11</v>
          </cell>
          <cell r="X53">
            <v>14.1</v>
          </cell>
          <cell r="AC53">
            <v>14.832467532467504</v>
          </cell>
          <cell r="AH53">
            <v>14.439686095216151</v>
          </cell>
          <cell r="AN53">
            <v>15.900293329408479</v>
          </cell>
          <cell r="AP53">
            <v>16.247840724586805</v>
          </cell>
          <cell r="AQ53">
            <v>16.595388119765133</v>
          </cell>
          <cell r="AR53">
            <v>16.942935514943461</v>
          </cell>
          <cell r="AS53">
            <v>17.203596061327204</v>
          </cell>
          <cell r="AT53">
            <v>17.468266769963005</v>
          </cell>
        </row>
        <row r="54">
          <cell r="C54">
            <v>0.25454545454545463</v>
          </cell>
          <cell r="D54">
            <v>-0.20289855072463769</v>
          </cell>
          <cell r="E54">
            <v>9.0909090909090828E-2</v>
          </cell>
          <cell r="F54">
            <v>0.33333333333333326</v>
          </cell>
          <cell r="G54">
            <v>-0.25</v>
          </cell>
          <cell r="H54">
            <v>-7.5000000000000067E-2</v>
          </cell>
          <cell r="I54">
            <v>-7.2072072072072002E-2</v>
          </cell>
          <cell r="N54">
            <v>0.13592233009708732</v>
          </cell>
          <cell r="S54">
            <v>-5.9829059829059728E-2</v>
          </cell>
          <cell r="X54">
            <v>0.28181818181818175</v>
          </cell>
          <cell r="AC54">
            <v>5.1948051948049967E-2</v>
          </cell>
          <cell r="AH54">
            <v>2.4091212426677444E-2</v>
          </cell>
          <cell r="AN54">
            <v>0.10115228437522794</v>
          </cell>
          <cell r="AP54">
            <v>2.1857923497267784E-2</v>
          </cell>
          <cell r="AQ54">
            <v>2.1390374331550888E-2</v>
          </cell>
          <cell r="AR54">
            <v>2.0942408376963373E-2</v>
          </cell>
          <cell r="AS54">
            <v>1.538461538461533E-2</v>
          </cell>
          <cell r="AT54">
            <v>1.538461538461533E-2</v>
          </cell>
        </row>
        <row r="56">
          <cell r="B56">
            <v>2.42</v>
          </cell>
          <cell r="C56">
            <v>1.1367380560131797</v>
          </cell>
          <cell r="D56">
            <v>0.859375</v>
          </cell>
          <cell r="E56">
            <v>0.66666666666666663</v>
          </cell>
          <cell r="F56">
            <v>0.8</v>
          </cell>
          <cell r="G56">
            <v>0.7142857142857143</v>
          </cell>
          <cell r="H56">
            <v>0.59677419354838701</v>
          </cell>
          <cell r="I56">
            <v>0.60588235294117654</v>
          </cell>
          <cell r="N56">
            <v>0.91406249999999989</v>
          </cell>
          <cell r="S56">
            <v>0.7857142857142857</v>
          </cell>
          <cell r="X56">
            <v>0.81976744186046513</v>
          </cell>
          <cell r="AC56">
            <v>0.86235276351555257</v>
          </cell>
          <cell r="AH56">
            <v>0.8837017194134732</v>
          </cell>
          <cell r="AN56">
            <v>0.9267525400366311</v>
          </cell>
          <cell r="AP56">
            <v>0.94700942615765038</v>
          </cell>
          <cell r="AQ56">
            <v>0.96726631227866977</v>
          </cell>
          <cell r="AR56">
            <v>0.98752319839968905</v>
          </cell>
          <cell r="AS56">
            <v>1.0027158629904533</v>
          </cell>
          <cell r="AT56">
            <v>1.0181422608826141</v>
          </cell>
        </row>
        <row r="57">
          <cell r="B57">
            <v>-6.1776061776061653E-2</v>
          </cell>
          <cell r="C57">
            <v>-0.53027353057306625</v>
          </cell>
          <cell r="D57">
            <v>-0.24399909420289867</v>
          </cell>
          <cell r="E57">
            <v>-0.22424242424242424</v>
          </cell>
          <cell r="F57">
            <v>0.20000000000000018</v>
          </cell>
          <cell r="G57">
            <v>-0.10714285714285721</v>
          </cell>
          <cell r="H57">
            <v>-0.16451612903225821</v>
          </cell>
          <cell r="I57">
            <v>1.5262321144674296E-2</v>
          </cell>
          <cell r="N57">
            <v>0.50864684466019372</v>
          </cell>
          <cell r="S57">
            <v>-0.14041514041514036</v>
          </cell>
          <cell r="X57">
            <v>4.3340380549682811E-2</v>
          </cell>
          <cell r="AC57">
            <v>5.1948051948049967E-2</v>
          </cell>
          <cell r="AH57">
            <v>7.7990749922818292E-2</v>
          </cell>
          <cell r="AN57">
            <v>4.8716461309740833E-2</v>
          </cell>
          <cell r="AP57">
            <v>2.1857923497267784E-2</v>
          </cell>
          <cell r="AQ57">
            <v>2.1390374331550888E-2</v>
          </cell>
          <cell r="AR57">
            <v>2.0942408376963373E-2</v>
          </cell>
          <cell r="AS57">
            <v>1.538461538461533E-2</v>
          </cell>
          <cell r="AT57">
            <v>1.538461538461533E-2</v>
          </cell>
        </row>
        <row r="58">
          <cell r="B58">
            <v>6.93</v>
          </cell>
          <cell r="C58">
            <v>6.07</v>
          </cell>
          <cell r="D58">
            <v>6.4</v>
          </cell>
          <cell r="E58">
            <v>9</v>
          </cell>
          <cell r="F58">
            <v>10</v>
          </cell>
          <cell r="G58">
            <v>8.4</v>
          </cell>
          <cell r="H58">
            <v>9.3000000000000007</v>
          </cell>
          <cell r="I58">
            <v>8.5</v>
          </cell>
          <cell r="N58">
            <v>6.4</v>
          </cell>
          <cell r="S58">
            <v>7</v>
          </cell>
          <cell r="X58">
            <v>8.6</v>
          </cell>
          <cell r="AC58">
            <v>8.6</v>
          </cell>
          <cell r="AH58">
            <v>8.17</v>
          </cell>
          <cell r="AN58">
            <v>8.5785</v>
          </cell>
          <cell r="AP58">
            <v>8.5785</v>
          </cell>
          <cell r="AQ58">
            <v>8.5785</v>
          </cell>
          <cell r="AR58">
            <v>8.5785</v>
          </cell>
          <cell r="AS58">
            <v>8.5785</v>
          </cell>
          <cell r="AT58">
            <v>8.5785</v>
          </cell>
        </row>
        <row r="59">
          <cell r="B59">
            <v>4.5454545454545636E-2</v>
          </cell>
          <cell r="C59">
            <v>-0.12409812409812404</v>
          </cell>
          <cell r="D59">
            <v>5.4365733113673764E-2</v>
          </cell>
          <cell r="E59">
            <v>0.40625</v>
          </cell>
          <cell r="F59">
            <v>0.11111111111111116</v>
          </cell>
          <cell r="G59">
            <v>-0.15999999999999992</v>
          </cell>
          <cell r="H59">
            <v>0.10714285714285721</v>
          </cell>
          <cell r="I59">
            <v>-8.6021505376344121E-2</v>
          </cell>
          <cell r="N59">
            <v>-0.24705882352941178</v>
          </cell>
          <cell r="S59">
            <v>9.375E-2</v>
          </cell>
          <cell r="X59">
            <v>0.22857142857142843</v>
          </cell>
          <cell r="AC59">
            <v>0</v>
          </cell>
          <cell r="AH59">
            <v>-0.05</v>
          </cell>
          <cell r="AN59">
            <v>0.05</v>
          </cell>
          <cell r="AP59">
            <v>0</v>
          </cell>
          <cell r="AQ59">
            <v>0</v>
          </cell>
          <cell r="AR59">
            <v>0</v>
          </cell>
          <cell r="AS59">
            <v>0</v>
          </cell>
          <cell r="AT59">
            <v>0</v>
          </cell>
        </row>
        <row r="61">
          <cell r="B61">
            <v>1349</v>
          </cell>
          <cell r="C61">
            <v>1903.2</v>
          </cell>
          <cell r="D61">
            <v>2847</v>
          </cell>
          <cell r="E61">
            <v>3291</v>
          </cell>
          <cell r="F61">
            <v>2599</v>
          </cell>
          <cell r="G61">
            <v>2693.5</v>
          </cell>
          <cell r="H61">
            <v>3451.3</v>
          </cell>
          <cell r="I61">
            <v>4318.3999999999996</v>
          </cell>
          <cell r="J61">
            <v>1341</v>
          </cell>
          <cell r="K61">
            <v>1394</v>
          </cell>
          <cell r="L61">
            <v>1279</v>
          </cell>
          <cell r="M61">
            <v>1198</v>
          </cell>
          <cell r="N61">
            <v>4958.7</v>
          </cell>
          <cell r="S61">
            <v>4736</v>
          </cell>
          <cell r="X61">
            <v>5153.6000000000004</v>
          </cell>
          <cell r="AC61">
            <v>5382.043675324675</v>
          </cell>
          <cell r="AH61">
            <v>5322.9352283199241</v>
          </cell>
          <cell r="AN61">
            <v>5855.2972729701796</v>
          </cell>
          <cell r="AP61">
            <v>5128.8131676752773</v>
          </cell>
          <cell r="AQ61">
            <v>5447.8498176134362</v>
          </cell>
          <cell r="AR61">
            <v>5785.7537409699662</v>
          </cell>
          <cell r="AS61">
            <v>6144.2695253350003</v>
          </cell>
          <cell r="AT61">
            <v>6524.514837040485</v>
          </cell>
        </row>
        <row r="62">
          <cell r="C62">
            <v>0.41082283172720535</v>
          </cell>
          <cell r="D62">
            <v>0.49590163934426235</v>
          </cell>
          <cell r="E62">
            <v>0.15595363540569029</v>
          </cell>
          <cell r="F62">
            <v>-0.21027043451838345</v>
          </cell>
          <cell r="G62">
            <v>3.6360138514813345E-2</v>
          </cell>
          <cell r="H62">
            <v>0.28134397623909413</v>
          </cell>
          <cell r="I62">
            <v>0.25123866369194192</v>
          </cell>
          <cell r="N62">
            <v>0.14827250833642092</v>
          </cell>
          <cell r="S62">
            <v>-4.4910964567326128E-2</v>
          </cell>
          <cell r="X62">
            <v>8.8175675675675746E-2</v>
          </cell>
          <cell r="AC62">
            <v>4.9213130716756481E-2</v>
          </cell>
          <cell r="AH62">
            <v>3.2857658397998257E-2</v>
          </cell>
          <cell r="AN62">
            <v>0.10001287293858074</v>
          </cell>
          <cell r="AP62">
            <v>-0.12407296699495896</v>
          </cell>
          <cell r="AQ62">
            <v>6.2204771261490155E-2</v>
          </cell>
          <cell r="AR62">
            <v>6.2025190610808245E-2</v>
          </cell>
          <cell r="AS62">
            <v>6.196526855720097E-2</v>
          </cell>
          <cell r="AT62">
            <v>6.1886170542746921E-2</v>
          </cell>
        </row>
        <row r="63">
          <cell r="B63">
            <v>9.0461881294136084E-2</v>
          </cell>
          <cell r="C63">
            <v>0.22044848592893135</v>
          </cell>
          <cell r="D63">
            <v>9.4612617441259088E-3</v>
          </cell>
          <cell r="E63">
            <v>-2.0812412318413506E-2</v>
          </cell>
          <cell r="F63">
            <v>-4.4548810902422895E-2</v>
          </cell>
          <cell r="G63">
            <v>-1.4821473951445599E-2</v>
          </cell>
          <cell r="H63">
            <v>0.85141851333208796</v>
          </cell>
          <cell r="I63">
            <v>8.5247080359991873E-2</v>
          </cell>
          <cell r="N63">
            <v>7.6208174245711691E-2</v>
          </cell>
          <cell r="S63">
            <v>-3.5056026204699442E-2</v>
          </cell>
          <cell r="X63">
            <v>2.4318334021923998E-2</v>
          </cell>
          <cell r="AC63">
            <v>2.1677129341447866E-2</v>
          </cell>
          <cell r="AH63">
            <v>4.9501038575228606E-4</v>
          </cell>
          <cell r="AN63">
            <v>1.6357388909040541E-2</v>
          </cell>
          <cell r="AP63">
            <v>1.8491407804767324E-2</v>
          </cell>
          <cell r="AQ63">
            <v>1.8988943178072905E-2</v>
          </cell>
          <cell r="AR63">
            <v>1.9481509871038069E-2</v>
          </cell>
          <cell r="AS63">
            <v>1.930576597034844E-2</v>
          </cell>
          <cell r="AT63">
            <v>1.933601566286677E-2</v>
          </cell>
        </row>
        <row r="64">
          <cell r="B64">
            <v>-8.2957398920517789E-2</v>
          </cell>
          <cell r="C64">
            <v>0.15598720305951508</v>
          </cell>
          <cell r="D64">
            <v>0.48188117368632355</v>
          </cell>
          <cell r="E64">
            <v>0.18052317037905996</v>
          </cell>
          <cell r="F64">
            <v>-0.17344855028385542</v>
          </cell>
          <cell r="G64">
            <v>5.1951611929203168E-2</v>
          </cell>
          <cell r="H64">
            <v>-0.30791230237133305</v>
          </cell>
          <cell r="I64">
            <v>0.1529528034084997</v>
          </cell>
          <cell r="N64">
            <v>6.6961333146551727E-2</v>
          </cell>
          <cell r="S64">
            <v>-1.0212964307000472E-2</v>
          </cell>
          <cell r="X64">
            <v>6.2341304975983114E-2</v>
          </cell>
          <cell r="AC64">
            <v>2.6951764490468433E-2</v>
          </cell>
          <cell r="AH64">
            <v>3.2346636091436398E-2</v>
          </cell>
          <cell r="AN64">
            <v>8.2309121714888356E-2</v>
          </cell>
          <cell r="AP64">
            <v>-0.13997602111048357</v>
          </cell>
          <cell r="AQ64">
            <v>4.2410497555187998E-2</v>
          </cell>
          <cell r="AR64">
            <v>4.1730703625171062E-2</v>
          </cell>
          <cell r="AS64">
            <v>4.1851526804856265E-2</v>
          </cell>
          <cell r="AT64">
            <v>4.1743011358438054E-2</v>
          </cell>
        </row>
        <row r="66">
          <cell r="B66">
            <v>522.80759999999998</v>
          </cell>
          <cell r="C66">
            <v>747.70512000000008</v>
          </cell>
          <cell r="D66">
            <v>896</v>
          </cell>
          <cell r="E66">
            <v>914</v>
          </cell>
          <cell r="F66">
            <v>736</v>
          </cell>
          <cell r="G66">
            <v>667.1</v>
          </cell>
          <cell r="H66">
            <v>567.20000000000005</v>
          </cell>
          <cell r="I66">
            <v>753.1</v>
          </cell>
          <cell r="N66">
            <v>982.5</v>
          </cell>
          <cell r="S66">
            <v>774</v>
          </cell>
          <cell r="X66">
            <v>784</v>
          </cell>
          <cell r="AC66">
            <v>816.43130434782768</v>
          </cell>
          <cell r="AH66">
            <v>686.35790369473796</v>
          </cell>
          <cell r="AN66">
            <v>730.02978344048211</v>
          </cell>
          <cell r="AP66">
            <v>775.23162756583793</v>
          </cell>
          <cell r="AQ66">
            <v>821.94953354283189</v>
          </cell>
          <cell r="AR66">
            <v>861.69443503819411</v>
          </cell>
          <cell r="AS66">
            <v>902.15203961010934</v>
          </cell>
          <cell r="AT66">
            <v>944.50917805521817</v>
          </cell>
        </row>
        <row r="67">
          <cell r="C67">
            <v>0.43017262947210422</v>
          </cell>
          <cell r="D67">
            <v>0.19833337506101323</v>
          </cell>
          <cell r="E67">
            <v>2.0089285714285809E-2</v>
          </cell>
          <cell r="F67">
            <v>-0.19474835886214437</v>
          </cell>
          <cell r="G67">
            <v>-9.3614130434782616E-2</v>
          </cell>
          <cell r="H67">
            <v>-0.14975266077049909</v>
          </cell>
          <cell r="I67">
            <v>0.32775035260930885</v>
          </cell>
          <cell r="N67">
            <v>0.30460762182977019</v>
          </cell>
          <cell r="S67">
            <v>-0.21221374045801522</v>
          </cell>
          <cell r="X67">
            <v>1.2919896640826822E-2</v>
          </cell>
          <cell r="AC67">
            <v>4.136645962733132E-2</v>
          </cell>
          <cell r="AH67">
            <v>-0.12454349018528321</v>
          </cell>
          <cell r="AN67">
            <v>6.3628435704832453E-2</v>
          </cell>
          <cell r="AP67">
            <v>6.1917808219178028E-2</v>
          </cell>
          <cell r="AQ67">
            <v>6.0263157894736796E-2</v>
          </cell>
          <cell r="AR67">
            <v>4.8354430379746738E-2</v>
          </cell>
          <cell r="AS67">
            <v>4.6951219512195053E-2</v>
          </cell>
          <cell r="AT67">
            <v>4.6951219512195275E-2</v>
          </cell>
        </row>
        <row r="69">
          <cell r="B69">
            <v>1370.4</v>
          </cell>
          <cell r="C69">
            <v>2027.4</v>
          </cell>
          <cell r="D69">
            <v>1889.0997259118701</v>
          </cell>
          <cell r="E69">
            <v>1597.0644766730736</v>
          </cell>
          <cell r="F69">
            <v>1347.985347985348</v>
          </cell>
          <cell r="G69">
            <v>1141.9034577199589</v>
          </cell>
          <cell r="H69">
            <v>1116.9751870815282</v>
          </cell>
          <cell r="I69">
            <v>1293.7639580828036</v>
          </cell>
          <cell r="N69">
            <v>1782.7980402830701</v>
          </cell>
          <cell r="S69">
            <v>1493.0555555555557</v>
          </cell>
          <cell r="X69">
            <v>1590.26369168357</v>
          </cell>
          <cell r="AC69">
            <v>1639.6507628538702</v>
          </cell>
          <cell r="AH69">
            <v>1392.2067012063651</v>
          </cell>
          <cell r="AN69">
            <v>1451.7555252763832</v>
          </cell>
          <cell r="AP69">
            <v>1511.4167112466455</v>
          </cell>
          <cell r="AQ69">
            <v>1571.0778972169078</v>
          </cell>
          <cell r="AR69">
            <v>1630.7390831871701</v>
          </cell>
          <cell r="AS69">
            <v>1690.4002691574324</v>
          </cell>
          <cell r="AT69">
            <v>1752.24418144368</v>
          </cell>
        </row>
        <row r="70">
          <cell r="B70">
            <v>0.20175438596491246</v>
          </cell>
          <cell r="C70">
            <v>0.47942206654991248</v>
          </cell>
          <cell r="D70">
            <v>-6.8215583549437686E-2</v>
          </cell>
          <cell r="E70">
            <v>-0.15458964142183163</v>
          </cell>
          <cell r="F70">
            <v>-0.15596059666081552</v>
          </cell>
          <cell r="G70">
            <v>-0.15288140228926961</v>
          </cell>
          <cell r="H70">
            <v>-2.1830453765509183E-2</v>
          </cell>
          <cell r="I70">
            <v>0.1582745731919033</v>
          </cell>
          <cell r="N70">
            <v>0.37799328010725697</v>
          </cell>
          <cell r="S70">
            <v>-0.16252120441051732</v>
          </cell>
          <cell r="X70">
            <v>6.5106844662484065E-2</v>
          </cell>
          <cell r="AC70">
            <v>3.1055900621119958E-2</v>
          </cell>
          <cell r="AH70">
            <v>-0.12454349018528321</v>
          </cell>
          <cell r="AN70">
            <v>4.2772976181208122E-2</v>
          </cell>
          <cell r="AP70">
            <v>4.1095890410958846E-2</v>
          </cell>
          <cell r="AQ70">
            <v>3.9473684210526327E-2</v>
          </cell>
          <cell r="AR70">
            <v>3.7974683544303778E-2</v>
          </cell>
          <cell r="AS70">
            <v>3.6585365853658569E-2</v>
          </cell>
          <cell r="AT70">
            <v>3.6585365853658569E-2</v>
          </cell>
        </row>
        <row r="71">
          <cell r="B71">
            <v>381.5</v>
          </cell>
          <cell r="C71">
            <v>368.8</v>
          </cell>
          <cell r="D71">
            <v>474.3</v>
          </cell>
          <cell r="E71">
            <v>572.29999999999995</v>
          </cell>
          <cell r="F71">
            <v>546</v>
          </cell>
          <cell r="G71">
            <v>584.20000000000005</v>
          </cell>
          <cell r="H71">
            <v>507.8</v>
          </cell>
          <cell r="I71">
            <v>582.1</v>
          </cell>
          <cell r="N71">
            <v>551.1</v>
          </cell>
          <cell r="S71">
            <v>518.4</v>
          </cell>
          <cell r="X71">
            <v>493</v>
          </cell>
          <cell r="AC71">
            <v>497.93</v>
          </cell>
          <cell r="AH71">
            <v>493</v>
          </cell>
          <cell r="AN71">
            <v>502.86</v>
          </cell>
          <cell r="AP71">
            <v>512.91719999999998</v>
          </cell>
          <cell r="AQ71">
            <v>523.17554399999995</v>
          </cell>
          <cell r="AR71">
            <v>528.40729943999997</v>
          </cell>
          <cell r="AS71">
            <v>533.69137243440002</v>
          </cell>
          <cell r="AT71">
            <v>539.02828615874398</v>
          </cell>
        </row>
        <row r="72">
          <cell r="B72">
            <v>1.4897579143389184E-2</v>
          </cell>
          <cell r="C72">
            <v>-3.3289646133682793E-2</v>
          </cell>
          <cell r="D72">
            <v>0.28606290672451196</v>
          </cell>
          <cell r="E72">
            <v>0.20662028252161058</v>
          </cell>
          <cell r="F72">
            <v>-4.5954918748907891E-2</v>
          </cell>
          <cell r="G72">
            <v>6.9963369963369937E-2</v>
          </cell>
          <cell r="H72">
            <v>-0.13077713111947964</v>
          </cell>
          <cell r="I72">
            <v>0.14631744781410028</v>
          </cell>
          <cell r="N72">
            <v>-5.3255454389280144E-2</v>
          </cell>
          <cell r="S72">
            <v>-5.9335873707131226E-2</v>
          </cell>
          <cell r="X72">
            <v>-4.8996913580246826E-2</v>
          </cell>
          <cell r="AC72">
            <v>0.01</v>
          </cell>
          <cell r="AH72">
            <v>0</v>
          </cell>
          <cell r="AN72">
            <v>0.02</v>
          </cell>
          <cell r="AP72">
            <v>0.02</v>
          </cell>
          <cell r="AQ72">
            <v>0.02</v>
          </cell>
          <cell r="AR72">
            <v>0.01</v>
          </cell>
          <cell r="AS72">
            <v>0.01</v>
          </cell>
          <cell r="AT72">
            <v>0.01</v>
          </cell>
        </row>
        <row r="74">
          <cell r="B74">
            <v>44</v>
          </cell>
          <cell r="C74">
            <v>177.9</v>
          </cell>
          <cell r="D74">
            <v>239.6</v>
          </cell>
          <cell r="E74">
            <v>247.3</v>
          </cell>
          <cell r="F74">
            <v>329.8</v>
          </cell>
          <cell r="G74">
            <v>371.5</v>
          </cell>
          <cell r="H74">
            <v>465</v>
          </cell>
          <cell r="I74">
            <v>450.7</v>
          </cell>
          <cell r="N74">
            <v>777.5</v>
          </cell>
          <cell r="S74">
            <v>518</v>
          </cell>
          <cell r="X74">
            <v>721.5</v>
          </cell>
          <cell r="AC74">
            <v>765.36720000000014</v>
          </cell>
          <cell r="AH74">
            <v>790.204116</v>
          </cell>
          <cell r="AN74">
            <v>821.81228064000004</v>
          </cell>
          <cell r="AP74">
            <v>854.68477186560006</v>
          </cell>
          <cell r="AQ74">
            <v>888.8721627402241</v>
          </cell>
          <cell r="AR74">
            <v>924.42704924983309</v>
          </cell>
          <cell r="AS74">
            <v>961.40413121982647</v>
          </cell>
          <cell r="AT74">
            <v>999.86029646861959</v>
          </cell>
        </row>
        <row r="75">
          <cell r="C75">
            <v>3.043181818181818</v>
          </cell>
          <cell r="D75">
            <v>0.34682405845980879</v>
          </cell>
          <cell r="E75">
            <v>3.2136894824707829E-2</v>
          </cell>
          <cell r="F75">
            <v>0.33360291144359078</v>
          </cell>
          <cell r="G75">
            <v>0.12644026682838083</v>
          </cell>
          <cell r="H75">
            <v>0.25168236877523542</v>
          </cell>
          <cell r="I75">
            <v>-3.0752688172043019E-2</v>
          </cell>
          <cell r="N75">
            <v>0.72509429775904155</v>
          </cell>
          <cell r="S75">
            <v>-0.33376205787781354</v>
          </cell>
          <cell r="X75">
            <v>0.39285714285714279</v>
          </cell>
          <cell r="AC75">
            <v>6.0800000000000187E-2</v>
          </cell>
          <cell r="AH75">
            <v>9.5223999999999975E-2</v>
          </cell>
          <cell r="AN75">
            <v>4.0000000000000036E-2</v>
          </cell>
          <cell r="AP75">
            <v>4.0000000000000036E-2</v>
          </cell>
          <cell r="AQ75">
            <v>4.0000000000000036E-2</v>
          </cell>
          <cell r="AR75">
            <v>4.0000000000000036E-2</v>
          </cell>
          <cell r="AS75">
            <v>4.0000000000000036E-2</v>
          </cell>
          <cell r="AT75">
            <v>4.0000000000000036E-2</v>
          </cell>
        </row>
        <row r="77">
          <cell r="B77">
            <v>148.19999999999999</v>
          </cell>
          <cell r="C77">
            <v>196.7920353982301</v>
          </cell>
          <cell r="D77">
            <v>263.9347873981053</v>
          </cell>
          <cell r="E77">
            <v>294.72053390537479</v>
          </cell>
          <cell r="F77">
            <v>289.32362487937536</v>
          </cell>
          <cell r="G77">
            <v>306.41702408446054</v>
          </cell>
          <cell r="H77">
            <v>244.32534678436318</v>
          </cell>
          <cell r="I77">
            <v>333.38264664546193</v>
          </cell>
          <cell r="N77">
            <v>309.10825746431834</v>
          </cell>
          <cell r="S77">
            <v>243.42105263157896</v>
          </cell>
          <cell r="X77">
            <v>216.63413901816543</v>
          </cell>
          <cell r="AC77">
            <v>220.96682179852874</v>
          </cell>
          <cell r="AH77">
            <v>228.13741180003001</v>
          </cell>
          <cell r="AN77">
            <v>228.13741180003001</v>
          </cell>
          <cell r="AP77">
            <v>228.13741180003001</v>
          </cell>
          <cell r="AQ77">
            <v>228.13741180003001</v>
          </cell>
          <cell r="AR77">
            <v>228.13741180003001</v>
          </cell>
          <cell r="AS77">
            <v>228.13741180003001</v>
          </cell>
          <cell r="AT77">
            <v>228.13741180003001</v>
          </cell>
        </row>
        <row r="78">
          <cell r="B78">
            <v>8.7890625E-3</v>
          </cell>
          <cell r="C78">
            <v>0.32788148041990639</v>
          </cell>
          <cell r="D78">
            <v>0.34118632831864626</v>
          </cell>
          <cell r="E78">
            <v>0.11664148864482149</v>
          </cell>
          <cell r="F78">
            <v>-1.8311954564157351E-2</v>
          </cell>
          <cell r="G78">
            <v>5.9080551103324996E-2</v>
          </cell>
          <cell r="H78">
            <v>-0.20263781846201356</v>
          </cell>
          <cell r="I78">
            <v>0.36450290988310363</v>
          </cell>
          <cell r="N78">
            <v>-7.2812395682245401E-2</v>
          </cell>
          <cell r="S78">
            <v>-0.21250550008461655</v>
          </cell>
          <cell r="X78">
            <v>1.7000000000000001E-2</v>
          </cell>
          <cell r="AC78">
            <v>0.02</v>
          </cell>
          <cell r="AH78">
            <v>5.3100000000000001E-2</v>
          </cell>
          <cell r="AN78">
            <v>0</v>
          </cell>
          <cell r="AP78">
            <v>0</v>
          </cell>
          <cell r="AQ78">
            <v>0</v>
          </cell>
          <cell r="AR78">
            <v>0</v>
          </cell>
          <cell r="AS78">
            <v>0</v>
          </cell>
          <cell r="AT78">
            <v>0</v>
          </cell>
        </row>
        <row r="79">
          <cell r="B79">
            <v>1033</v>
          </cell>
          <cell r="C79">
            <v>904</v>
          </cell>
          <cell r="D79">
            <v>907.8</v>
          </cell>
          <cell r="E79">
            <v>839.1</v>
          </cell>
          <cell r="F79">
            <v>1139.9000000000001</v>
          </cell>
          <cell r="G79">
            <v>1212.4000000000001</v>
          </cell>
          <cell r="H79">
            <v>1903.2</v>
          </cell>
          <cell r="I79">
            <v>1351.9</v>
          </cell>
          <cell r="N79">
            <v>2515.3000000000002</v>
          </cell>
          <cell r="S79">
            <v>2128</v>
          </cell>
          <cell r="X79">
            <v>3330.5</v>
          </cell>
          <cell r="AC79">
            <v>3463.72</v>
          </cell>
          <cell r="AH79">
            <v>3463.7200000000003</v>
          </cell>
          <cell r="AN79">
            <v>3602.2688000000003</v>
          </cell>
          <cell r="AP79">
            <v>3746.3595520000003</v>
          </cell>
          <cell r="AQ79">
            <v>3896.2139340800004</v>
          </cell>
          <cell r="AR79">
            <v>4052.0624914432005</v>
          </cell>
          <cell r="AS79">
            <v>4214.1449911009286</v>
          </cell>
          <cell r="AT79">
            <v>4382.7107907449663</v>
          </cell>
        </row>
        <row r="80">
          <cell r="B80">
            <v>-2.0237452779281462E-4</v>
          </cell>
          <cell r="C80">
            <v>-0.1248789932236205</v>
          </cell>
          <cell r="D80">
            <v>4.2035398230086951E-3</v>
          </cell>
          <cell r="E80">
            <v>-7.5677461996034312E-2</v>
          </cell>
          <cell r="F80">
            <v>0.35847932308425712</v>
          </cell>
          <cell r="G80">
            <v>6.360207035704879E-2</v>
          </cell>
          <cell r="H80">
            <v>0</v>
          </cell>
          <cell r="I80">
            <v>0.05</v>
          </cell>
          <cell r="N80">
            <v>0.86056660995635781</v>
          </cell>
          <cell r="S80">
            <v>-0.1539776567407467</v>
          </cell>
          <cell r="X80">
            <v>0.56508458646616533</v>
          </cell>
          <cell r="AC80">
            <v>0.04</v>
          </cell>
          <cell r="AH80">
            <v>0.04</v>
          </cell>
          <cell r="AN80">
            <v>0.04</v>
          </cell>
          <cell r="AP80">
            <v>0.04</v>
          </cell>
          <cell r="AQ80">
            <v>0.04</v>
          </cell>
          <cell r="AR80">
            <v>0.04</v>
          </cell>
          <cell r="AS80">
            <v>0.04</v>
          </cell>
          <cell r="AT80">
            <v>0.04</v>
          </cell>
        </row>
        <row r="82">
          <cell r="B82">
            <v>47.3</v>
          </cell>
          <cell r="C82">
            <v>297</v>
          </cell>
          <cell r="D82">
            <v>169.3</v>
          </cell>
          <cell r="E82">
            <v>7.2</v>
          </cell>
          <cell r="F82">
            <v>5.9</v>
          </cell>
          <cell r="G82">
            <v>10.4</v>
          </cell>
          <cell r="H82">
            <v>185.3</v>
          </cell>
          <cell r="I82">
            <v>272.39999999999998</v>
          </cell>
          <cell r="N82">
            <v>100</v>
          </cell>
          <cell r="S82">
            <v>99.6</v>
          </cell>
          <cell r="X82">
            <v>102.30613199999998</v>
          </cell>
          <cell r="AC82">
            <v>105.39577718639997</v>
          </cell>
          <cell r="AH82">
            <v>104.56914363983998</v>
          </cell>
          <cell r="AN82">
            <v>107.19905760238194</v>
          </cell>
          <cell r="AP82">
            <v>110.21992704561707</v>
          </cell>
          <cell r="AQ82">
            <v>113.43724671607862</v>
          </cell>
          <cell r="AR82">
            <v>116.86305156690419</v>
          </cell>
          <cell r="AS82">
            <v>120.39231572422469</v>
          </cell>
          <cell r="AT82">
            <v>124.02816365909626</v>
          </cell>
        </row>
        <row r="83">
          <cell r="C83">
            <v>5.279069767441861</v>
          </cell>
          <cell r="D83">
            <v>-0.42996632996632989</v>
          </cell>
          <cell r="E83">
            <v>-0.95747194329592444</v>
          </cell>
          <cell r="F83">
            <v>-0.18055555555555558</v>
          </cell>
          <cell r="G83">
            <v>0.76271186440677963</v>
          </cell>
          <cell r="H83">
            <v>16.817307692307693</v>
          </cell>
          <cell r="I83">
            <v>0.4700485698866701</v>
          </cell>
          <cell r="N83">
            <v>-0.63289280469897213</v>
          </cell>
          <cell r="S83">
            <v>-4.0000000000000036E-3</v>
          </cell>
          <cell r="X83">
            <v>2.7169999999999916E-2</v>
          </cell>
          <cell r="AC83">
            <v>3.0200000000000005E-2</v>
          </cell>
          <cell r="AH83">
            <v>2.2119999999999918E-2</v>
          </cell>
          <cell r="AN83">
            <v>2.5149999999999784E-2</v>
          </cell>
          <cell r="AP83">
            <v>2.8180000000000094E-2</v>
          </cell>
          <cell r="AQ83">
            <v>2.9189999999999827E-2</v>
          </cell>
          <cell r="AR83">
            <v>3.0200000000000005E-2</v>
          </cell>
          <cell r="AS83">
            <v>3.0200000000000005E-2</v>
          </cell>
          <cell r="AT83">
            <v>3.0200000000000005E-2</v>
          </cell>
        </row>
        <row r="85">
          <cell r="C85">
            <v>-0.10299003322259115</v>
          </cell>
          <cell r="D85">
            <v>-7.2038211573095201E-2</v>
          </cell>
          <cell r="E85">
            <v>-8.5646780862373983E-2</v>
          </cell>
          <cell r="F85">
            <v>-0.18055555555555558</v>
          </cell>
          <cell r="G85">
            <v>0.69491525423728806</v>
          </cell>
          <cell r="H85">
            <v>16.132026627218934</v>
          </cell>
          <cell r="I85">
            <v>4.9919050188882874E-2</v>
          </cell>
          <cell r="N85">
            <v>-0.14340786430223595</v>
          </cell>
          <cell r="S85">
            <v>-3.900390039003887E-3</v>
          </cell>
          <cell r="X85">
            <v>1.7000000000000001E-2</v>
          </cell>
          <cell r="AC85">
            <v>0.02</v>
          </cell>
          <cell r="AH85">
            <v>1.2E-2</v>
          </cell>
          <cell r="AN85">
            <v>1.4999999999999999E-2</v>
          </cell>
          <cell r="AP85">
            <v>1.7999999999999999E-2</v>
          </cell>
          <cell r="AQ85">
            <v>1.9E-2</v>
          </cell>
          <cell r="AR85">
            <v>0.02</v>
          </cell>
          <cell r="AS85">
            <v>0.02</v>
          </cell>
          <cell r="AT85">
            <v>0.02</v>
          </cell>
        </row>
        <row r="86">
          <cell r="C86">
            <v>5.9999999999999991</v>
          </cell>
          <cell r="D86">
            <v>-0.38571428571428568</v>
          </cell>
          <cell r="E86">
            <v>-0.95348837209302328</v>
          </cell>
          <cell r="F86">
            <v>0</v>
          </cell>
          <cell r="G86">
            <v>0.04</v>
          </cell>
          <cell r="H86">
            <v>0.04</v>
          </cell>
          <cell r="I86">
            <v>0.05</v>
          </cell>
          <cell r="N86">
            <v>-0.57143291421653175</v>
          </cell>
          <cell r="S86">
            <v>0</v>
          </cell>
          <cell r="X86">
            <v>0.01</v>
          </cell>
          <cell r="AC86">
            <v>0.01</v>
          </cell>
          <cell r="AH86">
            <v>0.01</v>
          </cell>
          <cell r="AN86">
            <v>0.01</v>
          </cell>
          <cell r="AP86">
            <v>0.01</v>
          </cell>
          <cell r="AQ86">
            <v>0.01</v>
          </cell>
          <cell r="AR86">
            <v>0.01</v>
          </cell>
          <cell r="AS86">
            <v>0.01</v>
          </cell>
          <cell r="AT86">
            <v>0.01</v>
          </cell>
        </row>
        <row r="88">
          <cell r="B88">
            <v>734.89240000000007</v>
          </cell>
          <cell r="C88">
            <v>680.59487999999999</v>
          </cell>
          <cell r="D88">
            <v>1542.1000000000001</v>
          </cell>
          <cell r="E88">
            <v>2122.5</v>
          </cell>
          <cell r="F88">
            <v>1527.3</v>
          </cell>
          <cell r="G88">
            <v>1644.5</v>
          </cell>
          <cell r="H88">
            <v>2233.8000000000002</v>
          </cell>
          <cell r="I88">
            <v>2842.2</v>
          </cell>
          <cell r="N88">
            <v>3098.7</v>
          </cell>
          <cell r="S88">
            <v>3344.4</v>
          </cell>
          <cell r="X88">
            <v>3545.7938680000002</v>
          </cell>
          <cell r="AC88">
            <v>3694.8493937904473</v>
          </cell>
          <cell r="AH88">
            <v>3741.8040649853465</v>
          </cell>
          <cell r="AN88">
            <v>4196.2561512873162</v>
          </cell>
          <cell r="AP88">
            <v>3388.6768411982225</v>
          </cell>
          <cell r="AQ88">
            <v>3623.5908746143014</v>
          </cell>
          <cell r="AR88">
            <v>3882.7692051150352</v>
          </cell>
          <cell r="AS88">
            <v>4160.3210387808394</v>
          </cell>
          <cell r="AT88">
            <v>4456.1171988575506</v>
          </cell>
        </row>
        <row r="89">
          <cell r="C89">
            <v>-7.388499323166231E-2</v>
          </cell>
          <cell r="D89">
            <v>1.2658119320556747</v>
          </cell>
          <cell r="E89">
            <v>0.37636988522145121</v>
          </cell>
          <cell r="F89">
            <v>-0.28042402826855128</v>
          </cell>
          <cell r="G89">
            <v>7.673672493943573E-2</v>
          </cell>
          <cell r="H89">
            <v>0.35834600182426279</v>
          </cell>
          <cell r="I89">
            <v>0.27236099919419798</v>
          </cell>
          <cell r="N89">
            <v>9.0246991766941065E-2</v>
          </cell>
          <cell r="S89">
            <v>7.9291315713041044E-2</v>
          </cell>
          <cell r="X89">
            <v>6.021823585695496E-2</v>
          </cell>
          <cell r="AC89">
            <v>4.9138459625044373E-2</v>
          </cell>
          <cell r="AH89">
            <v>5.5279636742083138E-2</v>
          </cell>
          <cell r="AN89">
            <v>0.12145266786002851</v>
          </cell>
          <cell r="AP89">
            <v>-0.19245233869751888</v>
          </cell>
          <cell r="AQ89">
            <v>6.9323232761556053E-2</v>
          </cell>
          <cell r="AR89">
            <v>7.1525274091082558E-2</v>
          </cell>
          <cell r="AS89">
            <v>7.1482959455886785E-2</v>
          </cell>
          <cell r="AT89">
            <v>7.1099359236803661E-2</v>
          </cell>
        </row>
        <row r="91">
          <cell r="B91">
            <v>2.1999999999999999E-2</v>
          </cell>
          <cell r="C91">
            <v>4.9000000000000002E-2</v>
          </cell>
          <cell r="D91">
            <v>1.2E-2</v>
          </cell>
          <cell r="E91">
            <v>2.1000000000000001E-2</v>
          </cell>
          <cell r="F91">
            <v>4.0000000000000001E-3</v>
          </cell>
          <cell r="G91">
            <v>0.02</v>
          </cell>
          <cell r="H91">
            <v>2.5000000000000001E-2</v>
          </cell>
          <cell r="I91">
            <v>2.5000000000000001E-2</v>
          </cell>
          <cell r="N91">
            <v>2.5000000000000001E-2</v>
          </cell>
          <cell r="S91">
            <v>2.1000000000000001E-2</v>
          </cell>
          <cell r="X91">
            <v>1.7000000000000001E-2</v>
          </cell>
          <cell r="AC91">
            <v>0.02</v>
          </cell>
          <cell r="AH91">
            <v>1.2E-2</v>
          </cell>
          <cell r="AN91">
            <v>1.4999999999999999E-2</v>
          </cell>
          <cell r="AP91">
            <v>1.7999999999999999E-2</v>
          </cell>
          <cell r="AQ91">
            <v>1.9E-2</v>
          </cell>
          <cell r="AR91">
            <v>0.02</v>
          </cell>
          <cell r="AS91">
            <v>0.02</v>
          </cell>
          <cell r="AT91">
            <v>0.02</v>
          </cell>
        </row>
        <row r="92">
          <cell r="B92">
            <v>-0.245</v>
          </cell>
          <cell r="C92">
            <v>-0.11714489345249024</v>
          </cell>
          <cell r="D92">
            <v>1.2389445968929591</v>
          </cell>
          <cell r="E92">
            <v>0.34806061236185237</v>
          </cell>
          <cell r="F92">
            <v>-0.28329086480931398</v>
          </cell>
          <cell r="G92">
            <v>5.5624240136701752E-2</v>
          </cell>
          <cell r="H92">
            <v>0.3252156115358662</v>
          </cell>
          <cell r="I92">
            <v>0.24132780409190069</v>
          </cell>
          <cell r="N92">
            <v>6.365560172384499E-2</v>
          </cell>
          <cell r="S92">
            <v>5.7092375820804175E-2</v>
          </cell>
          <cell r="X92">
            <v>4.2495807135648933E-2</v>
          </cell>
          <cell r="AC92">
            <v>2.8567117279455267E-2</v>
          </cell>
          <cell r="AH92">
            <v>4.2766439468461481E-2</v>
          </cell>
          <cell r="AN92">
            <v>0.10487947572416623</v>
          </cell>
          <cell r="AP92">
            <v>-0.20673117750247438</v>
          </cell>
          <cell r="AQ92">
            <v>4.9384919294952034E-2</v>
          </cell>
          <cell r="AR92">
            <v>5.0514974599100482E-2</v>
          </cell>
          <cell r="AS92">
            <v>5.0473489662633986E-2</v>
          </cell>
          <cell r="AT92">
            <v>5.0097411016474247E-2</v>
          </cell>
        </row>
        <row r="94">
          <cell r="B94">
            <v>-8870</v>
          </cell>
          <cell r="C94">
            <v>-12080</v>
          </cell>
          <cell r="D94">
            <v>-7283</v>
          </cell>
          <cell r="E94">
            <v>-6807</v>
          </cell>
          <cell r="F94">
            <v>-10131</v>
          </cell>
          <cell r="G94">
            <v>-12714</v>
          </cell>
          <cell r="H94">
            <v>-11390</v>
          </cell>
          <cell r="I94">
            <v>-8346</v>
          </cell>
          <cell r="J94">
            <v>-2369</v>
          </cell>
          <cell r="K94">
            <v>-2999</v>
          </cell>
          <cell r="L94">
            <v>-3575</v>
          </cell>
          <cell r="M94">
            <v>-2994</v>
          </cell>
          <cell r="N94">
            <v>-11937</v>
          </cell>
          <cell r="O94">
            <v>-1976</v>
          </cell>
          <cell r="P94">
            <v>-2928</v>
          </cell>
          <cell r="Q94">
            <v>-2543</v>
          </cell>
          <cell r="R94">
            <v>-2363</v>
          </cell>
          <cell r="S94">
            <v>-9810</v>
          </cell>
          <cell r="T94">
            <v>-2420</v>
          </cell>
          <cell r="U94">
            <v>-3249</v>
          </cell>
          <cell r="V94">
            <v>-3855</v>
          </cell>
          <cell r="W94">
            <v>-3371</v>
          </cell>
          <cell r="X94">
            <v>-12895</v>
          </cell>
          <cell r="Y94">
            <v>-3242.7838106445361</v>
          </cell>
          <cell r="Z94">
            <v>-3604.2478372607466</v>
          </cell>
          <cell r="AA94">
            <v>-4096.9764517089907</v>
          </cell>
          <cell r="AB94">
            <v>-3945.3161756640661</v>
          </cell>
          <cell r="AC94">
            <v>-14889.324275278337</v>
          </cell>
          <cell r="AD94">
            <v>-3170.1480336776262</v>
          </cell>
          <cell r="AE94">
            <v>-3501.3867040862515</v>
          </cell>
          <cell r="AF94">
            <v>-3779.2253744948766</v>
          </cell>
          <cell r="AG94">
            <v>-3548.8867040862515</v>
          </cell>
          <cell r="AH94">
            <v>-13999.646816345006</v>
          </cell>
          <cell r="AI94">
            <v>-3546</v>
          </cell>
          <cell r="AJ94">
            <v>-3726</v>
          </cell>
          <cell r="AK94">
            <v>-3503</v>
          </cell>
          <cell r="AL94">
            <v>-3184</v>
          </cell>
          <cell r="AM94">
            <v>-13959</v>
          </cell>
          <cell r="AN94">
            <v>-13987.477531204382</v>
          </cell>
          <cell r="AO94">
            <v>-14540.283134228437</v>
          </cell>
          <cell r="AP94">
            <v>-15533.361235662898</v>
          </cell>
          <cell r="AQ94">
            <v>-18911.932680967708</v>
          </cell>
          <cell r="AR94">
            <v>-19801.852655017028</v>
          </cell>
          <cell r="AS94">
            <v>-21389.761608484954</v>
          </cell>
          <cell r="AT94">
            <v>-22545.813639748547</v>
          </cell>
        </row>
        <row r="95">
          <cell r="C95">
            <v>0.36189402480270583</v>
          </cell>
          <cell r="D95">
            <v>-0.39710264900662251</v>
          </cell>
          <cell r="E95">
            <v>-6.5357682273788242E-2</v>
          </cell>
          <cell r="F95">
            <v>0.48832084618774796</v>
          </cell>
          <cell r="G95">
            <v>0.25496002368966542</v>
          </cell>
          <cell r="H95">
            <v>-0.10413717162183422</v>
          </cell>
          <cell r="I95">
            <v>-0.26725197541703249</v>
          </cell>
          <cell r="N95">
            <v>0.43026599568655644</v>
          </cell>
          <cell r="O95">
            <v>-0.16589278176445754</v>
          </cell>
          <cell r="P95">
            <v>-2.3674558186062011E-2</v>
          </cell>
          <cell r="Q95">
            <v>-0.28867132867132872</v>
          </cell>
          <cell r="R95">
            <v>-0.21075484301937208</v>
          </cell>
          <cell r="S95">
            <v>-0.1781854737371199</v>
          </cell>
          <cell r="T95">
            <v>0.22469635627530371</v>
          </cell>
          <cell r="U95">
            <v>0.10963114754098369</v>
          </cell>
          <cell r="V95">
            <v>0.51592607156901304</v>
          </cell>
          <cell r="W95">
            <v>0.42657638595006353</v>
          </cell>
          <cell r="X95">
            <v>0.3144750254841997</v>
          </cell>
          <cell r="Y95">
            <v>0.35335912968763239</v>
          </cell>
          <cell r="Z95">
            <v>0.15004717206788332</v>
          </cell>
          <cell r="AA95">
            <v>0.15635801628817125</v>
          </cell>
          <cell r="AB95">
            <v>0.11323819855080863</v>
          </cell>
          <cell r="AC95">
            <v>0.18009085093074773</v>
          </cell>
          <cell r="AD95">
            <v>0.30997852631306877</v>
          </cell>
          <cell r="AE95">
            <v>7.7681349364804975E-2</v>
          </cell>
          <cell r="AF95">
            <v>-1.9656193386543008E-2</v>
          </cell>
          <cell r="AG95">
            <v>5.2769713463735268E-2</v>
          </cell>
          <cell r="AH95">
            <v>8.5664739538193535E-2</v>
          </cell>
          <cell r="AI95">
            <v>0.46528925619834705</v>
          </cell>
          <cell r="AJ95">
            <v>5.0761421319796884E-2</v>
          </cell>
          <cell r="AK95">
            <v>-5.9849704777241053E-2</v>
          </cell>
          <cell r="AL95">
            <v>-9.106480159862973E-2</v>
          </cell>
          <cell r="AM95">
            <v>8.2512601783637063E-2</v>
          </cell>
          <cell r="AN95">
            <v>2.0400839031722295E-3</v>
          </cell>
          <cell r="AO95">
            <v>4.1642175960200367E-2</v>
          </cell>
          <cell r="AP95">
            <v>6.8298401913282847E-2</v>
          </cell>
          <cell r="AQ95">
            <v>0.21750420878309185</v>
          </cell>
          <cell r="AR95">
            <v>4.7056003691516191E-2</v>
          </cell>
          <cell r="AS95">
            <v>8.0189918647112668E-2</v>
          </cell>
          <cell r="AT95">
            <v>5.4046980626703434E-2</v>
          </cell>
        </row>
        <row r="97">
          <cell r="B97">
            <v>-444</v>
          </cell>
          <cell r="C97">
            <v>-459</v>
          </cell>
          <cell r="D97">
            <v>-544</v>
          </cell>
          <cell r="E97">
            <v>-939</v>
          </cell>
          <cell r="F97">
            <v>-1213</v>
          </cell>
          <cell r="G97">
            <v>-936</v>
          </cell>
          <cell r="H97">
            <v>-716</v>
          </cell>
          <cell r="I97">
            <v>-849</v>
          </cell>
          <cell r="J97">
            <v>-289</v>
          </cell>
          <cell r="K97">
            <v>-387</v>
          </cell>
          <cell r="L97">
            <v>-394</v>
          </cell>
          <cell r="M97">
            <v>-656</v>
          </cell>
          <cell r="N97">
            <v>-1726</v>
          </cell>
          <cell r="O97">
            <v>-497</v>
          </cell>
          <cell r="P97">
            <v>-637</v>
          </cell>
          <cell r="Q97">
            <v>-490</v>
          </cell>
          <cell r="R97">
            <v>-564</v>
          </cell>
          <cell r="S97">
            <v>-2188</v>
          </cell>
          <cell r="T97">
            <v>-480</v>
          </cell>
          <cell r="U97">
            <v>-302</v>
          </cell>
          <cell r="V97">
            <v>-529</v>
          </cell>
          <cell r="W97">
            <v>-662</v>
          </cell>
          <cell r="X97">
            <v>-1973</v>
          </cell>
          <cell r="Y97">
            <v>-342.19899999999996</v>
          </cell>
          <cell r="Z97">
            <v>-534.20700000000011</v>
          </cell>
          <cell r="AA97">
            <v>-693.81</v>
          </cell>
          <cell r="AB97">
            <v>-818.221</v>
          </cell>
          <cell r="AC97">
            <v>-2388.4369999999999</v>
          </cell>
          <cell r="AD97">
            <v>-485</v>
          </cell>
          <cell r="AE97">
            <v>-544</v>
          </cell>
          <cell r="AF97">
            <v>-501.6</v>
          </cell>
          <cell r="AG97">
            <v>-571.5</v>
          </cell>
          <cell r="AH97">
            <v>-2102.1000000000004</v>
          </cell>
          <cell r="AI97">
            <v>-482</v>
          </cell>
          <cell r="AJ97">
            <v>-542</v>
          </cell>
          <cell r="AK97">
            <v>-498</v>
          </cell>
          <cell r="AL97">
            <v>-570</v>
          </cell>
          <cell r="AM97">
            <v>-2092</v>
          </cell>
          <cell r="AN97">
            <v>-2584.8000000000002</v>
          </cell>
          <cell r="AO97">
            <v>-2584.8000000000002</v>
          </cell>
          <cell r="AP97">
            <v>-2658.5598014888346</v>
          </cell>
          <cell r="AQ97">
            <v>-3978.4701492537315</v>
          </cell>
          <cell r="AR97">
            <v>-4439.2761194029845</v>
          </cell>
          <cell r="AS97">
            <v>-4744.6940298507461</v>
          </cell>
          <cell r="AT97">
            <v>-4744.694029850747</v>
          </cell>
        </row>
        <row r="99">
          <cell r="B99">
            <v>4.5999999999999999E-2</v>
          </cell>
          <cell r="C99">
            <v>4.3869479235332909E-2</v>
          </cell>
          <cell r="D99">
            <v>-0.22210364046009734</v>
          </cell>
          <cell r="E99">
            <v>0.24507964271158822</v>
          </cell>
          <cell r="F99">
            <v>0.37432262352390144</v>
          </cell>
          <cell r="G99">
            <v>1.9535207664098699</v>
          </cell>
          <cell r="H99">
            <v>1.4999999999999999E-2</v>
          </cell>
          <cell r="I99">
            <v>2.3E-2</v>
          </cell>
          <cell r="N99">
            <v>2.3100000000000002E-2</v>
          </cell>
          <cell r="S99">
            <v>2.1000000000000001E-2</v>
          </cell>
          <cell r="X99">
            <v>1.7000000000000001E-2</v>
          </cell>
          <cell r="AC99">
            <v>0.02</v>
          </cell>
          <cell r="AH99">
            <v>1.2E-2</v>
          </cell>
          <cell r="AN99">
            <v>1.4999999999999999E-2</v>
          </cell>
          <cell r="AO99">
            <v>1.4999999999999999E-2</v>
          </cell>
          <cell r="AP99">
            <v>1.7999999999999999E-2</v>
          </cell>
          <cell r="AQ99">
            <v>1.9E-2</v>
          </cell>
          <cell r="AR99">
            <v>0.02</v>
          </cell>
          <cell r="AS99">
            <v>0.02</v>
          </cell>
          <cell r="AT99">
            <v>0.02</v>
          </cell>
        </row>
        <row r="100">
          <cell r="B100">
            <v>-0.2</v>
          </cell>
          <cell r="C100">
            <v>-9.6618357487923134E-3</v>
          </cell>
          <cell r="D100">
            <v>0.52357723577235782</v>
          </cell>
          <cell r="E100">
            <v>0.38633938100320164</v>
          </cell>
          <cell r="F100">
            <v>-6.004618937644346E-2</v>
          </cell>
          <cell r="G100">
            <v>-0.73873873873873874</v>
          </cell>
          <cell r="H100">
            <v>-0.24634752220959111</v>
          </cell>
          <cell r="I100">
            <v>0.15909500483297578</v>
          </cell>
          <cell r="N100">
            <v>0.98707846392617915</v>
          </cell>
          <cell r="S100">
            <v>0.24159737062816444</v>
          </cell>
          <cell r="X100">
            <v>-0.1133365330514704</v>
          </cell>
          <cell r="AC100">
            <v>7.3096971706514191E-2</v>
          </cell>
          <cell r="AH100">
            <v>5.2799753189801679E-2</v>
          </cell>
          <cell r="AN100">
            <v>0.21145568013970562</v>
          </cell>
          <cell r="AO100">
            <v>0.21145568013970562</v>
          </cell>
          <cell r="AP100">
            <v>1.0349685804404318E-2</v>
          </cell>
          <cell r="AQ100">
            <v>0.46857281993031674</v>
          </cell>
          <cell r="AR100">
            <v>9.39459959067801E-2</v>
          </cell>
          <cell r="AS100">
            <v>4.7842190587761957E-2</v>
          </cell>
          <cell r="AT100">
            <v>-1.9607843137254721E-2</v>
          </cell>
        </row>
        <row r="102">
          <cell r="B102">
            <v>0</v>
          </cell>
          <cell r="C102">
            <v>0</v>
          </cell>
          <cell r="D102">
            <v>0</v>
          </cell>
          <cell r="E102">
            <v>0</v>
          </cell>
          <cell r="F102">
            <v>0</v>
          </cell>
          <cell r="G102">
            <v>0</v>
          </cell>
          <cell r="H102">
            <v>0</v>
          </cell>
          <cell r="I102">
            <v>0</v>
          </cell>
          <cell r="Y102">
            <v>-327.82499999999999</v>
          </cell>
          <cell r="Z102">
            <v>-364.25</v>
          </cell>
          <cell r="AA102">
            <v>-400.67500000000001</v>
          </cell>
          <cell r="AB102">
            <v>-364.25</v>
          </cell>
          <cell r="AC102">
            <v>-1457</v>
          </cell>
          <cell r="AD102">
            <v>-196.69499999999999</v>
          </cell>
          <cell r="AE102">
            <v>-218.54999999999998</v>
          </cell>
          <cell r="AF102">
            <v>-240.405</v>
          </cell>
          <cell r="AG102">
            <v>-218.54999999999998</v>
          </cell>
          <cell r="AH102">
            <v>-874.19999999999993</v>
          </cell>
          <cell r="AN102">
            <v>-599.6</v>
          </cell>
          <cell r="AO102">
            <v>-599.6</v>
          </cell>
          <cell r="AP102">
            <v>-919.8</v>
          </cell>
          <cell r="AQ102">
            <v>-1936</v>
          </cell>
          <cell r="AR102">
            <v>-1373</v>
          </cell>
          <cell r="AS102">
            <v>-1586</v>
          </cell>
          <cell r="AT102">
            <v>-1585</v>
          </cell>
        </row>
        <row r="104">
          <cell r="B104">
            <v>-1707</v>
          </cell>
          <cell r="C104">
            <v>-2755</v>
          </cell>
          <cell r="D104">
            <v>-2018</v>
          </cell>
          <cell r="E104">
            <v>-1385</v>
          </cell>
          <cell r="F104">
            <v>-1125</v>
          </cell>
          <cell r="G104">
            <v>-423</v>
          </cell>
          <cell r="H104">
            <v>-580</v>
          </cell>
          <cell r="I104">
            <v>-633</v>
          </cell>
          <cell r="J104">
            <v>-183</v>
          </cell>
          <cell r="K104">
            <v>-201</v>
          </cell>
          <cell r="L104">
            <v>-274</v>
          </cell>
          <cell r="M104">
            <v>-200</v>
          </cell>
          <cell r="N104">
            <v>-858</v>
          </cell>
          <cell r="O104">
            <v>-177</v>
          </cell>
          <cell r="P104">
            <v>-167</v>
          </cell>
          <cell r="Q104">
            <v>-153</v>
          </cell>
          <cell r="R104">
            <v>-133</v>
          </cell>
          <cell r="S104">
            <v>-630</v>
          </cell>
          <cell r="T104">
            <v>-154</v>
          </cell>
          <cell r="U104">
            <v>-204</v>
          </cell>
          <cell r="V104">
            <v>-246</v>
          </cell>
          <cell r="W104">
            <v>-230</v>
          </cell>
          <cell r="X104">
            <v>-834</v>
          </cell>
          <cell r="Y104">
            <v>-146.30441064453581</v>
          </cell>
          <cell r="Z104">
            <v>-127.28483726074616</v>
          </cell>
          <cell r="AA104">
            <v>-160.93485170898938</v>
          </cell>
          <cell r="AB104">
            <v>-105.33917566406578</v>
          </cell>
          <cell r="AC104">
            <v>-539.86327527833714</v>
          </cell>
          <cell r="AD104">
            <v>-118</v>
          </cell>
          <cell r="AE104">
            <v>-105</v>
          </cell>
          <cell r="AF104">
            <v>-140</v>
          </cell>
          <cell r="AG104">
            <v>-125</v>
          </cell>
          <cell r="AH104">
            <v>-488</v>
          </cell>
          <cell r="AI104">
            <v>-172</v>
          </cell>
          <cell r="AJ104">
            <v>-164</v>
          </cell>
          <cell r="AK104">
            <v>-178</v>
          </cell>
          <cell r="AL104">
            <v>-175</v>
          </cell>
          <cell r="AM104">
            <v>-689</v>
          </cell>
          <cell r="AN104">
            <v>-653.87822499999993</v>
          </cell>
          <cell r="AO104">
            <v>-653.87822499999993</v>
          </cell>
          <cell r="AP104">
            <v>-688.37579827571153</v>
          </cell>
          <cell r="AQ104">
            <v>-748.40130259218085</v>
          </cell>
          <cell r="AR104">
            <v>-805.5277925533594</v>
          </cell>
          <cell r="AS104">
            <v>-867.10969654069186</v>
          </cell>
          <cell r="AT104">
            <v>-933.73341215069627</v>
          </cell>
        </row>
        <row r="106">
          <cell r="B106">
            <v>4.5999999999999999E-2</v>
          </cell>
          <cell r="C106">
            <v>0.50443314832069985</v>
          </cell>
          <cell r="D106">
            <v>-0.216293351813307</v>
          </cell>
          <cell r="E106">
            <v>-0.23131813676907831</v>
          </cell>
          <cell r="F106">
            <v>-5.6520219271363192E-2</v>
          </cell>
          <cell r="G106">
            <v>-0.36654864667154352</v>
          </cell>
          <cell r="H106">
            <v>1.4999999999999999E-2</v>
          </cell>
          <cell r="I106">
            <v>2.3E-2</v>
          </cell>
          <cell r="N106">
            <v>2.3100000000000002E-2</v>
          </cell>
          <cell r="S106">
            <v>2.1000000000000001E-2</v>
          </cell>
          <cell r="X106">
            <v>1.7000000000000001E-2</v>
          </cell>
          <cell r="AC106">
            <v>0.02</v>
          </cell>
          <cell r="AH106">
            <v>1.2E-2</v>
          </cell>
          <cell r="AN106">
            <v>1.4999999999999999E-2</v>
          </cell>
          <cell r="AO106">
            <v>1.4999999999999999E-2</v>
          </cell>
          <cell r="AP106">
            <v>1.7999999999999999E-2</v>
          </cell>
          <cell r="AQ106">
            <v>1.9E-2</v>
          </cell>
          <cell r="AR106">
            <v>0.02</v>
          </cell>
          <cell r="AS106">
            <v>0.02</v>
          </cell>
          <cell r="AT106">
            <v>0.02</v>
          </cell>
        </row>
        <row r="107">
          <cell r="B107">
            <v>0.20300000000000001</v>
          </cell>
          <cell r="C107">
            <v>7.2791164658634555E-2</v>
          </cell>
          <cell r="D107">
            <v>-6.5356418655435955E-2</v>
          </cell>
          <cell r="E107">
            <v>-0.1071428571428571</v>
          </cell>
          <cell r="F107">
            <v>-0.13906542056074767</v>
          </cell>
          <cell r="G107">
            <v>-0.40642640034737298</v>
          </cell>
          <cell r="H107">
            <v>0.35089496791624453</v>
          </cell>
          <cell r="I107">
            <v>6.6841945596116892E-2</v>
          </cell>
          <cell r="N107">
            <v>0.32484628772048163</v>
          </cell>
          <cell r="S107">
            <v>-0.28083669513640119</v>
          </cell>
          <cell r="X107">
            <v>0.30168094769864684</v>
          </cell>
          <cell r="AC107">
            <v>-0.32143881940882713</v>
          </cell>
          <cell r="AH107">
            <v>-0.42180642837508642</v>
          </cell>
          <cell r="AN107">
            <v>-6.5000000000000002E-2</v>
          </cell>
          <cell r="AO107">
            <v>-6.5000000000000002E-2</v>
          </cell>
          <cell r="AP107">
            <v>3.4143817899638274E-2</v>
          </cell>
          <cell r="AQ107">
            <v>6.6927127569220257E-2</v>
          </cell>
          <cell r="AR107">
            <v>5.522682445759397E-2</v>
          </cell>
          <cell r="AS107">
            <v>5.5342290467050415E-2</v>
          </cell>
          <cell r="AT107">
            <v>5.5719844357976722E-2</v>
          </cell>
        </row>
        <row r="109">
          <cell r="B109">
            <v>-6719</v>
          </cell>
          <cell r="C109">
            <v>-8866</v>
          </cell>
          <cell r="D109">
            <v>-4721</v>
          </cell>
          <cell r="E109">
            <v>-4483</v>
          </cell>
          <cell r="F109">
            <v>-7793</v>
          </cell>
          <cell r="G109">
            <v>-11355</v>
          </cell>
          <cell r="H109">
            <v>-10094</v>
          </cell>
          <cell r="I109">
            <v>-6864</v>
          </cell>
          <cell r="J109">
            <v>-1897</v>
          </cell>
          <cell r="K109">
            <v>-2411</v>
          </cell>
          <cell r="L109">
            <v>-2907</v>
          </cell>
          <cell r="M109">
            <v>-2138</v>
          </cell>
          <cell r="N109">
            <v>-9353</v>
          </cell>
          <cell r="O109">
            <v>-1302</v>
          </cell>
          <cell r="P109">
            <v>-2124</v>
          </cell>
          <cell r="Q109">
            <v>-1900</v>
          </cell>
          <cell r="R109">
            <v>-1666</v>
          </cell>
          <cell r="S109">
            <v>-6992</v>
          </cell>
          <cell r="T109">
            <v>-1786</v>
          </cell>
          <cell r="U109">
            <v>-2743</v>
          </cell>
          <cell r="V109">
            <v>-3080</v>
          </cell>
          <cell r="W109">
            <v>-2479</v>
          </cell>
          <cell r="X109">
            <v>-10088</v>
          </cell>
          <cell r="Y109">
            <v>-2426.4554000000003</v>
          </cell>
          <cell r="Z109">
            <v>-2578.5060000000003</v>
          </cell>
          <cell r="AA109">
            <v>-2841.5566000000008</v>
          </cell>
          <cell r="AB109">
            <v>-2657.5060000000003</v>
          </cell>
          <cell r="AC109">
            <v>-10504.024000000001</v>
          </cell>
          <cell r="AD109">
            <v>-2370.4530336776261</v>
          </cell>
          <cell r="AE109">
            <v>-2633.8367040862513</v>
          </cell>
          <cell r="AF109">
            <v>-2897.2203744948765</v>
          </cell>
          <cell r="AG109">
            <v>-2633.8367040862513</v>
          </cell>
          <cell r="AH109">
            <v>-10535.346816345005</v>
          </cell>
          <cell r="AI109">
            <v>-2892</v>
          </cell>
          <cell r="AJ109">
            <v>-3020</v>
          </cell>
          <cell r="AK109">
            <v>-2827</v>
          </cell>
          <cell r="AL109">
            <v>-2439</v>
          </cell>
          <cell r="AM109">
            <v>-11178</v>
          </cell>
          <cell r="AN109">
            <v>-10149.199306204382</v>
          </cell>
          <cell r="AO109">
            <v>-10702.004909228437</v>
          </cell>
          <cell r="AP109">
            <v>-11266.625635898352</v>
          </cell>
          <cell r="AQ109">
            <v>-12249.061229121797</v>
          </cell>
          <cell r="AR109">
            <v>-13184.048743060683</v>
          </cell>
          <cell r="AS109">
            <v>-14191.957882093517</v>
          </cell>
          <cell r="AT109">
            <v>-15282.386197747104</v>
          </cell>
        </row>
        <row r="110">
          <cell r="AC110">
            <v>-10242.024000000001</v>
          </cell>
          <cell r="AH110">
            <v>-10535.346816345005</v>
          </cell>
        </row>
        <row r="111">
          <cell r="B111">
            <v>4.5999999999999999E-2</v>
          </cell>
          <cell r="C111">
            <v>9.7526552626258312E-2</v>
          </cell>
          <cell r="D111">
            <v>-0.11679861284871229</v>
          </cell>
          <cell r="E111">
            <v>-8.7680692203341626E-2</v>
          </cell>
          <cell r="F111">
            <v>0.18837308884937043</v>
          </cell>
          <cell r="G111">
            <v>0.19802683279928202</v>
          </cell>
          <cell r="H111">
            <v>1.4999999999999999E-2</v>
          </cell>
          <cell r="I111">
            <v>2.3E-2</v>
          </cell>
          <cell r="N111">
            <v>2.3100000000000002E-2</v>
          </cell>
          <cell r="S111">
            <v>2.1000000000000001E-2</v>
          </cell>
          <cell r="X111">
            <v>1.7000000000000001E-2</v>
          </cell>
          <cell r="AC111">
            <v>0.02</v>
          </cell>
          <cell r="AH111">
            <v>1.2E-2</v>
          </cell>
          <cell r="AM111">
            <v>1.2E-2</v>
          </cell>
          <cell r="AN111">
            <v>1.4999999999999999E-2</v>
          </cell>
          <cell r="AO111">
            <v>1.4999999999999999E-2</v>
          </cell>
          <cell r="AP111">
            <v>1.7999999999999999E-2</v>
          </cell>
          <cell r="AQ111">
            <v>1.9E-2</v>
          </cell>
          <cell r="AR111">
            <v>0.02</v>
          </cell>
          <cell r="AS111">
            <v>0.02</v>
          </cell>
          <cell r="AT111">
            <v>0.02</v>
          </cell>
        </row>
        <row r="112">
          <cell r="B112">
            <v>0.22323830016137713</v>
          </cell>
          <cell r="C112">
            <v>0.20228671943711518</v>
          </cell>
          <cell r="D112">
            <v>-0.39709826871494758</v>
          </cell>
          <cell r="E112">
            <v>4.084934277047525E-2</v>
          </cell>
          <cell r="F112">
            <v>0.46279386050126292</v>
          </cell>
          <cell r="G112">
            <v>0.21623057510957633</v>
          </cell>
          <cell r="H112">
            <v>-0.12418955647671537</v>
          </cell>
          <cell r="I112">
            <v>-0.33528062023431349</v>
          </cell>
          <cell r="N112">
            <v>0.33185079671249174</v>
          </cell>
          <cell r="S112">
            <v>-0.2678083982753704</v>
          </cell>
          <cell r="T112">
            <v>0.34880608760140608</v>
          </cell>
          <cell r="U112">
            <v>0.26984391521164697</v>
          </cell>
          <cell r="V112">
            <v>0.5939553899498009</v>
          </cell>
          <cell r="W112">
            <v>0.46312212200514424</v>
          </cell>
          <cell r="X112">
            <v>0.41867429893188812</v>
          </cell>
          <cell r="Y112">
            <v>0.35163513814616776</v>
          </cell>
          <cell r="Z112">
            <v>-3.7705725609619378E-2</v>
          </cell>
          <cell r="AA112">
            <v>-1.3512817308226177E-2</v>
          </cell>
          <cell r="AB112">
            <v>6.6038477584159816E-2</v>
          </cell>
          <cell r="AC112">
            <v>0.04</v>
          </cell>
          <cell r="AD112">
            <v>0.31150330063738285</v>
          </cell>
          <cell r="AE112">
            <v>-5.1182851323220424E-2</v>
          </cell>
          <cell r="AF112">
            <v>-7.0498057564140515E-2</v>
          </cell>
          <cell r="AG112">
            <v>4.9861007995323225E-2</v>
          </cell>
          <cell r="AH112">
            <v>3.1960919437116091E-2</v>
          </cell>
          <cell r="AM112">
            <v>-0.29411764705882359</v>
          </cell>
          <cell r="AN112">
            <v>-0.10545615144769913</v>
          </cell>
          <cell r="AO112">
            <v>-5.6732223903177309E-2</v>
          </cell>
          <cell r="AP112">
            <v>3.4143817899638274E-2</v>
          </cell>
          <cell r="AQ112">
            <v>6.6927127569220257E-2</v>
          </cell>
          <cell r="AR112">
            <v>5.522682445759397E-2</v>
          </cell>
          <cell r="AS112">
            <v>5.5342290467050415E-2</v>
          </cell>
          <cell r="AT112">
            <v>5.5719844357976722E-2</v>
          </cell>
        </row>
        <row r="114">
          <cell r="B114">
            <v>-1450.846</v>
          </cell>
          <cell r="C114">
            <v>-2158.9814000000001</v>
          </cell>
          <cell r="D114">
            <v>-1040.2138</v>
          </cell>
          <cell r="E114">
            <v>-1310</v>
          </cell>
          <cell r="F114">
            <v>-2160</v>
          </cell>
          <cell r="G114">
            <v>-2929</v>
          </cell>
          <cell r="H114">
            <v>-3152</v>
          </cell>
          <cell r="I114">
            <v>-3106</v>
          </cell>
          <cell r="J114">
            <v>-738</v>
          </cell>
          <cell r="K114">
            <v>-938</v>
          </cell>
          <cell r="L114">
            <v>-880</v>
          </cell>
          <cell r="M114">
            <v>-614</v>
          </cell>
          <cell r="N114">
            <v>-3170</v>
          </cell>
          <cell r="O114">
            <v>-716</v>
          </cell>
          <cell r="P114">
            <v>-770</v>
          </cell>
          <cell r="Q114">
            <v>-882</v>
          </cell>
          <cell r="R114">
            <v>-898</v>
          </cell>
          <cell r="S114">
            <v>-3266</v>
          </cell>
          <cell r="T114">
            <v>-782</v>
          </cell>
          <cell r="U114">
            <v>-843</v>
          </cell>
          <cell r="V114">
            <v>-1118</v>
          </cell>
          <cell r="W114">
            <v>-1065</v>
          </cell>
          <cell r="X114">
            <v>-3808</v>
          </cell>
          <cell r="Y114">
            <v>-776.7927365628442</v>
          </cell>
          <cell r="Z114">
            <v>-888.47536253591284</v>
          </cell>
          <cell r="AA114">
            <v>-1085.874670778778</v>
          </cell>
          <cell r="AB114">
            <v>-1044.6991974915636</v>
          </cell>
          <cell r="AC114">
            <v>-3795.8419673690987</v>
          </cell>
          <cell r="AD114">
            <v>-737</v>
          </cell>
          <cell r="AE114">
            <v>-677</v>
          </cell>
          <cell r="AF114">
            <v>-787.68704120073232</v>
          </cell>
          <cell r="AG114">
            <v>-830.36752690975675</v>
          </cell>
          <cell r="AH114">
            <v>-3024.5545681104886</v>
          </cell>
          <cell r="AI114">
            <v>-939</v>
          </cell>
          <cell r="AJ114">
            <v>-887</v>
          </cell>
          <cell r="AK114">
            <v>-816</v>
          </cell>
          <cell r="AL114">
            <v>-855</v>
          </cell>
          <cell r="AM114">
            <v>-3497</v>
          </cell>
          <cell r="AN114">
            <v>-3245.0433677956216</v>
          </cell>
          <cell r="AO114">
            <v>-3679.3188609145213</v>
          </cell>
          <cell r="AP114">
            <v>-3930.2737879296428</v>
          </cell>
          <cell r="AQ114">
            <v>-5708.1959375873284</v>
          </cell>
          <cell r="AR114">
            <v>-6154.825044335028</v>
          </cell>
          <cell r="AS114">
            <v>-6627.7396829815607</v>
          </cell>
          <cell r="AT114">
            <v>-7067.7415317742007</v>
          </cell>
        </row>
        <row r="116">
          <cell r="B116">
            <v>794.154</v>
          </cell>
          <cell r="C116">
            <v>712.01859999999999</v>
          </cell>
          <cell r="D116">
            <v>988.78620000000001</v>
          </cell>
          <cell r="E116">
            <v>1375</v>
          </cell>
          <cell r="F116">
            <v>1439</v>
          </cell>
          <cell r="G116">
            <v>1544</v>
          </cell>
          <cell r="H116">
            <v>1535</v>
          </cell>
          <cell r="I116">
            <v>1778</v>
          </cell>
          <cell r="J116">
            <v>481</v>
          </cell>
          <cell r="K116">
            <v>397</v>
          </cell>
          <cell r="L116">
            <v>543</v>
          </cell>
          <cell r="M116">
            <v>492</v>
          </cell>
          <cell r="N116">
            <v>1913</v>
          </cell>
          <cell r="O116">
            <v>533</v>
          </cell>
          <cell r="P116">
            <v>401</v>
          </cell>
          <cell r="Q116">
            <v>473</v>
          </cell>
          <cell r="R116">
            <v>453</v>
          </cell>
          <cell r="S116">
            <v>1860</v>
          </cell>
          <cell r="T116">
            <v>405</v>
          </cell>
          <cell r="U116">
            <v>366</v>
          </cell>
          <cell r="V116">
            <v>456</v>
          </cell>
          <cell r="W116">
            <v>452</v>
          </cell>
          <cell r="X116">
            <v>1679</v>
          </cell>
          <cell r="Y116">
            <v>473.68240000000003</v>
          </cell>
          <cell r="Z116">
            <v>496.33688000000001</v>
          </cell>
          <cell r="AA116">
            <v>506.604376</v>
          </cell>
          <cell r="AB116">
            <v>575.42424000000005</v>
          </cell>
          <cell r="AC116">
            <v>2052.047896</v>
          </cell>
          <cell r="AD116">
            <v>421</v>
          </cell>
          <cell r="AE116">
            <v>386</v>
          </cell>
          <cell r="AF116">
            <v>432.053988</v>
          </cell>
          <cell r="AG116">
            <v>454.80613600000004</v>
          </cell>
          <cell r="AH116">
            <v>1701.360124</v>
          </cell>
          <cell r="AI116">
            <v>420</v>
          </cell>
          <cell r="AJ116">
            <v>385</v>
          </cell>
          <cell r="AK116">
            <v>425</v>
          </cell>
          <cell r="AL116">
            <v>402</v>
          </cell>
          <cell r="AM116">
            <v>1632</v>
          </cell>
          <cell r="AN116">
            <v>2062.4791009999999</v>
          </cell>
          <cell r="AO116">
            <v>1832.741681</v>
          </cell>
          <cell r="AP116">
            <v>1911.1746546181141</v>
          </cell>
          <cell r="AQ116">
            <v>2103.3147111687349</v>
          </cell>
          <cell r="AR116">
            <v>2263.9668682062784</v>
          </cell>
          <cell r="AS116">
            <v>2407.2974217413721</v>
          </cell>
          <cell r="AT116">
            <v>2565.8330727903949</v>
          </cell>
        </row>
        <row r="117">
          <cell r="C117">
            <v>-0.10342502839499645</v>
          </cell>
          <cell r="D117">
            <v>0.38870838486522685</v>
          </cell>
          <cell r="E117">
            <v>0.39059384121663498</v>
          </cell>
          <cell r="F117">
            <v>4.6545454545454445E-2</v>
          </cell>
          <cell r="G117">
            <v>7.2967338429464901E-2</v>
          </cell>
          <cell r="H117">
            <v>-5.8290155440414715E-3</v>
          </cell>
          <cell r="I117">
            <v>0.15830618892508141</v>
          </cell>
          <cell r="N117">
            <v>7.5928008998875196E-2</v>
          </cell>
          <cell r="O117">
            <v>0.10810810810810811</v>
          </cell>
          <cell r="P117">
            <v>1.0075566750629816E-2</v>
          </cell>
          <cell r="Q117">
            <v>-0.12891344383057091</v>
          </cell>
          <cell r="R117">
            <v>-7.9268292682926789E-2</v>
          </cell>
          <cell r="S117">
            <v>-2.7705175117616276E-2</v>
          </cell>
          <cell r="T117">
            <v>-0.24015009380863039</v>
          </cell>
          <cell r="U117">
            <v>-8.7281795511221949E-2</v>
          </cell>
          <cell r="V117">
            <v>-3.5940803382663811E-2</v>
          </cell>
          <cell r="W117">
            <v>-2.2075055187638082E-3</v>
          </cell>
          <cell r="X117">
            <v>-9.7311827956989227E-2</v>
          </cell>
          <cell r="Y117">
            <v>-8.0228349514563035E-2</v>
          </cell>
          <cell r="Z117">
            <v>0.15966560747663561</v>
          </cell>
          <cell r="AA117">
            <v>1.3208751999999935E-2</v>
          </cell>
          <cell r="AB117">
            <v>-4.2555341098169608E-2</v>
          </cell>
          <cell r="AC117">
            <v>3.9373268101761116E-3</v>
          </cell>
          <cell r="AD117">
            <v>3.9506172839506082E-2</v>
          </cell>
          <cell r="AE117">
            <v>5.464480874316946E-2</v>
          </cell>
          <cell r="AF117">
            <v>-5.2513184210526309E-2</v>
          </cell>
          <cell r="AG117">
            <v>6.2082654867257059E-3</v>
          </cell>
          <cell r="AH117">
            <v>1.3317524717093576E-2</v>
          </cell>
          <cell r="AI117">
            <v>3.7037037037036979E-2</v>
          </cell>
          <cell r="AJ117">
            <v>-8.333333333333337E-2</v>
          </cell>
          <cell r="AK117">
            <v>0.10389610389610393</v>
          </cell>
          <cell r="AL117">
            <v>-5.4117647058823493E-2</v>
          </cell>
          <cell r="AM117">
            <v>-2.7992852888624187E-2</v>
          </cell>
          <cell r="AN117">
            <v>0.26377395894607836</v>
          </cell>
          <cell r="AO117">
            <v>0.12300348100490188</v>
          </cell>
          <cell r="AP117">
            <v>4.279543289227683E-2</v>
          </cell>
          <cell r="AQ117">
            <v>0.10053505894206927</v>
          </cell>
          <cell r="AR117">
            <v>7.6380465645236262E-2</v>
          </cell>
          <cell r="AS117">
            <v>6.3309474863761261E-2</v>
          </cell>
          <cell r="AT117">
            <v>6.5856279169003828E-2</v>
          </cell>
        </row>
        <row r="119">
          <cell r="B119">
            <v>575.154</v>
          </cell>
          <cell r="C119">
            <v>508.01859999999999</v>
          </cell>
          <cell r="D119">
            <v>710.78620000000001</v>
          </cell>
          <cell r="E119">
            <v>925</v>
          </cell>
          <cell r="F119">
            <v>1034</v>
          </cell>
          <cell r="G119">
            <v>978</v>
          </cell>
          <cell r="H119">
            <v>1065</v>
          </cell>
          <cell r="I119">
            <v>1281</v>
          </cell>
          <cell r="J119">
            <v>375</v>
          </cell>
          <cell r="K119">
            <v>289</v>
          </cell>
          <cell r="L119">
            <v>386</v>
          </cell>
          <cell r="M119">
            <v>350</v>
          </cell>
          <cell r="N119">
            <v>1400</v>
          </cell>
          <cell r="O119">
            <v>421</v>
          </cell>
          <cell r="P119">
            <v>289</v>
          </cell>
          <cell r="Q119">
            <v>356</v>
          </cell>
          <cell r="R119">
            <v>331</v>
          </cell>
          <cell r="S119">
            <v>1397</v>
          </cell>
          <cell r="T119">
            <v>299</v>
          </cell>
          <cell r="U119">
            <v>253</v>
          </cell>
          <cell r="V119">
            <v>342</v>
          </cell>
          <cell r="W119">
            <v>322</v>
          </cell>
          <cell r="X119">
            <v>1216</v>
          </cell>
          <cell r="Y119">
            <v>382.22</v>
          </cell>
          <cell r="Z119">
            <v>399.62</v>
          </cell>
          <cell r="AA119">
            <v>403.39</v>
          </cell>
          <cell r="AB119">
            <v>450.08</v>
          </cell>
          <cell r="AC119">
            <v>1635.31</v>
          </cell>
          <cell r="AD119">
            <v>264</v>
          </cell>
          <cell r="AE119">
            <v>267</v>
          </cell>
          <cell r="AF119">
            <v>350.15999999999997</v>
          </cell>
          <cell r="AG119">
            <v>364.32000000000005</v>
          </cell>
          <cell r="AH119">
            <v>1245.48</v>
          </cell>
          <cell r="AI119">
            <v>261</v>
          </cell>
          <cell r="AJ119">
            <v>269</v>
          </cell>
          <cell r="AK119">
            <v>342.92</v>
          </cell>
          <cell r="AL119">
            <v>298.82</v>
          </cell>
          <cell r="AM119">
            <v>1171.74</v>
          </cell>
          <cell r="AN119">
            <v>1774.85742</v>
          </cell>
          <cell r="AO119">
            <v>1534.68</v>
          </cell>
          <cell r="AP119">
            <v>1565.3735999999999</v>
          </cell>
          <cell r="AQ119">
            <v>1659.2960160000002</v>
          </cell>
          <cell r="AR119">
            <v>1758.8537769600002</v>
          </cell>
          <cell r="AS119">
            <v>1864.3850035776004</v>
          </cell>
          <cell r="AT119">
            <v>1976.2481037922562</v>
          </cell>
        </row>
        <row r="120">
          <cell r="B120">
            <v>416</v>
          </cell>
          <cell r="C120">
            <v>291</v>
          </cell>
          <cell r="D120">
            <v>389</v>
          </cell>
          <cell r="E120">
            <v>496</v>
          </cell>
          <cell r="F120">
            <v>510</v>
          </cell>
          <cell r="G120">
            <v>444</v>
          </cell>
          <cell r="H120">
            <v>562</v>
          </cell>
          <cell r="I120">
            <v>787</v>
          </cell>
          <cell r="J120">
            <v>236</v>
          </cell>
          <cell r="K120">
            <v>161</v>
          </cell>
          <cell r="L120">
            <v>227</v>
          </cell>
          <cell r="M120">
            <v>225</v>
          </cell>
          <cell r="N120">
            <v>849</v>
          </cell>
          <cell r="O120">
            <v>257</v>
          </cell>
          <cell r="P120">
            <v>179</v>
          </cell>
          <cell r="Q120">
            <v>225</v>
          </cell>
          <cell r="R120">
            <v>223</v>
          </cell>
          <cell r="S120">
            <v>884</v>
          </cell>
          <cell r="T120">
            <v>220</v>
          </cell>
          <cell r="U120">
            <v>171</v>
          </cell>
          <cell r="V120">
            <v>244</v>
          </cell>
          <cell r="W120">
            <v>234</v>
          </cell>
          <cell r="X120">
            <v>869</v>
          </cell>
          <cell r="Y120">
            <v>250.42</v>
          </cell>
          <cell r="Z120">
            <v>261.82</v>
          </cell>
          <cell r="AA120">
            <v>264.29000000000002</v>
          </cell>
          <cell r="AB120">
            <v>294.88</v>
          </cell>
          <cell r="AC120">
            <v>1071.4100000000001</v>
          </cell>
          <cell r="AD120">
            <v>244</v>
          </cell>
          <cell r="AE120">
            <v>210</v>
          </cell>
          <cell r="AF120">
            <v>277.20999999999998</v>
          </cell>
          <cell r="AG120">
            <v>288.42</v>
          </cell>
          <cell r="AH120">
            <v>1019.6300000000001</v>
          </cell>
          <cell r="AI120">
            <v>244</v>
          </cell>
          <cell r="AJ120">
            <v>210</v>
          </cell>
          <cell r="AK120">
            <v>252</v>
          </cell>
          <cell r="AL120">
            <v>219</v>
          </cell>
          <cell r="AM120">
            <v>925</v>
          </cell>
          <cell r="AN120">
            <v>1162.83762</v>
          </cell>
          <cell r="AO120">
            <v>1005.48</v>
          </cell>
          <cell r="AP120">
            <v>1025.5896</v>
          </cell>
          <cell r="AQ120">
            <v>1087.1249760000001</v>
          </cell>
          <cell r="AR120">
            <v>1152.3524745600002</v>
          </cell>
          <cell r="AS120">
            <v>1221.4936230336002</v>
          </cell>
          <cell r="AT120">
            <v>1294.7832404156161</v>
          </cell>
        </row>
        <row r="121">
          <cell r="B121">
            <v>159.154</v>
          </cell>
          <cell r="C121">
            <v>217.01859999999999</v>
          </cell>
          <cell r="D121">
            <v>321.78620000000001</v>
          </cell>
          <cell r="E121">
            <v>429</v>
          </cell>
          <cell r="F121">
            <v>524</v>
          </cell>
          <cell r="G121">
            <v>534</v>
          </cell>
          <cell r="H121">
            <v>503</v>
          </cell>
          <cell r="I121">
            <v>494</v>
          </cell>
          <cell r="J121">
            <v>139</v>
          </cell>
          <cell r="K121">
            <v>128</v>
          </cell>
          <cell r="L121">
            <v>159</v>
          </cell>
          <cell r="M121">
            <v>125</v>
          </cell>
          <cell r="N121">
            <v>551</v>
          </cell>
          <cell r="O121">
            <v>164</v>
          </cell>
          <cell r="P121">
            <v>110</v>
          </cell>
          <cell r="Q121">
            <v>131</v>
          </cell>
          <cell r="R121">
            <v>108</v>
          </cell>
          <cell r="S121">
            <v>513</v>
          </cell>
          <cell r="T121">
            <v>79</v>
          </cell>
          <cell r="U121">
            <v>82</v>
          </cell>
          <cell r="V121">
            <v>98</v>
          </cell>
          <cell r="W121">
            <v>88</v>
          </cell>
          <cell r="X121">
            <v>347</v>
          </cell>
          <cell r="Y121">
            <v>131.80000000000001</v>
          </cell>
          <cell r="Z121">
            <v>137.80000000000001</v>
          </cell>
          <cell r="AA121">
            <v>139.1</v>
          </cell>
          <cell r="AB121">
            <v>155.19999999999999</v>
          </cell>
          <cell r="AC121">
            <v>563.9</v>
          </cell>
          <cell r="AD121">
            <v>20</v>
          </cell>
          <cell r="AE121">
            <v>57</v>
          </cell>
          <cell r="AF121">
            <v>72.95</v>
          </cell>
          <cell r="AG121">
            <v>75.900000000000006</v>
          </cell>
          <cell r="AH121">
            <v>225.85</v>
          </cell>
          <cell r="AI121">
            <v>17</v>
          </cell>
          <cell r="AJ121">
            <v>59</v>
          </cell>
          <cell r="AK121">
            <v>90.920000000000016</v>
          </cell>
          <cell r="AL121">
            <v>79.819999999999993</v>
          </cell>
          <cell r="AM121">
            <v>246.74</v>
          </cell>
          <cell r="AN121">
            <v>612.01980000000003</v>
          </cell>
          <cell r="AO121">
            <v>529.20000000000005</v>
          </cell>
          <cell r="AP121">
            <v>539.78399999999999</v>
          </cell>
          <cell r="AQ121">
            <v>572.17104000000006</v>
          </cell>
          <cell r="AR121">
            <v>606.5013024000001</v>
          </cell>
          <cell r="AS121">
            <v>642.89138054400019</v>
          </cell>
          <cell r="AT121">
            <v>681.4648633766401</v>
          </cell>
        </row>
        <row r="123">
          <cell r="B123">
            <v>219</v>
          </cell>
          <cell r="C123">
            <v>204</v>
          </cell>
          <cell r="D123">
            <v>278</v>
          </cell>
          <cell r="E123">
            <v>450</v>
          </cell>
          <cell r="F123">
            <v>405</v>
          </cell>
          <cell r="G123">
            <v>566</v>
          </cell>
          <cell r="H123">
            <v>470</v>
          </cell>
          <cell r="I123">
            <v>497</v>
          </cell>
          <cell r="J123">
            <v>106</v>
          </cell>
          <cell r="K123">
            <v>108</v>
          </cell>
          <cell r="L123">
            <v>157</v>
          </cell>
          <cell r="M123">
            <v>142</v>
          </cell>
          <cell r="N123">
            <v>513</v>
          </cell>
          <cell r="O123">
            <v>112</v>
          </cell>
          <cell r="P123">
            <v>112</v>
          </cell>
          <cell r="Q123">
            <v>117</v>
          </cell>
          <cell r="R123">
            <v>122</v>
          </cell>
          <cell r="S123">
            <v>463</v>
          </cell>
          <cell r="T123">
            <v>106</v>
          </cell>
          <cell r="U123">
            <v>113</v>
          </cell>
          <cell r="V123">
            <v>114</v>
          </cell>
          <cell r="W123">
            <v>130</v>
          </cell>
          <cell r="X123">
            <v>463</v>
          </cell>
          <cell r="Y123">
            <v>87.712400000000002</v>
          </cell>
          <cell r="Z123">
            <v>92.966880000000018</v>
          </cell>
          <cell r="AA123">
            <v>99.464376000000001</v>
          </cell>
          <cell r="AB123">
            <v>121.59424000000001</v>
          </cell>
          <cell r="AC123">
            <v>401.73789600000003</v>
          </cell>
          <cell r="AD123">
            <v>157</v>
          </cell>
          <cell r="AE123">
            <v>119</v>
          </cell>
          <cell r="AF123">
            <v>78.143988000000007</v>
          </cell>
          <cell r="AG123">
            <v>86.736136000000016</v>
          </cell>
          <cell r="AH123">
            <v>440.88012400000002</v>
          </cell>
          <cell r="AI123">
            <v>159</v>
          </cell>
          <cell r="AJ123">
            <v>116</v>
          </cell>
          <cell r="AK123">
            <v>82.08</v>
          </cell>
          <cell r="AL123">
            <v>103.18</v>
          </cell>
          <cell r="AM123">
            <v>460.26</v>
          </cell>
          <cell r="AN123">
            <v>259.62168099999997</v>
          </cell>
          <cell r="AO123">
            <v>270.06168100000002</v>
          </cell>
          <cell r="AP123">
            <v>304.80105461811416</v>
          </cell>
          <cell r="AQ123">
            <v>366.0186951687345</v>
          </cell>
          <cell r="AR123">
            <v>387.11309124627792</v>
          </cell>
          <cell r="AS123">
            <v>412.91241816377169</v>
          </cell>
          <cell r="AT123">
            <v>429.58496899813895</v>
          </cell>
        </row>
        <row r="124">
          <cell r="B124">
            <v>127</v>
          </cell>
          <cell r="C124">
            <v>135</v>
          </cell>
          <cell r="D124">
            <v>139</v>
          </cell>
          <cell r="E124">
            <v>174</v>
          </cell>
          <cell r="F124">
            <v>184</v>
          </cell>
          <cell r="G124">
            <v>195</v>
          </cell>
          <cell r="H124">
            <v>175</v>
          </cell>
          <cell r="I124">
            <v>187</v>
          </cell>
          <cell r="J124">
            <v>54</v>
          </cell>
          <cell r="K124">
            <v>58</v>
          </cell>
          <cell r="L124">
            <v>52</v>
          </cell>
          <cell r="M124">
            <v>58</v>
          </cell>
          <cell r="N124">
            <v>222</v>
          </cell>
          <cell r="O124">
            <v>63</v>
          </cell>
          <cell r="P124">
            <v>71</v>
          </cell>
          <cell r="Q124">
            <v>61</v>
          </cell>
          <cell r="R124">
            <v>79</v>
          </cell>
          <cell r="S124">
            <v>274</v>
          </cell>
          <cell r="T124">
            <v>60</v>
          </cell>
          <cell r="U124">
            <v>58</v>
          </cell>
          <cell r="V124">
            <v>66</v>
          </cell>
          <cell r="W124">
            <v>64</v>
          </cell>
          <cell r="X124">
            <v>248</v>
          </cell>
          <cell r="Y124">
            <v>64.022400000000005</v>
          </cell>
          <cell r="Z124">
            <v>67.856880000000018</v>
          </cell>
          <cell r="AA124">
            <v>72.604376000000002</v>
          </cell>
          <cell r="AB124">
            <v>88.75424000000001</v>
          </cell>
          <cell r="AC124">
            <v>293.23789600000003</v>
          </cell>
          <cell r="AD124">
            <v>55</v>
          </cell>
          <cell r="AE124">
            <v>54</v>
          </cell>
          <cell r="AF124">
            <v>60.143988000000007</v>
          </cell>
          <cell r="AG124">
            <v>54.736136000000009</v>
          </cell>
          <cell r="AH124">
            <v>223.88012400000002</v>
          </cell>
          <cell r="AI124">
            <v>55</v>
          </cell>
          <cell r="AJ124">
            <v>49</v>
          </cell>
          <cell r="AK124">
            <v>48</v>
          </cell>
          <cell r="AL124">
            <v>48</v>
          </cell>
          <cell r="AM124">
            <v>200</v>
          </cell>
          <cell r="AN124">
            <v>186.681681</v>
          </cell>
          <cell r="AO124">
            <v>197.121681</v>
          </cell>
          <cell r="AP124">
            <v>229.7796402260546</v>
          </cell>
          <cell r="AQ124">
            <v>266.0186951687345</v>
          </cell>
          <cell r="AR124">
            <v>281.11309124627792</v>
          </cell>
          <cell r="AS124">
            <v>296.91241816377169</v>
          </cell>
          <cell r="AT124">
            <v>313.58496899813895</v>
          </cell>
        </row>
        <row r="125">
          <cell r="B125">
            <v>92</v>
          </cell>
          <cell r="C125">
            <v>69</v>
          </cell>
          <cell r="D125">
            <v>139</v>
          </cell>
          <cell r="E125">
            <v>276</v>
          </cell>
          <cell r="F125">
            <v>221</v>
          </cell>
          <cell r="G125">
            <v>371</v>
          </cell>
          <cell r="H125">
            <v>295</v>
          </cell>
          <cell r="I125">
            <v>310</v>
          </cell>
          <cell r="J125">
            <v>52</v>
          </cell>
          <cell r="K125">
            <v>50</v>
          </cell>
          <cell r="L125">
            <v>105</v>
          </cell>
          <cell r="M125">
            <v>84</v>
          </cell>
          <cell r="N125">
            <v>291</v>
          </cell>
          <cell r="O125">
            <v>49</v>
          </cell>
          <cell r="P125">
            <v>41</v>
          </cell>
          <cell r="Q125">
            <v>56</v>
          </cell>
          <cell r="R125">
            <v>43</v>
          </cell>
          <cell r="S125">
            <v>189</v>
          </cell>
          <cell r="T125">
            <v>46</v>
          </cell>
          <cell r="U125">
            <v>55</v>
          </cell>
          <cell r="V125">
            <v>48</v>
          </cell>
          <cell r="W125">
            <v>66</v>
          </cell>
          <cell r="X125">
            <v>215</v>
          </cell>
          <cell r="Y125">
            <v>23.69</v>
          </cell>
          <cell r="Z125">
            <v>25.11</v>
          </cell>
          <cell r="AA125">
            <v>26.86</v>
          </cell>
          <cell r="AB125">
            <v>32.840000000000003</v>
          </cell>
          <cell r="AC125">
            <v>108.5</v>
          </cell>
          <cell r="AD125">
            <v>102</v>
          </cell>
          <cell r="AE125">
            <v>65</v>
          </cell>
          <cell r="AF125">
            <v>18</v>
          </cell>
          <cell r="AG125">
            <v>32</v>
          </cell>
          <cell r="AH125">
            <v>217</v>
          </cell>
          <cell r="AI125">
            <v>104</v>
          </cell>
          <cell r="AJ125">
            <v>67</v>
          </cell>
          <cell r="AK125">
            <v>34.08</v>
          </cell>
          <cell r="AL125">
            <v>55.180000000000007</v>
          </cell>
          <cell r="AM125">
            <v>260.26</v>
          </cell>
          <cell r="AN125">
            <v>72.94</v>
          </cell>
          <cell r="AO125">
            <v>72.94</v>
          </cell>
          <cell r="AP125">
            <v>75.021414392059569</v>
          </cell>
          <cell r="AQ125">
            <v>100</v>
          </cell>
          <cell r="AR125">
            <v>106</v>
          </cell>
          <cell r="AS125">
            <v>116</v>
          </cell>
          <cell r="AT125">
            <v>116</v>
          </cell>
        </row>
        <row r="127">
          <cell r="G127">
            <v>0</v>
          </cell>
          <cell r="H127">
            <v>0</v>
          </cell>
          <cell r="I127">
            <v>0</v>
          </cell>
          <cell r="N127">
            <v>0</v>
          </cell>
          <cell r="Y127">
            <v>3.75</v>
          </cell>
          <cell r="Z127">
            <v>3.75</v>
          </cell>
          <cell r="AA127">
            <v>3.75</v>
          </cell>
          <cell r="AB127">
            <v>3.75</v>
          </cell>
          <cell r="AC127">
            <v>15</v>
          </cell>
          <cell r="AD127">
            <v>3.75</v>
          </cell>
          <cell r="AE127">
            <v>3.75</v>
          </cell>
          <cell r="AF127">
            <v>3.75</v>
          </cell>
          <cell r="AG127">
            <v>3.75</v>
          </cell>
          <cell r="AH127">
            <v>15</v>
          </cell>
          <cell r="AN127">
            <v>28</v>
          </cell>
          <cell r="AO127">
            <v>28</v>
          </cell>
          <cell r="AP127">
            <v>41</v>
          </cell>
          <cell r="AQ127">
            <v>78</v>
          </cell>
          <cell r="AR127">
            <v>118</v>
          </cell>
          <cell r="AS127">
            <v>130</v>
          </cell>
          <cell r="AT127">
            <v>160</v>
          </cell>
        </row>
        <row r="129">
          <cell r="B129">
            <v>-2245</v>
          </cell>
          <cell r="C129">
            <v>-2871</v>
          </cell>
          <cell r="D129">
            <v>-2029</v>
          </cell>
          <cell r="E129">
            <v>-2685</v>
          </cell>
          <cell r="F129">
            <v>-3599</v>
          </cell>
          <cell r="G129">
            <v>-4473</v>
          </cell>
          <cell r="H129">
            <v>-4687</v>
          </cell>
          <cell r="I129">
            <v>-4884</v>
          </cell>
          <cell r="J129">
            <v>-1219</v>
          </cell>
          <cell r="K129">
            <v>-1335</v>
          </cell>
          <cell r="L129">
            <v>-1423</v>
          </cell>
          <cell r="M129">
            <v>-1106</v>
          </cell>
          <cell r="N129">
            <v>-5083</v>
          </cell>
          <cell r="O129">
            <v>-1249</v>
          </cell>
          <cell r="P129">
            <v>-1171</v>
          </cell>
          <cell r="Q129">
            <v>-1355</v>
          </cell>
          <cell r="R129">
            <v>-1351</v>
          </cell>
          <cell r="S129">
            <v>-5126</v>
          </cell>
          <cell r="T129">
            <v>-1187</v>
          </cell>
          <cell r="U129">
            <v>-1209</v>
          </cell>
          <cell r="V129">
            <v>-1574</v>
          </cell>
          <cell r="W129">
            <v>-1517</v>
          </cell>
          <cell r="X129">
            <v>-5487</v>
          </cell>
          <cell r="Y129">
            <v>-1250.4751365628442</v>
          </cell>
          <cell r="Z129">
            <v>-1384.8122425359129</v>
          </cell>
          <cell r="AA129">
            <v>-1592.479046778778</v>
          </cell>
          <cell r="AB129">
            <v>-1620.1234374915637</v>
          </cell>
          <cell r="AC129">
            <v>-5847.8898633690987</v>
          </cell>
          <cell r="AD129">
            <v>-1158</v>
          </cell>
          <cell r="AE129">
            <v>-1063</v>
          </cell>
          <cell r="AF129">
            <v>-1219.7410292007323</v>
          </cell>
          <cell r="AG129">
            <v>-1285.1736629097568</v>
          </cell>
          <cell r="AH129">
            <v>-4725.9146921104884</v>
          </cell>
          <cell r="AI129">
            <v>-1359</v>
          </cell>
          <cell r="AJ129">
            <v>-1272</v>
          </cell>
          <cell r="AK129">
            <v>-1241</v>
          </cell>
          <cell r="AL129">
            <v>-1257</v>
          </cell>
          <cell r="AM129">
            <v>-5129</v>
          </cell>
          <cell r="AN129">
            <v>-5307.5224687956215</v>
          </cell>
          <cell r="AO129">
            <v>-5512.0605419145213</v>
          </cell>
          <cell r="AP129">
            <v>-5841.4484425477567</v>
          </cell>
          <cell r="AQ129">
            <v>-7811.5106487560633</v>
          </cell>
          <cell r="AR129">
            <v>-8418.7919125413064</v>
          </cell>
          <cell r="AS129">
            <v>-9035.0371047229328</v>
          </cell>
          <cell r="AT129">
            <v>-9633.5746045645956</v>
          </cell>
        </row>
        <row r="130">
          <cell r="C130">
            <v>0.27884187082405343</v>
          </cell>
          <cell r="D130">
            <v>-0.29327760362243116</v>
          </cell>
          <cell r="E130">
            <v>0.32331197634302611</v>
          </cell>
          <cell r="F130">
            <v>0.34040968342644318</v>
          </cell>
          <cell r="G130">
            <v>0.24284523478744102</v>
          </cell>
          <cell r="H130">
            <v>4.7842611222892906E-2</v>
          </cell>
          <cell r="I130">
            <v>4.2031149989332217E-2</v>
          </cell>
          <cell r="N130">
            <v>4.0745290745290763E-2</v>
          </cell>
          <cell r="S130">
            <v>8.4595711194177525E-3</v>
          </cell>
          <cell r="X130">
            <v>7.0425282871634742E-2</v>
          </cell>
          <cell r="Y130">
            <v>-2.4590377096065374E-2</v>
          </cell>
          <cell r="Z130">
            <v>0.18057309679105948</v>
          </cell>
          <cell r="AA130">
            <v>8.6274929589889471E-2</v>
          </cell>
          <cell r="AB130">
            <v>7.8098590254973344E-2</v>
          </cell>
          <cell r="AC130">
            <v>7.8150786019376639E-2</v>
          </cell>
          <cell r="AD130">
            <v>-2.4431339511373218E-2</v>
          </cell>
          <cell r="AE130">
            <v>-0.12076095947063692</v>
          </cell>
          <cell r="AF130">
            <v>-0.22506923176573546</v>
          </cell>
          <cell r="AG130">
            <v>-0.15281894336865076</v>
          </cell>
          <cell r="AH130">
            <v>-0.13870699979761469</v>
          </cell>
          <cell r="AN130">
            <v>3.4806486409752591E-2</v>
          </cell>
          <cell r="AO130">
            <v>7.4685229462764902E-2</v>
          </cell>
          <cell r="AP130">
            <v>5.9757671043073834E-2</v>
          </cell>
          <cell r="AQ130">
            <v>0.33725577236269522</v>
          </cell>
          <cell r="AR130">
            <v>7.7741846755588595E-2</v>
          </cell>
          <cell r="AS130">
            <v>7.319876754093646E-2</v>
          </cell>
          <cell r="AT130">
            <v>6.6246269152429482E-2</v>
          </cell>
        </row>
        <row r="132">
          <cell r="B132">
            <v>-1803</v>
          </cell>
          <cell r="C132">
            <v>-2379</v>
          </cell>
          <cell r="D132">
            <v>-1673</v>
          </cell>
          <cell r="E132">
            <v>-2307</v>
          </cell>
          <cell r="F132">
            <v>-3071</v>
          </cell>
          <cell r="G132">
            <v>-3672</v>
          </cell>
          <cell r="H132">
            <v>-3964</v>
          </cell>
          <cell r="I132">
            <v>-3503</v>
          </cell>
          <cell r="J132">
            <v>-865</v>
          </cell>
          <cell r="K132">
            <v>-965</v>
          </cell>
          <cell r="L132">
            <v>-987</v>
          </cell>
          <cell r="M132">
            <v>-623</v>
          </cell>
          <cell r="N132">
            <v>-3440</v>
          </cell>
          <cell r="O132">
            <v>-808</v>
          </cell>
          <cell r="P132">
            <v>-902</v>
          </cell>
          <cell r="Q132">
            <v>-1094</v>
          </cell>
          <cell r="R132">
            <v>-1099</v>
          </cell>
          <cell r="S132">
            <v>-3903</v>
          </cell>
          <cell r="T132">
            <v>-761</v>
          </cell>
          <cell r="U132">
            <v>-972</v>
          </cell>
          <cell r="V132">
            <v>-1252</v>
          </cell>
          <cell r="W132">
            <v>-1208</v>
          </cell>
          <cell r="X132">
            <v>-4193</v>
          </cell>
          <cell r="Y132">
            <v>-1022.9541365628443</v>
          </cell>
          <cell r="Z132">
            <v>-1065.5792425359127</v>
          </cell>
          <cell r="AA132">
            <v>-1180.4990467787779</v>
          </cell>
          <cell r="AB132">
            <v>-1117.3244374915637</v>
          </cell>
          <cell r="AC132">
            <v>-4386.3568633690993</v>
          </cell>
          <cell r="AD132">
            <v>-955</v>
          </cell>
          <cell r="AE132">
            <v>-827</v>
          </cell>
          <cell r="AF132">
            <v>-1086.3410292007322</v>
          </cell>
          <cell r="AG132">
            <v>-1162.6736629097568</v>
          </cell>
          <cell r="AH132">
            <v>-4031.0146921104888</v>
          </cell>
          <cell r="AI132">
            <v>-1080</v>
          </cell>
          <cell r="AJ132">
            <v>-1003</v>
          </cell>
          <cell r="AK132">
            <v>-1082</v>
          </cell>
          <cell r="AL132">
            <v>-1053</v>
          </cell>
          <cell r="AM132">
            <v>-4218</v>
          </cell>
          <cell r="AN132">
            <v>-4270.6224687956219</v>
          </cell>
          <cell r="AO132">
            <v>-4475.1605419145217</v>
          </cell>
          <cell r="AP132">
            <v>-4701.9842986271606</v>
          </cell>
          <cell r="AQ132">
            <v>-5093.4584099500935</v>
          </cell>
          <cell r="AR132">
            <v>-5466.6501214965292</v>
          </cell>
          <cell r="AS132">
            <v>-5868.6266569617392</v>
          </cell>
          <cell r="AT132">
            <v>-6303.164156803402</v>
          </cell>
        </row>
        <row r="133">
          <cell r="B133">
            <v>-844</v>
          </cell>
          <cell r="C133">
            <v>-1086</v>
          </cell>
          <cell r="D133">
            <v>-420</v>
          </cell>
          <cell r="E133">
            <v>-490</v>
          </cell>
          <cell r="F133">
            <v>-896</v>
          </cell>
          <cell r="G133">
            <v>-1255</v>
          </cell>
          <cell r="H133">
            <v>-1068</v>
          </cell>
          <cell r="I133">
            <v>-771</v>
          </cell>
          <cell r="J133">
            <v>-203</v>
          </cell>
          <cell r="K133">
            <v>-242</v>
          </cell>
          <cell r="L133">
            <v>-270</v>
          </cell>
          <cell r="M133">
            <v>-209</v>
          </cell>
          <cell r="N133">
            <v>-924</v>
          </cell>
          <cell r="O133">
            <v>-156</v>
          </cell>
          <cell r="P133">
            <v>-239</v>
          </cell>
          <cell r="Q133">
            <v>-214</v>
          </cell>
          <cell r="R133">
            <v>-187</v>
          </cell>
          <cell r="S133">
            <v>-796</v>
          </cell>
          <cell r="T133">
            <v>-200</v>
          </cell>
          <cell r="U133">
            <v>-292</v>
          </cell>
          <cell r="V133">
            <v>-309</v>
          </cell>
          <cell r="W133">
            <v>-268</v>
          </cell>
          <cell r="X133">
            <v>-1069</v>
          </cell>
          <cell r="Y133">
            <v>-226.40473540625149</v>
          </cell>
          <cell r="Z133">
            <v>-267.44150792343879</v>
          </cell>
          <cell r="AA133">
            <v>-319.99254854687666</v>
          </cell>
          <cell r="AB133">
            <v>-302.15889621250108</v>
          </cell>
          <cell r="AC133">
            <v>-1115.9976880890681</v>
          </cell>
          <cell r="AD133">
            <v>-223</v>
          </cell>
          <cell r="AE133">
            <v>-236</v>
          </cell>
          <cell r="AF133">
            <v>-218.63322246969258</v>
          </cell>
          <cell r="AG133">
            <v>-198.03020224517508</v>
          </cell>
          <cell r="AH133">
            <v>-875.66342471486769</v>
          </cell>
          <cell r="AI133">
            <v>-273</v>
          </cell>
          <cell r="AJ133">
            <v>-284</v>
          </cell>
          <cell r="AK133">
            <v>-265</v>
          </cell>
          <cell r="AL133">
            <v>-218</v>
          </cell>
          <cell r="AM133">
            <v>-1040</v>
          </cell>
          <cell r="AN133">
            <v>-818.1929903722629</v>
          </cell>
          <cell r="AO133">
            <v>-851.36132655370625</v>
          </cell>
          <cell r="AP133">
            <v>-896.2777936021289</v>
          </cell>
          <cell r="AQ133">
            <v>-974.43209057680565</v>
          </cell>
          <cell r="AR133">
            <v>-1048.8118182007161</v>
          </cell>
          <cell r="AS133">
            <v>-1128.9925758186323</v>
          </cell>
          <cell r="AT133">
            <v>-1215.7378637530492</v>
          </cell>
        </row>
        <row r="134">
          <cell r="G134">
            <v>-45</v>
          </cell>
          <cell r="H134">
            <v>-60</v>
          </cell>
          <cell r="I134">
            <v>-65.098439375750303</v>
          </cell>
          <cell r="J134">
            <v>-70.209999999999994</v>
          </cell>
          <cell r="K134">
            <v>-73.23</v>
          </cell>
          <cell r="L134">
            <v>-66.510000000000005</v>
          </cell>
          <cell r="M134">
            <v>-59.34</v>
          </cell>
          <cell r="N134">
            <v>-269.28999999999996</v>
          </cell>
          <cell r="O134">
            <v>-64.86</v>
          </cell>
          <cell r="P134">
            <v>-90.32</v>
          </cell>
          <cell r="Q134">
            <v>-81</v>
          </cell>
          <cell r="R134">
            <v>-70.38</v>
          </cell>
          <cell r="S134">
            <v>-306.56</v>
          </cell>
          <cell r="T134">
            <v>-74.98</v>
          </cell>
          <cell r="U134">
            <v>-99.99</v>
          </cell>
          <cell r="V134">
            <v>-93.4</v>
          </cell>
          <cell r="W134">
            <v>-94.47</v>
          </cell>
          <cell r="X134">
            <v>-362.84000000000003</v>
          </cell>
          <cell r="Y134">
            <v>-46.817411406251459</v>
          </cell>
          <cell r="Z134">
            <v>-40.731147923438769</v>
          </cell>
          <cell r="AA134">
            <v>-51.499152546876601</v>
          </cell>
          <cell r="AB134">
            <v>-33.708536212501052</v>
          </cell>
          <cell r="AC134">
            <v>-172.7562480890679</v>
          </cell>
          <cell r="AD134">
            <v>-63</v>
          </cell>
          <cell r="AE134">
            <v>-38</v>
          </cell>
          <cell r="AF134">
            <v>-44.800000000000004</v>
          </cell>
          <cell r="AG134">
            <v>-40</v>
          </cell>
          <cell r="AH134">
            <v>-185.8</v>
          </cell>
          <cell r="AI134">
            <v>-92.661665107577164</v>
          </cell>
          <cell r="AJ134">
            <v>-58.111689378865293</v>
          </cell>
          <cell r="AK134">
            <v>-62.901711642914769</v>
          </cell>
          <cell r="AL134">
            <v>-61.875278300618447</v>
          </cell>
          <cell r="AM134">
            <v>-275.55034442997567</v>
          </cell>
          <cell r="AN134">
            <v>-209.24103199999999</v>
          </cell>
          <cell r="AO134">
            <v>-209.24103199999999</v>
          </cell>
          <cell r="AP134">
            <v>-220.28025544822771</v>
          </cell>
          <cell r="AQ134">
            <v>-239.48841682949788</v>
          </cell>
          <cell r="AR134">
            <v>-257.76889361707504</v>
          </cell>
          <cell r="AS134">
            <v>-277.47510289302141</v>
          </cell>
          <cell r="AT134">
            <v>-298.79469188822281</v>
          </cell>
        </row>
        <row r="135">
          <cell r="G135">
            <v>-1210</v>
          </cell>
          <cell r="H135">
            <v>-1008</v>
          </cell>
          <cell r="I135">
            <v>-705.90156062424967</v>
          </cell>
          <cell r="J135">
            <v>-132.79000000000002</v>
          </cell>
          <cell r="K135">
            <v>-168.76999999999998</v>
          </cell>
          <cell r="L135">
            <v>-203.49</v>
          </cell>
          <cell r="M135">
            <v>-149.66</v>
          </cell>
          <cell r="N135">
            <v>-654.71</v>
          </cell>
          <cell r="O135">
            <v>-91.14</v>
          </cell>
          <cell r="P135">
            <v>-148.68</v>
          </cell>
          <cell r="Q135">
            <v>-133</v>
          </cell>
          <cell r="R135">
            <v>-116.62</v>
          </cell>
          <cell r="S135">
            <v>-489.44</v>
          </cell>
          <cell r="T135">
            <v>-125.02</v>
          </cell>
          <cell r="U135">
            <v>-192.01</v>
          </cell>
          <cell r="V135">
            <v>-215.6</v>
          </cell>
          <cell r="W135">
            <v>-173.53</v>
          </cell>
          <cell r="X135">
            <v>-706.16</v>
          </cell>
          <cell r="Y135">
            <v>-179.58732400000002</v>
          </cell>
          <cell r="Z135">
            <v>-226.71036000000001</v>
          </cell>
          <cell r="AA135">
            <v>-268.49339600000008</v>
          </cell>
          <cell r="AB135">
            <v>-268.45036000000005</v>
          </cell>
          <cell r="AC135">
            <v>-943.24144000000013</v>
          </cell>
          <cell r="AD135">
            <v>-160</v>
          </cell>
          <cell r="AE135">
            <v>-198</v>
          </cell>
          <cell r="AF135">
            <v>-173.83322246969257</v>
          </cell>
          <cell r="AG135">
            <v>-158.03020224517508</v>
          </cell>
          <cell r="AH135">
            <v>-689.86342471486773</v>
          </cell>
          <cell r="AI135">
            <v>-180.33833489242284</v>
          </cell>
          <cell r="AJ135">
            <v>-225.88831062113471</v>
          </cell>
          <cell r="AK135">
            <v>-202.09828835708524</v>
          </cell>
          <cell r="AL135">
            <v>-156.12472169938155</v>
          </cell>
          <cell r="AM135">
            <v>-764.44965557002433</v>
          </cell>
          <cell r="AN135">
            <v>-608.95195837226288</v>
          </cell>
          <cell r="AO135">
            <v>-642.12029455370623</v>
          </cell>
          <cell r="AP135">
            <v>-675.99753815390113</v>
          </cell>
          <cell r="AQ135">
            <v>-734.9436737473078</v>
          </cell>
          <cell r="AR135">
            <v>-791.04292458364091</v>
          </cell>
          <cell r="AS135">
            <v>-851.51747292561095</v>
          </cell>
          <cell r="AT135">
            <v>-916.94317186482624</v>
          </cell>
        </row>
        <row r="136">
          <cell r="B136">
            <v>-509</v>
          </cell>
          <cell r="C136">
            <v>-509</v>
          </cell>
          <cell r="D136">
            <v>-640</v>
          </cell>
          <cell r="E136">
            <v>-1023</v>
          </cell>
          <cell r="F136">
            <v>-1227</v>
          </cell>
          <cell r="G136">
            <v>-1428</v>
          </cell>
          <cell r="H136">
            <v>-2083</v>
          </cell>
          <cell r="I136">
            <v>-1950</v>
          </cell>
          <cell r="J136">
            <v>-449</v>
          </cell>
          <cell r="K136">
            <v>-525</v>
          </cell>
          <cell r="L136">
            <v>-490</v>
          </cell>
          <cell r="M136">
            <v>-250</v>
          </cell>
          <cell r="N136">
            <v>-1714</v>
          </cell>
          <cell r="O136">
            <v>-465</v>
          </cell>
          <cell r="P136">
            <v>-485</v>
          </cell>
          <cell r="Q136">
            <v>-655</v>
          </cell>
          <cell r="R136">
            <v>-671</v>
          </cell>
          <cell r="S136">
            <v>-2276</v>
          </cell>
          <cell r="T136">
            <v>-474</v>
          </cell>
          <cell r="U136">
            <v>-495</v>
          </cell>
          <cell r="V136">
            <v>-769</v>
          </cell>
          <cell r="W136">
            <v>-777</v>
          </cell>
          <cell r="X136">
            <v>-2515</v>
          </cell>
          <cell r="Y136">
            <v>-570.21701900000005</v>
          </cell>
          <cell r="Z136">
            <v>-605.94891000000007</v>
          </cell>
          <cell r="AA136">
            <v>-667.76580100000012</v>
          </cell>
          <cell r="AB136">
            <v>-624.51391000000001</v>
          </cell>
          <cell r="AC136">
            <v>-2468.4456400000004</v>
          </cell>
          <cell r="AD136">
            <v>-585</v>
          </cell>
          <cell r="AE136">
            <v>-511</v>
          </cell>
          <cell r="AF136">
            <v>-680.84678800629592</v>
          </cell>
          <cell r="AG136">
            <v>-618.95162546026904</v>
          </cell>
          <cell r="AH136">
            <v>-2395.7984134665649</v>
          </cell>
          <cell r="AI136">
            <v>-585</v>
          </cell>
          <cell r="AJ136">
            <v>-524</v>
          </cell>
          <cell r="AK136">
            <v>-649</v>
          </cell>
          <cell r="AL136">
            <v>-669</v>
          </cell>
          <cell r="AM136">
            <v>-2427</v>
          </cell>
          <cell r="AN136">
            <v>-2537.2998265510955</v>
          </cell>
          <cell r="AO136">
            <v>-2675.5012273071093</v>
          </cell>
          <cell r="AP136">
            <v>-2816.656408974588</v>
          </cell>
          <cell r="AQ136">
            <v>-3062.2653072804492</v>
          </cell>
          <cell r="AR136">
            <v>-3296.0121857651707</v>
          </cell>
          <cell r="AS136">
            <v>-3547.9894705233792</v>
          </cell>
          <cell r="AT136">
            <v>-3820.5965494367761</v>
          </cell>
        </row>
        <row r="137">
          <cell r="B137">
            <v>-450</v>
          </cell>
          <cell r="C137">
            <v>-784</v>
          </cell>
          <cell r="D137">
            <v>-613</v>
          </cell>
          <cell r="E137">
            <v>-794</v>
          </cell>
          <cell r="F137">
            <v>-948</v>
          </cell>
          <cell r="G137">
            <v>-989</v>
          </cell>
          <cell r="H137">
            <v>-813</v>
          </cell>
          <cell r="I137">
            <v>-782</v>
          </cell>
          <cell r="J137">
            <v>-213</v>
          </cell>
          <cell r="K137">
            <v>-198</v>
          </cell>
          <cell r="L137">
            <v>-227</v>
          </cell>
          <cell r="M137">
            <v>-164</v>
          </cell>
          <cell r="N137">
            <v>-802</v>
          </cell>
          <cell r="O137">
            <v>-187</v>
          </cell>
          <cell r="P137">
            <v>-178</v>
          </cell>
          <cell r="Q137">
            <v>-225</v>
          </cell>
          <cell r="R137">
            <v>-241</v>
          </cell>
          <cell r="S137">
            <v>-831</v>
          </cell>
          <cell r="T137">
            <v>-87</v>
          </cell>
          <cell r="U137">
            <v>-185</v>
          </cell>
          <cell r="V137">
            <v>-174</v>
          </cell>
          <cell r="W137">
            <v>-163</v>
          </cell>
          <cell r="X137">
            <v>-609</v>
          </cell>
          <cell r="Y137">
            <v>-226.33238215659276</v>
          </cell>
          <cell r="Z137">
            <v>-192.18882461247387</v>
          </cell>
          <cell r="AA137">
            <v>-192.74069723190118</v>
          </cell>
          <cell r="AB137">
            <v>-190.65163127906257</v>
          </cell>
          <cell r="AC137">
            <v>-801.91353528003037</v>
          </cell>
          <cell r="AD137">
            <v>-147</v>
          </cell>
          <cell r="AE137">
            <v>-80</v>
          </cell>
          <cell r="AF137">
            <v>-186.86101872474384</v>
          </cell>
          <cell r="AG137">
            <v>-345.69183520431261</v>
          </cell>
          <cell r="AH137">
            <v>-759.55285392905648</v>
          </cell>
          <cell r="AI137">
            <v>-222</v>
          </cell>
          <cell r="AJ137">
            <v>-195</v>
          </cell>
          <cell r="AK137">
            <v>-168</v>
          </cell>
          <cell r="AL137">
            <v>-166</v>
          </cell>
          <cell r="AM137">
            <v>-751</v>
          </cell>
          <cell r="AN137">
            <v>-915.12965187226291</v>
          </cell>
          <cell r="AO137">
            <v>-948.29798805370615</v>
          </cell>
          <cell r="AP137">
            <v>-989.05009605044381</v>
          </cell>
          <cell r="AQ137">
            <v>-1056.7610120928384</v>
          </cell>
          <cell r="AR137">
            <v>-1121.8261175306425</v>
          </cell>
          <cell r="AS137">
            <v>-1191.6446106197284</v>
          </cell>
          <cell r="AT137">
            <v>-1266.8297436135774</v>
          </cell>
        </row>
        <row r="138">
          <cell r="G138">
            <v>-118</v>
          </cell>
          <cell r="H138">
            <v>-124</v>
          </cell>
          <cell r="I138">
            <v>-156</v>
          </cell>
          <cell r="J138">
            <v>-69</v>
          </cell>
          <cell r="K138">
            <v>-35</v>
          </cell>
          <cell r="L138">
            <v>-32</v>
          </cell>
          <cell r="M138">
            <v>-30</v>
          </cell>
          <cell r="N138">
            <v>-166</v>
          </cell>
          <cell r="O138">
            <v>-34</v>
          </cell>
          <cell r="P138">
            <v>-36</v>
          </cell>
          <cell r="Q138">
            <v>-57</v>
          </cell>
          <cell r="R138">
            <v>-62</v>
          </cell>
          <cell r="S138">
            <v>-189</v>
          </cell>
          <cell r="T138">
            <v>-21</v>
          </cell>
          <cell r="U138">
            <v>-23</v>
          </cell>
          <cell r="V138">
            <v>-25</v>
          </cell>
          <cell r="W138">
            <v>-27</v>
          </cell>
          <cell r="X138">
            <v>-96</v>
          </cell>
          <cell r="Y138">
            <v>-93.15789473684211</v>
          </cell>
          <cell r="Z138">
            <v>-42.786885245901644</v>
          </cell>
          <cell r="AA138">
            <v>-37.578125</v>
          </cell>
          <cell r="AB138">
            <v>-37.703125</v>
          </cell>
          <cell r="AC138">
            <v>-211.22602998274374</v>
          </cell>
          <cell r="AD138">
            <v>-89</v>
          </cell>
          <cell r="AE138">
            <v>-57</v>
          </cell>
          <cell r="AF138">
            <v>-38</v>
          </cell>
          <cell r="AG138">
            <v>-38</v>
          </cell>
          <cell r="AH138">
            <v>-222</v>
          </cell>
          <cell r="AI138">
            <v>-89</v>
          </cell>
          <cell r="AJ138">
            <v>-55</v>
          </cell>
          <cell r="AK138">
            <v>-16</v>
          </cell>
          <cell r="AL138">
            <v>-19</v>
          </cell>
          <cell r="AM138">
            <v>-179</v>
          </cell>
          <cell r="AN138">
            <v>-225.32999999999998</v>
          </cell>
          <cell r="AO138">
            <v>-225.32999999999998</v>
          </cell>
          <cell r="AP138">
            <v>-229.38593999999998</v>
          </cell>
          <cell r="AQ138">
            <v>-233.74427285999997</v>
          </cell>
          <cell r="AR138">
            <v>-238.41915831719996</v>
          </cell>
          <cell r="AS138">
            <v>-243.18754148354395</v>
          </cell>
          <cell r="AT138">
            <v>-248.05129231321484</v>
          </cell>
        </row>
        <row r="139">
          <cell r="G139">
            <v>-39</v>
          </cell>
          <cell r="H139">
            <v>-54</v>
          </cell>
          <cell r="I139">
            <v>-41</v>
          </cell>
          <cell r="J139">
            <v>-11</v>
          </cell>
          <cell r="K139">
            <v>-3</v>
          </cell>
          <cell r="L139">
            <v>-6</v>
          </cell>
          <cell r="M139">
            <v>-8</v>
          </cell>
          <cell r="N139">
            <v>-28</v>
          </cell>
          <cell r="O139">
            <v>-7</v>
          </cell>
          <cell r="P139">
            <v>-6</v>
          </cell>
          <cell r="Q139">
            <v>-15</v>
          </cell>
          <cell r="R139">
            <v>-12</v>
          </cell>
          <cell r="S139">
            <v>-40</v>
          </cell>
          <cell r="T139">
            <v>-7</v>
          </cell>
          <cell r="U139">
            <v>-12</v>
          </cell>
          <cell r="V139">
            <v>-9</v>
          </cell>
          <cell r="W139">
            <v>-13</v>
          </cell>
          <cell r="X139">
            <v>-41</v>
          </cell>
          <cell r="Y139">
            <v>-8.280701754385964</v>
          </cell>
          <cell r="Z139">
            <v>-12.360655737704917</v>
          </cell>
          <cell r="AA139">
            <v>-9.140625</v>
          </cell>
          <cell r="AB139">
            <v>-12.796875</v>
          </cell>
          <cell r="AC139">
            <v>-42.578857492090883</v>
          </cell>
          <cell r="AD139">
            <v>-5</v>
          </cell>
          <cell r="AE139">
            <v>-14</v>
          </cell>
          <cell r="AF139">
            <v>-9</v>
          </cell>
          <cell r="AG139">
            <v>-13</v>
          </cell>
          <cell r="AH139">
            <v>-41</v>
          </cell>
          <cell r="AI139">
            <v>-5</v>
          </cell>
          <cell r="AJ139">
            <v>-14</v>
          </cell>
          <cell r="AK139">
            <v>-9</v>
          </cell>
          <cell r="AL139">
            <v>-17</v>
          </cell>
          <cell r="AM139">
            <v>-45</v>
          </cell>
          <cell r="AN139">
            <v>-41.614999999999995</v>
          </cell>
          <cell r="AO139">
            <v>-41.614999999999995</v>
          </cell>
          <cell r="AP139">
            <v>-42.364069999999998</v>
          </cell>
          <cell r="AQ139">
            <v>-43.168987329999993</v>
          </cell>
          <cell r="AR139">
            <v>-44.032367076599996</v>
          </cell>
          <cell r="AS139">
            <v>-44.913014418132001</v>
          </cell>
          <cell r="AT139">
            <v>-45.811274706494643</v>
          </cell>
        </row>
        <row r="140">
          <cell r="G140">
            <v>-832</v>
          </cell>
          <cell r="H140">
            <v>-812</v>
          </cell>
          <cell r="I140">
            <v>-585</v>
          </cell>
          <cell r="J140">
            <v>-133</v>
          </cell>
          <cell r="K140">
            <v>-160</v>
          </cell>
          <cell r="L140">
            <v>-189</v>
          </cell>
          <cell r="M140">
            <v>-126</v>
          </cell>
          <cell r="N140">
            <v>-608</v>
          </cell>
          <cell r="O140">
            <v>-146</v>
          </cell>
          <cell r="P140">
            <v>-136</v>
          </cell>
          <cell r="Q140">
            <v>-153</v>
          </cell>
          <cell r="R140">
            <v>-167</v>
          </cell>
          <cell r="S140">
            <v>-602</v>
          </cell>
          <cell r="T140">
            <v>-59</v>
          </cell>
          <cell r="U140">
            <v>-150</v>
          </cell>
          <cell r="V140">
            <v>-140</v>
          </cell>
          <cell r="W140">
            <v>-123</v>
          </cell>
          <cell r="X140">
            <v>-472</v>
          </cell>
          <cell r="Y140">
            <v>-124.89378566536469</v>
          </cell>
          <cell r="Z140">
            <v>-137.04128362886729</v>
          </cell>
          <cell r="AA140">
            <v>-146.02194723190118</v>
          </cell>
          <cell r="AB140">
            <v>-140.15163127906257</v>
          </cell>
          <cell r="AC140">
            <v>-548.10864780519569</v>
          </cell>
          <cell r="AD140">
            <v>-53</v>
          </cell>
          <cell r="AE140">
            <v>-9</v>
          </cell>
          <cell r="AF140">
            <v>-139.86101872474384</v>
          </cell>
          <cell r="AG140">
            <v>-294.69183520431261</v>
          </cell>
          <cell r="AH140">
            <v>-496.55285392905648</v>
          </cell>
          <cell r="AI140">
            <v>-128</v>
          </cell>
          <cell r="AJ140">
            <v>-126</v>
          </cell>
          <cell r="AK140">
            <v>-143</v>
          </cell>
          <cell r="AL140">
            <v>-130</v>
          </cell>
          <cell r="AM140">
            <v>-527</v>
          </cell>
          <cell r="AN140">
            <v>-648.18465187226298</v>
          </cell>
          <cell r="AO140">
            <v>-681.35298805370621</v>
          </cell>
          <cell r="AP140">
            <v>-717.30008605044384</v>
          </cell>
          <cell r="AQ140">
            <v>-779.84775190283858</v>
          </cell>
          <cell r="AR140">
            <v>-839.37459213684258</v>
          </cell>
          <cell r="AS140">
            <v>-903.54405471805239</v>
          </cell>
          <cell r="AT140">
            <v>-972.96717659386798</v>
          </cell>
        </row>
        <row r="141">
          <cell r="G141">
            <v>-67</v>
          </cell>
          <cell r="H141">
            <v>-47</v>
          </cell>
          <cell r="I141">
            <v>-48.080999999999996</v>
          </cell>
          <cell r="J141">
            <v>-9.4159999999999968</v>
          </cell>
          <cell r="K141">
            <v>-12.75200000000001</v>
          </cell>
          <cell r="L141">
            <v>-8.1146666666666647</v>
          </cell>
          <cell r="M141">
            <v>-8.7333333333333343</v>
          </cell>
          <cell r="N141">
            <v>-39.016000000000005</v>
          </cell>
          <cell r="O141">
            <v>-6.304000000000002</v>
          </cell>
          <cell r="P141">
            <v>-9.9915264797507746</v>
          </cell>
          <cell r="Q141">
            <v>-8.5749034267912805</v>
          </cell>
          <cell r="R141">
            <v>-10.94335202492212</v>
          </cell>
          <cell r="S141">
            <v>-35.813781931464177</v>
          </cell>
          <cell r="T141">
            <v>-7.6273146417445474</v>
          </cell>
          <cell r="U141">
            <v>-17.206454828660441</v>
          </cell>
          <cell r="V141">
            <v>-37.254629283489095</v>
          </cell>
          <cell r="W141">
            <v>-12.500261682242993</v>
          </cell>
          <cell r="X141">
            <v>-74.588660436137076</v>
          </cell>
          <cell r="Y141">
            <v>-3.5710156653646683</v>
          </cell>
          <cell r="Z141">
            <v>-8.1159836288672622</v>
          </cell>
          <cell r="AA141">
            <v>-3.9441172319011355</v>
          </cell>
          <cell r="AB141">
            <v>-7.2763312790625605</v>
          </cell>
          <cell r="AC141">
            <v>-22.907447805195627</v>
          </cell>
          <cell r="AD141">
            <v>148</v>
          </cell>
          <cell r="AE141">
            <v>136</v>
          </cell>
          <cell r="AF141">
            <v>5</v>
          </cell>
          <cell r="AG141">
            <v>-163</v>
          </cell>
          <cell r="AH141">
            <v>126</v>
          </cell>
          <cell r="AI141">
            <v>-7.8073021806853689</v>
          </cell>
          <cell r="AJ141">
            <v>-11.623077881619935</v>
          </cell>
          <cell r="AK141">
            <v>-12.145046728971977</v>
          </cell>
          <cell r="AL141">
            <v>-18.266666666666666</v>
          </cell>
          <cell r="AM141">
            <v>-49.842093457943918</v>
          </cell>
          <cell r="AN141">
            <v>127.88999999999999</v>
          </cell>
          <cell r="AO141">
            <v>127.88999999999999</v>
          </cell>
          <cell r="AP141">
            <v>130.19201999999999</v>
          </cell>
          <cell r="AQ141">
            <v>132.66566837999997</v>
          </cell>
          <cell r="AR141">
            <v>135.31898174759996</v>
          </cell>
          <cell r="AS141">
            <v>138.02536138255198</v>
          </cell>
          <cell r="AT141">
            <v>140.78586861020301</v>
          </cell>
        </row>
        <row r="142">
          <cell r="G142">
            <v>-765</v>
          </cell>
          <cell r="H142">
            <v>-765</v>
          </cell>
          <cell r="I142">
            <v>-536.91899999999998</v>
          </cell>
          <cell r="J142">
            <v>-123.584</v>
          </cell>
          <cell r="K142">
            <v>-147.24799999999999</v>
          </cell>
          <cell r="L142">
            <v>-180.88533333333334</v>
          </cell>
          <cell r="M142">
            <v>-117.26666666666667</v>
          </cell>
          <cell r="N142">
            <v>-568.98400000000004</v>
          </cell>
          <cell r="O142">
            <v>-139.696</v>
          </cell>
          <cell r="P142">
            <v>-126.00847352024923</v>
          </cell>
          <cell r="Q142">
            <v>-144.42509657320872</v>
          </cell>
          <cell r="R142">
            <v>-156.05664797507788</v>
          </cell>
          <cell r="S142">
            <v>-566.18621806853582</v>
          </cell>
          <cell r="T142">
            <v>-51.372685358255453</v>
          </cell>
          <cell r="U142">
            <v>-132.79354517133956</v>
          </cell>
          <cell r="V142">
            <v>-102.74537071651091</v>
          </cell>
          <cell r="W142">
            <v>-110.49973831775701</v>
          </cell>
          <cell r="X142">
            <v>-397.4113395638629</v>
          </cell>
          <cell r="Y142">
            <v>-121.32277000000002</v>
          </cell>
          <cell r="Z142">
            <v>-128.92530000000002</v>
          </cell>
          <cell r="AA142">
            <v>-142.07783000000003</v>
          </cell>
          <cell r="AB142">
            <v>-132.87530000000001</v>
          </cell>
          <cell r="AC142">
            <v>-525.20120000000009</v>
          </cell>
          <cell r="AD142">
            <v>-201</v>
          </cell>
          <cell r="AE142">
            <v>-145</v>
          </cell>
          <cell r="AF142">
            <v>-144.86101872474384</v>
          </cell>
          <cell r="AG142">
            <v>-131.69183520431258</v>
          </cell>
          <cell r="AH142">
            <v>-622.55285392905648</v>
          </cell>
          <cell r="AI142">
            <v>-120.19269781931463</v>
          </cell>
          <cell r="AJ142">
            <v>-114.37692211838007</v>
          </cell>
          <cell r="AK142">
            <v>-130.85495327102802</v>
          </cell>
          <cell r="AL142">
            <v>-111.73333333333333</v>
          </cell>
          <cell r="AM142">
            <v>-477.15790654205608</v>
          </cell>
          <cell r="AN142">
            <v>-776.07465187226296</v>
          </cell>
          <cell r="AO142">
            <v>-809.2429880537062</v>
          </cell>
          <cell r="AP142">
            <v>-847.49210605044379</v>
          </cell>
          <cell r="AQ142">
            <v>-912.51342028283852</v>
          </cell>
          <cell r="AR142">
            <v>-974.69357388444257</v>
          </cell>
          <cell r="AS142">
            <v>-1041.5694161006045</v>
          </cell>
          <cell r="AT142">
            <v>-1113.753045204071</v>
          </cell>
        </row>
        <row r="144">
          <cell r="B144">
            <v>-442</v>
          </cell>
          <cell r="C144">
            <v>-492</v>
          </cell>
          <cell r="D144">
            <v>-356</v>
          </cell>
          <cell r="E144">
            <v>-378</v>
          </cell>
          <cell r="F144">
            <v>-528</v>
          </cell>
          <cell r="G144">
            <v>-801</v>
          </cell>
          <cell r="H144">
            <v>-723</v>
          </cell>
          <cell r="I144">
            <v>-1381</v>
          </cell>
          <cell r="J144">
            <v>-354</v>
          </cell>
          <cell r="K144">
            <v>-370</v>
          </cell>
          <cell r="L144">
            <v>-436</v>
          </cell>
          <cell r="M144">
            <v>-483</v>
          </cell>
          <cell r="N144">
            <v>-1643</v>
          </cell>
          <cell r="O144">
            <v>-441</v>
          </cell>
          <cell r="P144">
            <v>-269</v>
          </cell>
          <cell r="Q144">
            <v>-261</v>
          </cell>
          <cell r="R144">
            <v>-252</v>
          </cell>
          <cell r="S144">
            <v>-1223</v>
          </cell>
          <cell r="T144">
            <v>-426</v>
          </cell>
          <cell r="U144">
            <v>-237</v>
          </cell>
          <cell r="V144">
            <v>-322</v>
          </cell>
          <cell r="W144">
            <v>-309</v>
          </cell>
          <cell r="X144">
            <v>-1294</v>
          </cell>
          <cell r="Y144">
            <v>-227.52099999999996</v>
          </cell>
          <cell r="Z144">
            <v>-319.23300000000006</v>
          </cell>
          <cell r="AA144">
            <v>-411.98</v>
          </cell>
          <cell r="AB144">
            <v>-502.79899999999998</v>
          </cell>
          <cell r="AC144">
            <v>-1461.5329999999999</v>
          </cell>
          <cell r="AD144">
            <v>-203</v>
          </cell>
          <cell r="AE144">
            <v>-236</v>
          </cell>
          <cell r="AF144">
            <v>-133.4</v>
          </cell>
          <cell r="AG144">
            <v>-122.5</v>
          </cell>
          <cell r="AH144">
            <v>-694.9</v>
          </cell>
          <cell r="AI144">
            <v>-279</v>
          </cell>
          <cell r="AJ144">
            <v>-269</v>
          </cell>
          <cell r="AK144">
            <v>-159</v>
          </cell>
          <cell r="AL144">
            <v>-204</v>
          </cell>
          <cell r="AM144">
            <v>-911</v>
          </cell>
          <cell r="AN144">
            <v>-608.5</v>
          </cell>
          <cell r="AO144">
            <v>-608.5</v>
          </cell>
          <cell r="AP144">
            <v>-625.86414392059567</v>
          </cell>
          <cell r="AQ144">
            <v>-1762.0522388059701</v>
          </cell>
          <cell r="AR144">
            <v>-1966.1417910447763</v>
          </cell>
          <cell r="AS144">
            <v>-2101.4104477611941</v>
          </cell>
          <cell r="AT144">
            <v>-2101.4104477611941</v>
          </cell>
        </row>
        <row r="145">
          <cell r="B145">
            <v>-6</v>
          </cell>
          <cell r="C145">
            <v>-70</v>
          </cell>
          <cell r="D145">
            <v>-103</v>
          </cell>
          <cell r="E145">
            <v>-166</v>
          </cell>
          <cell r="F145">
            <v>-279</v>
          </cell>
          <cell r="G145">
            <v>-270</v>
          </cell>
          <cell r="H145">
            <v>-291</v>
          </cell>
          <cell r="I145">
            <v>-343</v>
          </cell>
          <cell r="N145">
            <v>-324</v>
          </cell>
          <cell r="S145">
            <v>-364.90000000000003</v>
          </cell>
          <cell r="X145">
            <v>-358.76</v>
          </cell>
          <cell r="AC145">
            <v>-293.23789600000003</v>
          </cell>
          <cell r="AH145">
            <v>-240.42992754000002</v>
          </cell>
          <cell r="AN145">
            <v>-186.681681</v>
          </cell>
          <cell r="AO145">
            <v>-197.121681</v>
          </cell>
          <cell r="AP145">
            <v>-229.7796402260546</v>
          </cell>
          <cell r="AQ145">
            <v>-266.0186951687345</v>
          </cell>
          <cell r="AR145">
            <v>-281.11309124627792</v>
          </cell>
          <cell r="AS145">
            <v>-296.91241816377169</v>
          </cell>
          <cell r="AT145">
            <v>-313.58496899813895</v>
          </cell>
        </row>
        <row r="146">
          <cell r="B146">
            <v>-436</v>
          </cell>
          <cell r="C146">
            <v>-422</v>
          </cell>
          <cell r="D146">
            <v>-253</v>
          </cell>
          <cell r="E146">
            <v>-212</v>
          </cell>
          <cell r="F146">
            <v>-249</v>
          </cell>
          <cell r="G146">
            <v>-531</v>
          </cell>
          <cell r="H146">
            <v>-432</v>
          </cell>
          <cell r="I146">
            <v>-1038</v>
          </cell>
          <cell r="N146">
            <v>-1319</v>
          </cell>
          <cell r="S146">
            <v>-858.09999999999991</v>
          </cell>
          <cell r="X146">
            <v>-935.24</v>
          </cell>
          <cell r="AC146">
            <v>-1168.2951039999998</v>
          </cell>
          <cell r="AH146">
            <v>-454.47007245999998</v>
          </cell>
          <cell r="AN146">
            <v>-421.81831899999997</v>
          </cell>
          <cell r="AO146">
            <v>-411.37831900000003</v>
          </cell>
          <cell r="AP146">
            <v>-396.08450369454107</v>
          </cell>
          <cell r="AQ146">
            <v>-1496.0335436372357</v>
          </cell>
          <cell r="AR146">
            <v>-1685.0286997984983</v>
          </cell>
          <cell r="AS146">
            <v>-1804.4980295974224</v>
          </cell>
          <cell r="AT146">
            <v>-1787.8254787630551</v>
          </cell>
        </row>
        <row r="148">
          <cell r="Y148">
            <v>0</v>
          </cell>
          <cell r="Z148">
            <v>0</v>
          </cell>
          <cell r="AA148">
            <v>0</v>
          </cell>
          <cell r="AB148">
            <v>0</v>
          </cell>
          <cell r="AC148">
            <v>0</v>
          </cell>
          <cell r="AD148">
            <v>0</v>
          </cell>
          <cell r="AE148">
            <v>0</v>
          </cell>
          <cell r="AF148">
            <v>0</v>
          </cell>
          <cell r="AG148">
            <v>0</v>
          </cell>
          <cell r="AH148">
            <v>0</v>
          </cell>
          <cell r="AN148">
            <v>-428.4</v>
          </cell>
          <cell r="AO148">
            <v>-428.4</v>
          </cell>
          <cell r="AP148">
            <v>-513.6</v>
          </cell>
          <cell r="AQ148">
            <v>-956</v>
          </cell>
          <cell r="AR148">
            <v>-986</v>
          </cell>
          <cell r="AS148">
            <v>-1065</v>
          </cell>
          <cell r="AT148">
            <v>-1229</v>
          </cell>
        </row>
        <row r="150">
          <cell r="B150">
            <v>-3074</v>
          </cell>
          <cell r="C150">
            <v>-1763</v>
          </cell>
          <cell r="D150">
            <v>-2368</v>
          </cell>
          <cell r="E150">
            <v>-765</v>
          </cell>
          <cell r="F150">
            <v>-592</v>
          </cell>
          <cell r="G150">
            <v>-1745</v>
          </cell>
          <cell r="H150">
            <v>-1713.7672000000002</v>
          </cell>
          <cell r="I150">
            <v>-1895</v>
          </cell>
          <cell r="J150">
            <v>-303.41399999999999</v>
          </cell>
          <cell r="K150">
            <v>-656.31200000000001</v>
          </cell>
          <cell r="L150">
            <v>-305.79999999999995</v>
          </cell>
          <cell r="M150">
            <v>-645.26700000000005</v>
          </cell>
          <cell r="N150">
            <v>-1910.7930000000001</v>
          </cell>
          <cell r="O150">
            <v>-226.83999999999997</v>
          </cell>
          <cell r="P150">
            <v>-719.95</v>
          </cell>
          <cell r="Q150">
            <v>-189</v>
          </cell>
          <cell r="R150">
            <v>-589</v>
          </cell>
          <cell r="S150">
            <v>-1724.73</v>
          </cell>
          <cell r="T150">
            <v>-481.63</v>
          </cell>
          <cell r="U150">
            <v>-619.46</v>
          </cell>
          <cell r="V150">
            <v>-435.37</v>
          </cell>
          <cell r="W150">
            <v>-469.84000000000003</v>
          </cell>
          <cell r="X150">
            <v>-2006.3000000000002</v>
          </cell>
          <cell r="Y150">
            <v>-162.01822870767325</v>
          </cell>
          <cell r="Z150">
            <v>-288.15136491392332</v>
          </cell>
          <cell r="AA150">
            <v>-195.14701808105872</v>
          </cell>
          <cell r="AB150">
            <v>-377.23345189118737</v>
          </cell>
          <cell r="AC150">
            <v>-1022.5500635938424</v>
          </cell>
          <cell r="AD150">
            <v>-280</v>
          </cell>
          <cell r="AE150">
            <v>-475</v>
          </cell>
          <cell r="AF150">
            <v>-148.04669720903149</v>
          </cell>
          <cell r="AG150">
            <v>-268.15068426827833</v>
          </cell>
          <cell r="AH150">
            <v>-1171.1973814773098</v>
          </cell>
          <cell r="AI150">
            <v>-337.08999999999992</v>
          </cell>
          <cell r="AJ150">
            <v>-507.26</v>
          </cell>
          <cell r="AK150">
            <v>-324.31999999999994</v>
          </cell>
          <cell r="AL150">
            <v>-300</v>
          </cell>
          <cell r="AM150">
            <v>-1468.67</v>
          </cell>
          <cell r="AN150">
            <v>-1545.5097056658749</v>
          </cell>
          <cell r="AO150">
            <v>-1545.4697056658749</v>
          </cell>
          <cell r="AP150">
            <v>-2189.5578306820817</v>
          </cell>
          <cell r="AQ150">
            <v>-2245.1656492586735</v>
          </cell>
          <cell r="AR150">
            <v>-3472.2069980118058</v>
          </cell>
          <cell r="AS150">
            <v>-4204.2249111667825</v>
          </cell>
          <cell r="AT150">
            <v>-4885.3939689609197</v>
          </cell>
        </row>
        <row r="152">
          <cell r="B152">
            <v>-108</v>
          </cell>
          <cell r="C152">
            <v>-142</v>
          </cell>
          <cell r="D152">
            <v>-79</v>
          </cell>
          <cell r="E152">
            <v>578</v>
          </cell>
          <cell r="F152">
            <v>-65</v>
          </cell>
          <cell r="G152">
            <v>-321</v>
          </cell>
          <cell r="H152">
            <v>-227</v>
          </cell>
          <cell r="I152">
            <v>-403</v>
          </cell>
          <cell r="J152">
            <v>-99</v>
          </cell>
          <cell r="K152">
            <v>-95</v>
          </cell>
          <cell r="L152">
            <v>-156</v>
          </cell>
          <cell r="M152">
            <v>-5</v>
          </cell>
          <cell r="N152">
            <v>-355</v>
          </cell>
          <cell r="O152">
            <v>-124</v>
          </cell>
          <cell r="P152">
            <v>-145</v>
          </cell>
          <cell r="Q152">
            <v>-84</v>
          </cell>
          <cell r="R152">
            <v>-72</v>
          </cell>
          <cell r="S152">
            <v>-425</v>
          </cell>
          <cell r="T152">
            <v>-418</v>
          </cell>
          <cell r="U152">
            <v>-263</v>
          </cell>
          <cell r="V152">
            <v>-317</v>
          </cell>
          <cell r="W152">
            <v>-188</v>
          </cell>
          <cell r="X152">
            <v>-1186</v>
          </cell>
          <cell r="Y152">
            <v>-171.24281249999996</v>
          </cell>
          <cell r="Z152">
            <v>-198.94687500000001</v>
          </cell>
          <cell r="AA152">
            <v>-214.98750000000001</v>
          </cell>
          <cell r="AB152">
            <v>-215.35</v>
          </cell>
          <cell r="AC152">
            <v>-800.52718749999985</v>
          </cell>
          <cell r="AD152">
            <v>-180</v>
          </cell>
          <cell r="AE152">
            <v>-242</v>
          </cell>
          <cell r="AF152">
            <v>-73.972562500000038</v>
          </cell>
          <cell r="AG152">
            <v>-157.31006250000002</v>
          </cell>
          <cell r="AH152">
            <v>-653.28262500000005</v>
          </cell>
          <cell r="AI152">
            <v>-179</v>
          </cell>
          <cell r="AJ152">
            <v>-241</v>
          </cell>
          <cell r="AK152">
            <v>-114</v>
          </cell>
          <cell r="AL152">
            <v>-21</v>
          </cell>
          <cell r="AM152">
            <v>-555</v>
          </cell>
          <cell r="AN152">
            <v>-1021.8499999999999</v>
          </cell>
          <cell r="AO152">
            <v>-1021.8499999999999</v>
          </cell>
          <cell r="AP152">
            <v>-1071.9055119851116</v>
          </cell>
          <cell r="AQ152">
            <v>-1235.82262509</v>
          </cell>
          <cell r="AR152">
            <v>-1563.8761587917998</v>
          </cell>
          <cell r="AS152">
            <v>-1734.9507631676358</v>
          </cell>
          <cell r="AT152">
            <v>-1923.0668596309886</v>
          </cell>
        </row>
        <row r="154">
          <cell r="B154">
            <v>3</v>
          </cell>
          <cell r="C154">
            <v>68</v>
          </cell>
          <cell r="D154">
            <v>146</v>
          </cell>
          <cell r="E154">
            <v>802</v>
          </cell>
          <cell r="F154">
            <v>163</v>
          </cell>
          <cell r="G154">
            <v>186</v>
          </cell>
          <cell r="H154">
            <v>347</v>
          </cell>
          <cell r="I154">
            <v>286</v>
          </cell>
          <cell r="J154">
            <v>64</v>
          </cell>
          <cell r="K154">
            <v>30</v>
          </cell>
          <cell r="L154">
            <v>60</v>
          </cell>
          <cell r="M154">
            <v>109</v>
          </cell>
          <cell r="N154">
            <v>263</v>
          </cell>
          <cell r="O154">
            <v>27</v>
          </cell>
          <cell r="P154">
            <v>26</v>
          </cell>
          <cell r="Q154">
            <v>44</v>
          </cell>
          <cell r="R154">
            <v>54</v>
          </cell>
          <cell r="S154">
            <v>151</v>
          </cell>
          <cell r="T154">
            <v>16</v>
          </cell>
          <cell r="U154">
            <v>93</v>
          </cell>
          <cell r="V154">
            <v>112</v>
          </cell>
          <cell r="W154">
            <v>63</v>
          </cell>
          <cell r="X154">
            <v>284</v>
          </cell>
          <cell r="Y154">
            <v>16.795000000000002</v>
          </cell>
          <cell r="Z154">
            <v>16.795000000000002</v>
          </cell>
          <cell r="AA154">
            <v>16.795000000000002</v>
          </cell>
          <cell r="AB154">
            <v>16.795000000000002</v>
          </cell>
          <cell r="AC154">
            <v>67.180000000000007</v>
          </cell>
          <cell r="AD154">
            <v>22</v>
          </cell>
          <cell r="AE154">
            <v>138</v>
          </cell>
          <cell r="AF154">
            <v>144.85399999999998</v>
          </cell>
          <cell r="AG154">
            <v>61.853999999999999</v>
          </cell>
          <cell r="AH154">
            <v>366.70799999999997</v>
          </cell>
          <cell r="AI154">
            <v>23</v>
          </cell>
          <cell r="AJ154">
            <v>139</v>
          </cell>
          <cell r="AK154">
            <v>119</v>
          </cell>
          <cell r="AL154">
            <v>179</v>
          </cell>
          <cell r="AM154">
            <v>460</v>
          </cell>
          <cell r="AN154">
            <v>107.105</v>
          </cell>
          <cell r="AO154">
            <v>107.105</v>
          </cell>
          <cell r="AP154">
            <v>110.08648801488836</v>
          </cell>
          <cell r="AQ154">
            <v>116.37031491</v>
          </cell>
          <cell r="AR154">
            <v>117.5177212082</v>
          </cell>
          <cell r="AS154">
            <v>118.66807563236399</v>
          </cell>
          <cell r="AT154">
            <v>118.82143714501127</v>
          </cell>
        </row>
        <row r="156">
          <cell r="B156">
            <v>0</v>
          </cell>
          <cell r="C156">
            <v>68</v>
          </cell>
          <cell r="D156">
            <v>134</v>
          </cell>
          <cell r="E156">
            <v>793</v>
          </cell>
          <cell r="F156">
            <v>147</v>
          </cell>
          <cell r="G156">
            <v>84</v>
          </cell>
          <cell r="H156">
            <v>262</v>
          </cell>
          <cell r="I156">
            <v>252</v>
          </cell>
          <cell r="J156">
            <v>58</v>
          </cell>
          <cell r="K156">
            <v>21</v>
          </cell>
          <cell r="L156">
            <v>52</v>
          </cell>
          <cell r="M156">
            <v>47</v>
          </cell>
          <cell r="N156">
            <v>178</v>
          </cell>
          <cell r="O156">
            <v>13</v>
          </cell>
          <cell r="P156">
            <v>23</v>
          </cell>
          <cell r="Q156">
            <v>43</v>
          </cell>
          <cell r="R156">
            <v>52</v>
          </cell>
          <cell r="S156">
            <v>131</v>
          </cell>
          <cell r="T156">
            <v>10</v>
          </cell>
          <cell r="U156">
            <v>71</v>
          </cell>
          <cell r="V156">
            <v>104</v>
          </cell>
          <cell r="W156">
            <v>40</v>
          </cell>
          <cell r="X156">
            <v>225</v>
          </cell>
          <cell r="Y156">
            <v>14.5</v>
          </cell>
          <cell r="Z156">
            <v>14.5</v>
          </cell>
          <cell r="AA156">
            <v>14.5</v>
          </cell>
          <cell r="AB156">
            <v>14.5</v>
          </cell>
          <cell r="AC156">
            <v>58</v>
          </cell>
          <cell r="AD156">
            <v>22</v>
          </cell>
          <cell r="AE156">
            <v>138</v>
          </cell>
          <cell r="AF156">
            <v>115</v>
          </cell>
          <cell r="AG156">
            <v>32</v>
          </cell>
          <cell r="AH156">
            <v>307</v>
          </cell>
          <cell r="AI156">
            <v>22</v>
          </cell>
          <cell r="AJ156">
            <v>138</v>
          </cell>
          <cell r="AK156">
            <v>115</v>
          </cell>
          <cell r="AL156">
            <v>178</v>
          </cell>
          <cell r="AM156">
            <v>453</v>
          </cell>
          <cell r="AN156">
            <v>100</v>
          </cell>
          <cell r="AO156">
            <v>100</v>
          </cell>
          <cell r="AP156">
            <v>102.85359801488836</v>
          </cell>
          <cell r="AQ156">
            <v>109</v>
          </cell>
          <cell r="AR156">
            <v>110</v>
          </cell>
          <cell r="AS156">
            <v>111</v>
          </cell>
          <cell r="AT156">
            <v>111</v>
          </cell>
        </row>
        <row r="157">
          <cell r="B157">
            <v>3</v>
          </cell>
          <cell r="C157">
            <v>0</v>
          </cell>
          <cell r="D157">
            <v>12</v>
          </cell>
          <cell r="E157">
            <v>9</v>
          </cell>
          <cell r="F157">
            <v>16</v>
          </cell>
          <cell r="G157">
            <v>102</v>
          </cell>
          <cell r="H157">
            <v>85</v>
          </cell>
          <cell r="I157">
            <v>34</v>
          </cell>
          <cell r="J157">
            <v>6</v>
          </cell>
          <cell r="K157">
            <v>9</v>
          </cell>
          <cell r="L157">
            <v>8</v>
          </cell>
          <cell r="M157">
            <v>62</v>
          </cell>
          <cell r="N157">
            <v>85</v>
          </cell>
          <cell r="O157">
            <v>14</v>
          </cell>
          <cell r="P157">
            <v>3</v>
          </cell>
          <cell r="Q157">
            <v>1</v>
          </cell>
          <cell r="R157">
            <v>2</v>
          </cell>
          <cell r="S157">
            <v>20</v>
          </cell>
          <cell r="T157">
            <v>6</v>
          </cell>
          <cell r="U157">
            <v>22</v>
          </cell>
          <cell r="V157">
            <v>8</v>
          </cell>
          <cell r="W157">
            <v>23</v>
          </cell>
          <cell r="X157">
            <v>59</v>
          </cell>
          <cell r="Y157">
            <v>2.2949999999999999</v>
          </cell>
          <cell r="Z157">
            <v>2.2949999999999999</v>
          </cell>
          <cell r="AA157">
            <v>2.2949999999999999</v>
          </cell>
          <cell r="AB157">
            <v>2.2949999999999999</v>
          </cell>
          <cell r="AC157">
            <v>9.18</v>
          </cell>
          <cell r="AD157">
            <v>0</v>
          </cell>
          <cell r="AE157">
            <v>0</v>
          </cell>
          <cell r="AF157">
            <v>29.853999999999999</v>
          </cell>
          <cell r="AG157">
            <v>29.853999999999999</v>
          </cell>
          <cell r="AH157">
            <v>59.707999999999998</v>
          </cell>
          <cell r="AI157">
            <v>1</v>
          </cell>
          <cell r="AJ157">
            <v>1</v>
          </cell>
          <cell r="AK157">
            <v>4</v>
          </cell>
          <cell r="AL157">
            <v>1</v>
          </cell>
          <cell r="AM157">
            <v>7</v>
          </cell>
          <cell r="AN157">
            <v>7.1049999999999995</v>
          </cell>
          <cell r="AO157">
            <v>7.1049999999999995</v>
          </cell>
          <cell r="AP157">
            <v>7.2328899999999994</v>
          </cell>
          <cell r="AQ157">
            <v>7.3703149099999985</v>
          </cell>
          <cell r="AR157">
            <v>7.5177212081999985</v>
          </cell>
          <cell r="AS157">
            <v>7.6680756323639985</v>
          </cell>
          <cell r="AT157">
            <v>7.821437145011279</v>
          </cell>
        </row>
        <row r="159">
          <cell r="B159">
            <v>-111</v>
          </cell>
          <cell r="C159">
            <v>-210</v>
          </cell>
          <cell r="D159">
            <v>-225</v>
          </cell>
          <cell r="E159">
            <v>-224</v>
          </cell>
          <cell r="F159">
            <v>-228</v>
          </cell>
          <cell r="G159">
            <v>-507</v>
          </cell>
          <cell r="H159">
            <v>-574</v>
          </cell>
          <cell r="I159">
            <v>-689</v>
          </cell>
          <cell r="J159">
            <v>-163</v>
          </cell>
          <cell r="K159">
            <v>-125</v>
          </cell>
          <cell r="L159">
            <v>-216</v>
          </cell>
          <cell r="M159">
            <v>-114</v>
          </cell>
          <cell r="N159">
            <v>-618</v>
          </cell>
          <cell r="O159">
            <v>-151</v>
          </cell>
          <cell r="P159">
            <v>-171</v>
          </cell>
          <cell r="Q159">
            <v>-128</v>
          </cell>
          <cell r="R159">
            <v>-126</v>
          </cell>
          <cell r="S159">
            <v>-576</v>
          </cell>
          <cell r="T159">
            <v>-434</v>
          </cell>
          <cell r="U159">
            <v>-356</v>
          </cell>
          <cell r="V159">
            <v>-429</v>
          </cell>
          <cell r="W159">
            <v>-251</v>
          </cell>
          <cell r="X159">
            <v>-1470</v>
          </cell>
          <cell r="Y159">
            <v>-188.03781249999997</v>
          </cell>
          <cell r="Z159">
            <v>-215.74187499999999</v>
          </cell>
          <cell r="AA159">
            <v>-231.7825</v>
          </cell>
          <cell r="AB159">
            <v>-232.14500000000001</v>
          </cell>
          <cell r="AC159">
            <v>-867.70718749999992</v>
          </cell>
          <cell r="AD159">
            <v>-202</v>
          </cell>
          <cell r="AE159">
            <v>-380</v>
          </cell>
          <cell r="AF159">
            <v>-218.82656250000002</v>
          </cell>
          <cell r="AG159">
            <v>-219.16406250000003</v>
          </cell>
          <cell r="AH159">
            <v>-1019.990625</v>
          </cell>
          <cell r="AI159">
            <v>-202</v>
          </cell>
          <cell r="AJ159">
            <v>-380</v>
          </cell>
          <cell r="AK159">
            <v>-233</v>
          </cell>
          <cell r="AL159">
            <v>-200</v>
          </cell>
          <cell r="AM159">
            <v>-1015</v>
          </cell>
          <cell r="AN159">
            <v>-1128.9549999999999</v>
          </cell>
          <cell r="AO159">
            <v>-1128.9549999999999</v>
          </cell>
          <cell r="AP159">
            <v>-1181.992</v>
          </cell>
          <cell r="AQ159">
            <v>-1352.1929399999999</v>
          </cell>
          <cell r="AR159">
            <v>-1681.3938799999999</v>
          </cell>
          <cell r="AS159">
            <v>-1853.6188387999998</v>
          </cell>
          <cell r="AT159">
            <v>-2041.8882967759998</v>
          </cell>
        </row>
        <row r="161">
          <cell r="B161">
            <v>0</v>
          </cell>
          <cell r="C161">
            <v>0</v>
          </cell>
          <cell r="D161">
            <v>0</v>
          </cell>
          <cell r="E161">
            <v>0</v>
          </cell>
          <cell r="F161">
            <v>0</v>
          </cell>
          <cell r="G161">
            <v>0</v>
          </cell>
          <cell r="Y161">
            <v>0</v>
          </cell>
          <cell r="Z161">
            <v>0</v>
          </cell>
          <cell r="AA161">
            <v>0</v>
          </cell>
          <cell r="AB161">
            <v>0</v>
          </cell>
          <cell r="AC161">
            <v>0</v>
          </cell>
          <cell r="AD161">
            <v>0</v>
          </cell>
          <cell r="AE161">
            <v>0</v>
          </cell>
          <cell r="AF161">
            <v>0</v>
          </cell>
          <cell r="AG161">
            <v>0</v>
          </cell>
          <cell r="AH161">
            <v>0</v>
          </cell>
          <cell r="AN161">
            <v>0</v>
          </cell>
          <cell r="AO161">
            <v>0</v>
          </cell>
          <cell r="AP161">
            <v>0</v>
          </cell>
          <cell r="AQ161">
            <v>-119</v>
          </cell>
          <cell r="AR161">
            <v>-397</v>
          </cell>
          <cell r="AS161">
            <v>-517</v>
          </cell>
          <cell r="AT161">
            <v>-652</v>
          </cell>
        </row>
        <row r="163">
          <cell r="B163">
            <v>-111</v>
          </cell>
          <cell r="C163">
            <v>-210</v>
          </cell>
          <cell r="D163">
            <v>-225</v>
          </cell>
          <cell r="E163">
            <v>-224</v>
          </cell>
          <cell r="F163">
            <v>-228</v>
          </cell>
          <cell r="G163">
            <v>-507</v>
          </cell>
          <cell r="H163">
            <v>-574</v>
          </cell>
          <cell r="I163">
            <v>-689</v>
          </cell>
          <cell r="J163">
            <v>-163</v>
          </cell>
          <cell r="K163">
            <v>-125</v>
          </cell>
          <cell r="L163">
            <v>-216</v>
          </cell>
          <cell r="M163">
            <v>-114</v>
          </cell>
          <cell r="N163">
            <v>-618</v>
          </cell>
          <cell r="O163">
            <v>-151</v>
          </cell>
          <cell r="P163">
            <v>-171</v>
          </cell>
          <cell r="Q163">
            <v>-128</v>
          </cell>
          <cell r="R163">
            <v>-126</v>
          </cell>
          <cell r="S163">
            <v>-576</v>
          </cell>
          <cell r="T163">
            <v>-434</v>
          </cell>
          <cell r="U163">
            <v>-356</v>
          </cell>
          <cell r="V163">
            <v>-429</v>
          </cell>
          <cell r="W163">
            <v>-251</v>
          </cell>
          <cell r="X163">
            <v>-1470</v>
          </cell>
          <cell r="Y163">
            <v>-188.03781249999997</v>
          </cell>
          <cell r="Z163">
            <v>-215.74187499999999</v>
          </cell>
          <cell r="AA163">
            <v>-231.7825</v>
          </cell>
          <cell r="AB163">
            <v>-232.14500000000001</v>
          </cell>
          <cell r="AC163">
            <v>-867.70718749999992</v>
          </cell>
          <cell r="AD163">
            <v>-202</v>
          </cell>
          <cell r="AE163">
            <v>-380</v>
          </cell>
          <cell r="AF163">
            <v>-218.82656250000002</v>
          </cell>
          <cell r="AG163">
            <v>-219.16406250000003</v>
          </cell>
          <cell r="AH163">
            <v>-1019.990625</v>
          </cell>
          <cell r="AI163">
            <v>-202</v>
          </cell>
          <cell r="AJ163">
            <v>-380</v>
          </cell>
          <cell r="AK163">
            <v>-233</v>
          </cell>
          <cell r="AL163">
            <v>-200</v>
          </cell>
          <cell r="AM163">
            <v>-1015</v>
          </cell>
          <cell r="AN163">
            <v>-1128.9549999999999</v>
          </cell>
          <cell r="AO163">
            <v>-1128.9549999999999</v>
          </cell>
          <cell r="AP163">
            <v>-1181.992</v>
          </cell>
          <cell r="AQ163">
            <v>-1233.1929399999999</v>
          </cell>
          <cell r="AR163">
            <v>-1284.3938799999999</v>
          </cell>
          <cell r="AS163">
            <v>-1336.6188387999998</v>
          </cell>
          <cell r="AT163">
            <v>-1389.8882967759998</v>
          </cell>
        </row>
        <row r="164">
          <cell r="I164">
            <v>-175</v>
          </cell>
          <cell r="J164">
            <v>-73</v>
          </cell>
          <cell r="K164">
            <v>-25</v>
          </cell>
          <cell r="L164">
            <v>-67</v>
          </cell>
          <cell r="M164">
            <v>-24</v>
          </cell>
          <cell r="N164">
            <v>-189</v>
          </cell>
          <cell r="O164">
            <v>-40</v>
          </cell>
          <cell r="P164">
            <v>-66</v>
          </cell>
          <cell r="Q164">
            <v>-18</v>
          </cell>
          <cell r="R164">
            <v>-11</v>
          </cell>
          <cell r="S164">
            <v>-135</v>
          </cell>
          <cell r="T164">
            <v>-299</v>
          </cell>
          <cell r="U164">
            <v>-209</v>
          </cell>
          <cell r="V164">
            <v>-268</v>
          </cell>
          <cell r="W164">
            <v>-91</v>
          </cell>
          <cell r="X164">
            <v>-867</v>
          </cell>
          <cell r="Y164">
            <v>-38.037812500000001</v>
          </cell>
          <cell r="Z164">
            <v>-65.741874999999993</v>
          </cell>
          <cell r="AA164">
            <v>-81.782499999999999</v>
          </cell>
          <cell r="AB164">
            <v>-82.144999999999996</v>
          </cell>
          <cell r="AC164">
            <v>-267.70718749999992</v>
          </cell>
          <cell r="AD164">
            <v>-24</v>
          </cell>
          <cell r="AE164">
            <v>-212</v>
          </cell>
          <cell r="AF164">
            <v>-48.826562500000023</v>
          </cell>
          <cell r="AG164">
            <v>-49.164062500000028</v>
          </cell>
          <cell r="AH164">
            <v>-333.99062500000002</v>
          </cell>
          <cell r="AI164">
            <v>-24</v>
          </cell>
          <cell r="AJ164">
            <v>-212</v>
          </cell>
          <cell r="AK164">
            <v>-73</v>
          </cell>
          <cell r="AL164">
            <v>-50</v>
          </cell>
          <cell r="AM164">
            <v>-359</v>
          </cell>
        </row>
        <row r="165">
          <cell r="I165">
            <v>-514</v>
          </cell>
          <cell r="J165">
            <v>-90</v>
          </cell>
          <cell r="K165">
            <v>-100</v>
          </cell>
          <cell r="L165">
            <v>-149</v>
          </cell>
          <cell r="M165">
            <v>-90</v>
          </cell>
          <cell r="N165">
            <v>-429</v>
          </cell>
          <cell r="O165">
            <v>-111</v>
          </cell>
          <cell r="P165">
            <v>-105</v>
          </cell>
          <cell r="Q165">
            <v>-110</v>
          </cell>
          <cell r="R165">
            <v>-115</v>
          </cell>
          <cell r="S165">
            <v>-441</v>
          </cell>
          <cell r="T165">
            <v>-135</v>
          </cell>
          <cell r="U165">
            <v>-147</v>
          </cell>
          <cell r="V165">
            <v>-161</v>
          </cell>
          <cell r="W165">
            <v>-160</v>
          </cell>
          <cell r="X165">
            <v>-603</v>
          </cell>
          <cell r="Y165">
            <v>-150</v>
          </cell>
          <cell r="Z165">
            <v>-150</v>
          </cell>
          <cell r="AA165">
            <v>-150</v>
          </cell>
          <cell r="AB165">
            <v>-150</v>
          </cell>
          <cell r="AC165">
            <v>-600</v>
          </cell>
          <cell r="AD165">
            <v>-178</v>
          </cell>
          <cell r="AE165">
            <v>-168</v>
          </cell>
          <cell r="AF165">
            <v>-170</v>
          </cell>
          <cell r="AG165">
            <v>-170</v>
          </cell>
          <cell r="AH165">
            <v>-686</v>
          </cell>
          <cell r="AI165">
            <v>-178</v>
          </cell>
          <cell r="AJ165">
            <v>-168</v>
          </cell>
          <cell r="AK165">
            <v>-160</v>
          </cell>
          <cell r="AL165">
            <v>-150</v>
          </cell>
          <cell r="AM165">
            <v>-656</v>
          </cell>
        </row>
        <row r="167">
          <cell r="B167">
            <v>-2966</v>
          </cell>
          <cell r="C167">
            <v>-1621</v>
          </cell>
          <cell r="D167">
            <v>-2289</v>
          </cell>
          <cell r="E167">
            <v>-1343</v>
          </cell>
          <cell r="F167">
            <v>-527</v>
          </cell>
          <cell r="G167">
            <v>-1424</v>
          </cell>
          <cell r="H167">
            <v>-1486.7672000000002</v>
          </cell>
          <cell r="I167">
            <v>-1492</v>
          </cell>
          <cell r="J167">
            <v>-204.41399999999999</v>
          </cell>
          <cell r="K167">
            <v>-561.31200000000001</v>
          </cell>
          <cell r="L167">
            <v>-149.79999999999995</v>
          </cell>
          <cell r="M167">
            <v>-640.26700000000005</v>
          </cell>
          <cell r="N167">
            <v>-1555.7930000000001</v>
          </cell>
          <cell r="O167">
            <v>-102.83999999999997</v>
          </cell>
          <cell r="P167">
            <v>-574.95000000000005</v>
          </cell>
          <cell r="Q167">
            <v>-105</v>
          </cell>
          <cell r="R167">
            <v>-517</v>
          </cell>
          <cell r="S167">
            <v>-1299.73</v>
          </cell>
          <cell r="T167">
            <v>-63.629999999999995</v>
          </cell>
          <cell r="U167">
            <v>-356.46000000000004</v>
          </cell>
          <cell r="V167">
            <v>-118.37</v>
          </cell>
          <cell r="W167">
            <v>-281.84000000000003</v>
          </cell>
          <cell r="X167">
            <v>-820.30000000000018</v>
          </cell>
          <cell r="Y167">
            <v>9.2245837923267118</v>
          </cell>
          <cell r="Z167">
            <v>-89.204489913923339</v>
          </cell>
          <cell r="AA167">
            <v>19.840481918941236</v>
          </cell>
          <cell r="AB167">
            <v>-161.88345189118741</v>
          </cell>
          <cell r="AC167">
            <v>-222.02287609384257</v>
          </cell>
          <cell r="AD167">
            <v>-100</v>
          </cell>
          <cell r="AE167">
            <v>-233</v>
          </cell>
          <cell r="AF167">
            <v>-74.074134709031455</v>
          </cell>
          <cell r="AG167">
            <v>-110.84062176827831</v>
          </cell>
          <cell r="AH167">
            <v>-517.91475647730977</v>
          </cell>
          <cell r="AI167">
            <v>-158.08999999999992</v>
          </cell>
          <cell r="AJ167">
            <v>-266.26</v>
          </cell>
          <cell r="AK167">
            <v>-210.31999999999994</v>
          </cell>
          <cell r="AL167">
            <v>-279</v>
          </cell>
          <cell r="AM167">
            <v>-913.67000000000007</v>
          </cell>
          <cell r="AN167">
            <v>-523.65970566587498</v>
          </cell>
          <cell r="AO167">
            <v>-523.61970566587502</v>
          </cell>
          <cell r="AP167">
            <v>-1117.6523186969698</v>
          </cell>
          <cell r="AQ167">
            <v>-1009.3430241686738</v>
          </cell>
          <cell r="AR167">
            <v>-1908.3308392200061</v>
          </cell>
          <cell r="AS167">
            <v>-2469.2741479991464</v>
          </cell>
          <cell r="AT167">
            <v>-2962.3271093299313</v>
          </cell>
        </row>
        <row r="169">
          <cell r="B169">
            <v>1452</v>
          </cell>
          <cell r="C169">
            <v>1585</v>
          </cell>
          <cell r="D169">
            <v>1436</v>
          </cell>
          <cell r="E169">
            <v>1855</v>
          </cell>
          <cell r="F169">
            <v>2003</v>
          </cell>
          <cell r="G169">
            <v>1419</v>
          </cell>
          <cell r="H169">
            <v>1250</v>
          </cell>
          <cell r="I169">
            <v>1338</v>
          </cell>
          <cell r="J169">
            <v>418</v>
          </cell>
          <cell r="K169">
            <v>410</v>
          </cell>
          <cell r="L169">
            <v>414</v>
          </cell>
          <cell r="M169">
            <v>358</v>
          </cell>
          <cell r="N169">
            <v>1600</v>
          </cell>
          <cell r="O169">
            <v>336</v>
          </cell>
          <cell r="P169">
            <v>331</v>
          </cell>
          <cell r="Q169">
            <v>358</v>
          </cell>
          <cell r="R169">
            <v>378</v>
          </cell>
          <cell r="S169">
            <v>1403.06</v>
          </cell>
          <cell r="T169">
            <v>380</v>
          </cell>
          <cell r="U169">
            <v>414</v>
          </cell>
          <cell r="V169">
            <v>448</v>
          </cell>
          <cell r="W169">
            <v>493</v>
          </cell>
          <cell r="X169">
            <v>1735</v>
          </cell>
          <cell r="Y169">
            <v>549.56187499999999</v>
          </cell>
          <cell r="Z169">
            <v>554.61628984375</v>
          </cell>
          <cell r="AA169">
            <v>572.27950188661453</v>
          </cell>
          <cell r="AB169">
            <v>577.66729932648582</v>
          </cell>
          <cell r="AC169">
            <v>2254.1249660568506</v>
          </cell>
          <cell r="AD169">
            <v>448</v>
          </cell>
          <cell r="AE169">
            <v>389</v>
          </cell>
          <cell r="AF169">
            <v>525.45500000000004</v>
          </cell>
          <cell r="AG169">
            <v>653.76148169075316</v>
          </cell>
          <cell r="AH169">
            <v>2016.216481690753</v>
          </cell>
          <cell r="AI169">
            <v>413</v>
          </cell>
          <cell r="AJ169">
            <v>382</v>
          </cell>
          <cell r="AK169">
            <v>368</v>
          </cell>
          <cell r="AL169">
            <v>402</v>
          </cell>
          <cell r="AM169">
            <v>1565</v>
          </cell>
          <cell r="AN169">
            <v>1949.5049999999999</v>
          </cell>
          <cell r="AO169">
            <v>1949.5049999999999</v>
          </cell>
          <cell r="AP169">
            <v>2113.0017709451304</v>
          </cell>
          <cell r="AQ169">
            <v>2212.9950515013488</v>
          </cell>
          <cell r="AR169">
            <v>1580.5378367957464</v>
          </cell>
          <cell r="AS169">
            <v>1431.0051695179225</v>
          </cell>
          <cell r="AT169">
            <v>1225.0150865275559</v>
          </cell>
        </row>
        <row r="171">
          <cell r="B171">
            <v>526</v>
          </cell>
          <cell r="C171">
            <v>473</v>
          </cell>
          <cell r="D171">
            <v>294</v>
          </cell>
          <cell r="E171">
            <v>499</v>
          </cell>
          <cell r="F171">
            <v>970</v>
          </cell>
          <cell r="G171">
            <v>718</v>
          </cell>
          <cell r="H171">
            <v>590</v>
          </cell>
          <cell r="I171">
            <v>530</v>
          </cell>
          <cell r="J171">
            <v>194</v>
          </cell>
          <cell r="K171">
            <v>194</v>
          </cell>
          <cell r="L171">
            <v>196</v>
          </cell>
          <cell r="M171">
            <v>146</v>
          </cell>
          <cell r="N171">
            <v>730</v>
          </cell>
          <cell r="O171">
            <v>140</v>
          </cell>
          <cell r="P171">
            <v>127</v>
          </cell>
          <cell r="Q171">
            <v>152</v>
          </cell>
          <cell r="R171">
            <v>177</v>
          </cell>
          <cell r="S171">
            <v>596</v>
          </cell>
          <cell r="T171">
            <v>178</v>
          </cell>
          <cell r="U171">
            <v>199</v>
          </cell>
          <cell r="V171">
            <v>221</v>
          </cell>
          <cell r="W171">
            <v>260</v>
          </cell>
          <cell r="X171">
            <v>858</v>
          </cell>
          <cell r="Y171">
            <v>241.015625</v>
          </cell>
          <cell r="Z171">
            <v>213.43453124999999</v>
          </cell>
          <cell r="AA171">
            <v>223.60725490487499</v>
          </cell>
          <cell r="AB171">
            <v>230.64942908374999</v>
          </cell>
          <cell r="AC171">
            <v>908.70684023862498</v>
          </cell>
          <cell r="AD171">
            <v>201</v>
          </cell>
          <cell r="AE171">
            <v>135</v>
          </cell>
          <cell r="AF171">
            <v>208.135625</v>
          </cell>
          <cell r="AG171">
            <v>168.37666489387811</v>
          </cell>
          <cell r="AH171">
            <v>712.51228989387801</v>
          </cell>
          <cell r="AI171">
            <v>202</v>
          </cell>
          <cell r="AJ171">
            <v>163</v>
          </cell>
          <cell r="AK171">
            <v>148</v>
          </cell>
          <cell r="AL171">
            <v>177</v>
          </cell>
          <cell r="AM171">
            <v>690</v>
          </cell>
          <cell r="AN171">
            <v>599.09699999999998</v>
          </cell>
          <cell r="AO171">
            <v>599.09699999999998</v>
          </cell>
          <cell r="AP171">
            <v>557.88900000000001</v>
          </cell>
          <cell r="AQ171">
            <v>454.71599999999995</v>
          </cell>
          <cell r="AR171">
            <v>338.55860516917767</v>
          </cell>
          <cell r="AS171">
            <v>214.40822870496754</v>
          </cell>
          <cell r="AT171">
            <v>-53.323357453904791</v>
          </cell>
        </row>
        <row r="172">
          <cell r="B172">
            <v>321</v>
          </cell>
          <cell r="C172">
            <v>285</v>
          </cell>
          <cell r="D172">
            <v>215</v>
          </cell>
          <cell r="E172">
            <v>372</v>
          </cell>
          <cell r="F172">
            <v>579</v>
          </cell>
          <cell r="G172">
            <v>506</v>
          </cell>
          <cell r="H172">
            <v>388</v>
          </cell>
          <cell r="I172">
            <v>350</v>
          </cell>
          <cell r="J172">
            <v>122</v>
          </cell>
          <cell r="K172">
            <v>144</v>
          </cell>
          <cell r="L172">
            <v>139</v>
          </cell>
          <cell r="M172">
            <v>108</v>
          </cell>
          <cell r="N172">
            <v>513</v>
          </cell>
          <cell r="O172">
            <v>95</v>
          </cell>
          <cell r="P172">
            <v>94</v>
          </cell>
          <cell r="Q172">
            <v>103</v>
          </cell>
          <cell r="R172">
            <v>144</v>
          </cell>
          <cell r="S172">
            <v>436</v>
          </cell>
          <cell r="T172">
            <v>147</v>
          </cell>
          <cell r="U172">
            <v>168</v>
          </cell>
          <cell r="V172">
            <v>159</v>
          </cell>
          <cell r="W172">
            <v>229</v>
          </cell>
          <cell r="X172">
            <v>703</v>
          </cell>
          <cell r="Y172">
            <v>216.109375</v>
          </cell>
          <cell r="Z172">
            <v>184.015625</v>
          </cell>
          <cell r="AA172">
            <v>183.407098654875</v>
          </cell>
          <cell r="AB172">
            <v>191.33989783375</v>
          </cell>
          <cell r="AC172">
            <v>774.87199648862497</v>
          </cell>
          <cell r="AD172">
            <v>163</v>
          </cell>
          <cell r="AE172">
            <v>110</v>
          </cell>
          <cell r="AF172">
            <v>171.17750000000001</v>
          </cell>
          <cell r="AG172">
            <v>136.17666489387813</v>
          </cell>
          <cell r="AH172">
            <v>580.35416489387808</v>
          </cell>
          <cell r="AI172">
            <v>163</v>
          </cell>
          <cell r="AJ172">
            <v>110</v>
          </cell>
          <cell r="AK172">
            <v>105</v>
          </cell>
          <cell r="AL172">
            <v>114</v>
          </cell>
          <cell r="AM172">
            <v>492</v>
          </cell>
          <cell r="AN172">
            <v>586.70399999999995</v>
          </cell>
          <cell r="AO172">
            <v>586.70399999999995</v>
          </cell>
          <cell r="AP172">
            <v>545.49599999999998</v>
          </cell>
          <cell r="AQ172">
            <v>442.32299999999998</v>
          </cell>
          <cell r="AR172">
            <v>309.69260516917768</v>
          </cell>
          <cell r="AS172">
            <v>168.04922870496756</v>
          </cell>
          <cell r="AT172">
            <v>-118.24635745390479</v>
          </cell>
        </row>
        <row r="173">
          <cell r="B173">
            <v>205</v>
          </cell>
          <cell r="C173">
            <v>188</v>
          </cell>
          <cell r="D173">
            <v>79</v>
          </cell>
          <cell r="E173">
            <v>127</v>
          </cell>
          <cell r="F173">
            <v>391</v>
          </cell>
          <cell r="G173">
            <v>212</v>
          </cell>
          <cell r="H173">
            <v>202</v>
          </cell>
          <cell r="I173">
            <v>180</v>
          </cell>
          <cell r="J173">
            <v>72</v>
          </cell>
          <cell r="K173">
            <v>50</v>
          </cell>
          <cell r="L173">
            <v>57</v>
          </cell>
          <cell r="M173">
            <v>38</v>
          </cell>
          <cell r="N173">
            <v>217</v>
          </cell>
          <cell r="O173">
            <v>45</v>
          </cell>
          <cell r="P173">
            <v>33</v>
          </cell>
          <cell r="Q173">
            <v>49</v>
          </cell>
          <cell r="R173">
            <v>33</v>
          </cell>
          <cell r="S173">
            <v>160</v>
          </cell>
          <cell r="T173">
            <v>31</v>
          </cell>
          <cell r="U173">
            <v>31</v>
          </cell>
          <cell r="V173">
            <v>62</v>
          </cell>
          <cell r="W173">
            <v>31</v>
          </cell>
          <cell r="X173">
            <v>155</v>
          </cell>
          <cell r="Y173">
            <v>24.90625</v>
          </cell>
          <cell r="Z173">
            <v>29.418906249999999</v>
          </cell>
          <cell r="AA173">
            <v>40.200156249999999</v>
          </cell>
          <cell r="AB173">
            <v>39.309531249999999</v>
          </cell>
          <cell r="AC173">
            <v>133.83484375</v>
          </cell>
          <cell r="AD173">
            <v>38</v>
          </cell>
          <cell r="AE173">
            <v>25</v>
          </cell>
          <cell r="AF173">
            <v>36.958125000000003</v>
          </cell>
          <cell r="AG173">
            <v>32.200000000000003</v>
          </cell>
          <cell r="AH173">
            <v>132.15812499999998</v>
          </cell>
          <cell r="AI173">
            <v>39</v>
          </cell>
          <cell r="AJ173">
            <v>53</v>
          </cell>
          <cell r="AK173">
            <v>43</v>
          </cell>
          <cell r="AL173">
            <v>63</v>
          </cell>
          <cell r="AM173">
            <v>198</v>
          </cell>
          <cell r="AN173">
            <v>12.392999999999999</v>
          </cell>
          <cell r="AO173">
            <v>12.392999999999999</v>
          </cell>
          <cell r="AP173">
            <v>12.392999999999999</v>
          </cell>
          <cell r="AQ173">
            <v>12.392999999999999</v>
          </cell>
          <cell r="AR173">
            <v>28.866</v>
          </cell>
          <cell r="AS173">
            <v>46.358999999999995</v>
          </cell>
          <cell r="AT173">
            <v>64.923000000000002</v>
          </cell>
        </row>
        <row r="175">
          <cell r="B175">
            <v>23</v>
          </cell>
          <cell r="C175">
            <v>18</v>
          </cell>
          <cell r="D175">
            <v>36</v>
          </cell>
          <cell r="E175">
            <v>22</v>
          </cell>
          <cell r="F175">
            <v>42</v>
          </cell>
          <cell r="G175">
            <v>20</v>
          </cell>
          <cell r="H175">
            <v>8</v>
          </cell>
          <cell r="I175">
            <v>15</v>
          </cell>
          <cell r="J175">
            <v>7</v>
          </cell>
          <cell r="K175">
            <v>7</v>
          </cell>
          <cell r="L175">
            <v>11</v>
          </cell>
          <cell r="M175">
            <v>6</v>
          </cell>
          <cell r="N175">
            <v>31</v>
          </cell>
          <cell r="O175">
            <v>5</v>
          </cell>
          <cell r="P175">
            <v>7</v>
          </cell>
          <cell r="Q175">
            <v>5</v>
          </cell>
          <cell r="R175">
            <v>6</v>
          </cell>
          <cell r="S175">
            <v>23.06</v>
          </cell>
          <cell r="T175">
            <v>15</v>
          </cell>
          <cell r="U175">
            <v>10</v>
          </cell>
          <cell r="V175">
            <v>10</v>
          </cell>
          <cell r="W175">
            <v>11</v>
          </cell>
          <cell r="X175">
            <v>46</v>
          </cell>
          <cell r="Y175">
            <v>13.25</v>
          </cell>
          <cell r="Z175">
            <v>13.25</v>
          </cell>
          <cell r="AA175">
            <v>13.25</v>
          </cell>
          <cell r="AB175">
            <v>13.25</v>
          </cell>
          <cell r="AC175">
            <v>53</v>
          </cell>
          <cell r="AD175">
            <v>4</v>
          </cell>
          <cell r="AE175">
            <v>7</v>
          </cell>
          <cell r="AF175">
            <v>9</v>
          </cell>
          <cell r="AG175">
            <v>149</v>
          </cell>
          <cell r="AH175">
            <v>169</v>
          </cell>
          <cell r="AI175">
            <v>4</v>
          </cell>
          <cell r="AJ175">
            <v>7</v>
          </cell>
          <cell r="AK175">
            <v>9</v>
          </cell>
          <cell r="AL175">
            <v>3</v>
          </cell>
          <cell r="AM175">
            <v>23</v>
          </cell>
          <cell r="AN175">
            <v>24</v>
          </cell>
          <cell r="AO175">
            <v>24</v>
          </cell>
          <cell r="AP175">
            <v>24.684863523573206</v>
          </cell>
          <cell r="AQ175">
            <v>57</v>
          </cell>
          <cell r="AR175">
            <v>58</v>
          </cell>
          <cell r="AS175">
            <v>59</v>
          </cell>
          <cell r="AT175">
            <v>59</v>
          </cell>
        </row>
        <row r="177">
          <cell r="B177">
            <v>903</v>
          </cell>
          <cell r="C177">
            <v>1094</v>
          </cell>
          <cell r="D177">
            <v>1106</v>
          </cell>
          <cell r="E177">
            <v>1334</v>
          </cell>
          <cell r="F177">
            <v>991</v>
          </cell>
          <cell r="G177">
            <v>681</v>
          </cell>
          <cell r="H177">
            <v>652</v>
          </cell>
          <cell r="I177">
            <v>793</v>
          </cell>
          <cell r="J177">
            <v>217</v>
          </cell>
          <cell r="K177">
            <v>209</v>
          </cell>
          <cell r="L177">
            <v>207</v>
          </cell>
          <cell r="M177">
            <v>206</v>
          </cell>
          <cell r="N177">
            <v>839</v>
          </cell>
          <cell r="O177">
            <v>191</v>
          </cell>
          <cell r="P177">
            <v>197</v>
          </cell>
          <cell r="Q177">
            <v>201</v>
          </cell>
          <cell r="R177">
            <v>195</v>
          </cell>
          <cell r="S177">
            <v>784</v>
          </cell>
          <cell r="T177">
            <v>187</v>
          </cell>
          <cell r="U177">
            <v>205</v>
          </cell>
          <cell r="V177">
            <v>217</v>
          </cell>
          <cell r="W177">
            <v>222</v>
          </cell>
          <cell r="X177">
            <v>831</v>
          </cell>
          <cell r="Y177">
            <v>295.29624999999999</v>
          </cell>
          <cell r="Z177">
            <v>327.93175859375003</v>
          </cell>
          <cell r="AA177">
            <v>335.42224698173959</v>
          </cell>
          <cell r="AB177">
            <v>333.76787024273585</v>
          </cell>
          <cell r="AC177">
            <v>1292.4181258182255</v>
          </cell>
          <cell r="AD177">
            <v>243</v>
          </cell>
          <cell r="AE177">
            <v>247</v>
          </cell>
          <cell r="AF177">
            <v>308.31937500000004</v>
          </cell>
          <cell r="AG177">
            <v>336.38481679687504</v>
          </cell>
          <cell r="AH177">
            <v>1134.704191796875</v>
          </cell>
          <cell r="AI177">
            <v>207</v>
          </cell>
          <cell r="AJ177">
            <v>212</v>
          </cell>
          <cell r="AK177">
            <v>211</v>
          </cell>
          <cell r="AL177">
            <v>222</v>
          </cell>
          <cell r="AM177">
            <v>852</v>
          </cell>
          <cell r="AN177">
            <v>1326.4079999999999</v>
          </cell>
          <cell r="AO177">
            <v>1326.4079999999999</v>
          </cell>
          <cell r="AP177">
            <v>1530.4279074215574</v>
          </cell>
          <cell r="AQ177">
            <v>1701.2790515013487</v>
          </cell>
          <cell r="AR177">
            <v>1183.9792316265687</v>
          </cell>
          <cell r="AS177">
            <v>1157.5969408129549</v>
          </cell>
          <cell r="AT177">
            <v>1219.3384439814606</v>
          </cell>
        </row>
        <row r="178">
          <cell r="B178">
            <v>11</v>
          </cell>
          <cell r="C178">
            <v>11</v>
          </cell>
          <cell r="D178">
            <v>16</v>
          </cell>
          <cell r="E178">
            <v>43</v>
          </cell>
          <cell r="F178">
            <v>41</v>
          </cell>
          <cell r="G178">
            <v>26</v>
          </cell>
          <cell r="H178">
            <v>132</v>
          </cell>
          <cell r="I178">
            <v>39</v>
          </cell>
          <cell r="J178">
            <v>3</v>
          </cell>
          <cell r="K178">
            <v>3</v>
          </cell>
          <cell r="L178">
            <v>3</v>
          </cell>
          <cell r="M178">
            <v>1</v>
          </cell>
          <cell r="N178">
            <v>10</v>
          </cell>
          <cell r="O178">
            <v>1</v>
          </cell>
          <cell r="P178">
            <v>2</v>
          </cell>
          <cell r="Q178">
            <v>0</v>
          </cell>
          <cell r="R178">
            <v>0</v>
          </cell>
          <cell r="S178">
            <v>3</v>
          </cell>
          <cell r="T178">
            <v>3</v>
          </cell>
          <cell r="U178">
            <v>8</v>
          </cell>
          <cell r="V178">
            <v>16</v>
          </cell>
          <cell r="W178">
            <v>14</v>
          </cell>
          <cell r="X178">
            <v>41</v>
          </cell>
          <cell r="Y178">
            <v>2</v>
          </cell>
          <cell r="Z178">
            <v>2</v>
          </cell>
          <cell r="AA178">
            <v>3</v>
          </cell>
          <cell r="AB178">
            <v>3</v>
          </cell>
          <cell r="AC178">
            <v>10</v>
          </cell>
          <cell r="AD178">
            <v>2</v>
          </cell>
          <cell r="AE178">
            <v>0</v>
          </cell>
          <cell r="AF178">
            <v>3</v>
          </cell>
          <cell r="AG178">
            <v>3</v>
          </cell>
          <cell r="AH178">
            <v>8</v>
          </cell>
          <cell r="AI178">
            <v>3</v>
          </cell>
          <cell r="AJ178">
            <v>3</v>
          </cell>
          <cell r="AK178">
            <v>2</v>
          </cell>
          <cell r="AL178">
            <v>6</v>
          </cell>
          <cell r="AM178">
            <v>14</v>
          </cell>
          <cell r="AN178">
            <v>14</v>
          </cell>
          <cell r="AO178">
            <v>14</v>
          </cell>
          <cell r="AP178">
            <v>15</v>
          </cell>
          <cell r="AQ178">
            <v>17</v>
          </cell>
          <cell r="AR178">
            <v>20</v>
          </cell>
          <cell r="AS178">
            <v>20</v>
          </cell>
          <cell r="AT178">
            <v>20</v>
          </cell>
        </row>
        <row r="179">
          <cell r="B179">
            <v>892</v>
          </cell>
          <cell r="C179">
            <v>1083</v>
          </cell>
          <cell r="D179">
            <v>1090</v>
          </cell>
          <cell r="E179">
            <v>1291</v>
          </cell>
          <cell r="F179">
            <v>950</v>
          </cell>
          <cell r="G179">
            <v>655</v>
          </cell>
          <cell r="H179">
            <v>520</v>
          </cell>
          <cell r="I179">
            <v>754</v>
          </cell>
          <cell r="J179">
            <v>214</v>
          </cell>
          <cell r="K179">
            <v>206</v>
          </cell>
          <cell r="L179">
            <v>204</v>
          </cell>
          <cell r="M179">
            <v>205</v>
          </cell>
          <cell r="N179">
            <v>829</v>
          </cell>
          <cell r="O179">
            <v>190</v>
          </cell>
          <cell r="P179">
            <v>195</v>
          </cell>
          <cell r="Q179">
            <v>201</v>
          </cell>
          <cell r="R179">
            <v>195</v>
          </cell>
          <cell r="S179">
            <v>781</v>
          </cell>
          <cell r="T179">
            <v>184</v>
          </cell>
          <cell r="U179">
            <v>197</v>
          </cell>
          <cell r="V179">
            <v>201</v>
          </cell>
          <cell r="W179">
            <v>208</v>
          </cell>
          <cell r="X179">
            <v>790</v>
          </cell>
          <cell r="Y179">
            <v>293.29624999999999</v>
          </cell>
          <cell r="Z179">
            <v>325.93175859375003</v>
          </cell>
          <cell r="AA179">
            <v>332.42224698173959</v>
          </cell>
          <cell r="AB179">
            <v>330.76787024273585</v>
          </cell>
          <cell r="AC179">
            <v>1282.4181258182255</v>
          </cell>
          <cell r="AD179">
            <v>241</v>
          </cell>
          <cell r="AE179">
            <v>247</v>
          </cell>
          <cell r="AF179">
            <v>305.31937500000004</v>
          </cell>
          <cell r="AG179">
            <v>333.38481679687504</v>
          </cell>
          <cell r="AH179">
            <v>1126.704191796875</v>
          </cell>
          <cell r="AI179">
            <v>204</v>
          </cell>
          <cell r="AJ179">
            <v>209</v>
          </cell>
          <cell r="AK179">
            <v>209</v>
          </cell>
          <cell r="AL179">
            <v>216</v>
          </cell>
          <cell r="AM179">
            <v>838</v>
          </cell>
          <cell r="AN179">
            <v>1312.4079999999999</v>
          </cell>
          <cell r="AO179">
            <v>1312.4079999999999</v>
          </cell>
          <cell r="AP179">
            <v>1515.4279074215574</v>
          </cell>
          <cell r="AQ179">
            <v>1684.2790515013487</v>
          </cell>
          <cell r="AR179">
            <v>1163.9792316265687</v>
          </cell>
          <cell r="AS179">
            <v>1137.5969408129549</v>
          </cell>
          <cell r="AT179">
            <v>1199.3384439814606</v>
          </cell>
        </row>
        <row r="181">
          <cell r="B181">
            <v>4418</v>
          </cell>
          <cell r="C181">
            <v>3206</v>
          </cell>
          <cell r="D181">
            <v>3725</v>
          </cell>
          <cell r="E181">
            <v>3198</v>
          </cell>
          <cell r="F181">
            <v>2530</v>
          </cell>
          <cell r="G181">
            <v>2843</v>
          </cell>
          <cell r="H181">
            <v>2736.7672000000002</v>
          </cell>
          <cell r="I181">
            <v>2830</v>
          </cell>
          <cell r="J181">
            <v>622.41399999999999</v>
          </cell>
          <cell r="K181">
            <v>971.31200000000001</v>
          </cell>
          <cell r="L181">
            <v>563.79999999999995</v>
          </cell>
          <cell r="M181">
            <v>998.26700000000005</v>
          </cell>
          <cell r="N181">
            <v>3155.7930000000001</v>
          </cell>
          <cell r="O181">
            <v>438.84</v>
          </cell>
          <cell r="P181">
            <v>905.95</v>
          </cell>
          <cell r="Q181">
            <v>463</v>
          </cell>
          <cell r="R181">
            <v>895</v>
          </cell>
          <cell r="S181">
            <v>2702.79</v>
          </cell>
          <cell r="T181">
            <v>443.63</v>
          </cell>
          <cell r="U181">
            <v>770.46</v>
          </cell>
          <cell r="V181">
            <v>566.37</v>
          </cell>
          <cell r="W181">
            <v>774.84</v>
          </cell>
          <cell r="X181">
            <v>2555.3000000000002</v>
          </cell>
          <cell r="Y181">
            <v>540.33729120767327</v>
          </cell>
          <cell r="Z181">
            <v>643.82077975767334</v>
          </cell>
          <cell r="AA181">
            <v>552.43901996767329</v>
          </cell>
          <cell r="AB181">
            <v>739.55075121767322</v>
          </cell>
          <cell r="AC181">
            <v>2476.1478421506931</v>
          </cell>
          <cell r="AD181">
            <v>548</v>
          </cell>
          <cell r="AE181">
            <v>622</v>
          </cell>
          <cell r="AF181">
            <v>599.5291347090315</v>
          </cell>
          <cell r="AG181">
            <v>764.60210345903147</v>
          </cell>
          <cell r="AH181">
            <v>2534.1312381680627</v>
          </cell>
          <cell r="AI181">
            <v>571.08999999999992</v>
          </cell>
          <cell r="AJ181">
            <v>648.26</v>
          </cell>
          <cell r="AK181">
            <v>578.31999999999994</v>
          </cell>
          <cell r="AL181">
            <v>681</v>
          </cell>
          <cell r="AM181">
            <v>2478.67</v>
          </cell>
          <cell r="AN181">
            <v>2473.1647056658749</v>
          </cell>
          <cell r="AO181">
            <v>2473.1247056658749</v>
          </cell>
          <cell r="AP181">
            <v>3230.6540896421002</v>
          </cell>
          <cell r="AQ181">
            <v>3222.3380756700226</v>
          </cell>
          <cell r="AR181">
            <v>3488.8686760157525</v>
          </cell>
          <cell r="AS181">
            <v>3900.2793175170686</v>
          </cell>
          <cell r="AT181">
            <v>4187.3421958574872</v>
          </cell>
        </row>
        <row r="182">
          <cell r="C182">
            <v>0.29393917050806168</v>
          </cell>
          <cell r="D182">
            <v>0.26526075003548794</v>
          </cell>
          <cell r="E182">
            <v>0.1683866891322662</v>
          </cell>
          <cell r="F182">
            <v>0.15245555890328413</v>
          </cell>
          <cell r="G182">
            <v>0.18304146278650527</v>
          </cell>
          <cell r="H182">
            <v>0.16976410892624527</v>
          </cell>
          <cell r="I182">
            <v>0.16004071707289488</v>
          </cell>
          <cell r="N182">
            <v>0.15204977113948448</v>
          </cell>
          <cell r="S182">
            <v>0.10699881235154395</v>
          </cell>
          <cell r="X182">
            <v>0.101707530647986</v>
          </cell>
          <cell r="AC182">
            <v>0.11224755111639992</v>
          </cell>
          <cell r="AH182">
            <v>0.13248990264950244</v>
          </cell>
          <cell r="AN182">
            <v>0.1397965482308377</v>
          </cell>
          <cell r="AP182">
            <v>0.17046406607311895</v>
          </cell>
          <cell r="AQ182">
            <v>0.14635959482119501</v>
          </cell>
          <cell r="AR182">
            <v>0.14680175166568704</v>
          </cell>
          <cell r="AS182">
            <v>0.15326967049227022</v>
          </cell>
          <cell r="AT182">
            <v>0.1560783066122732</v>
          </cell>
        </row>
        <row r="184">
          <cell r="B184">
            <v>3579</v>
          </cell>
          <cell r="C184">
            <v>2204</v>
          </cell>
          <cell r="D184">
            <v>2589</v>
          </cell>
          <cell r="E184">
            <v>2488</v>
          </cell>
          <cell r="F184">
            <v>1851</v>
          </cell>
          <cell r="G184">
            <v>1879</v>
          </cell>
          <cell r="H184">
            <v>1699</v>
          </cell>
          <cell r="I184">
            <v>1732</v>
          </cell>
          <cell r="J184">
            <v>240.41399999999999</v>
          </cell>
          <cell r="K184">
            <v>697.31200000000001</v>
          </cell>
          <cell r="L184">
            <v>265.8</v>
          </cell>
          <cell r="M184">
            <v>708.26700000000005</v>
          </cell>
          <cell r="N184">
            <v>1911.7930000000001</v>
          </cell>
          <cell r="O184">
            <v>203.83999999999997</v>
          </cell>
          <cell r="P184">
            <v>636.95000000000005</v>
          </cell>
          <cell r="Q184">
            <v>214</v>
          </cell>
          <cell r="R184">
            <v>679</v>
          </cell>
          <cell r="S184">
            <v>1733.79</v>
          </cell>
          <cell r="T184">
            <v>187.63</v>
          </cell>
          <cell r="U184">
            <v>597.46</v>
          </cell>
          <cell r="V184">
            <v>367.37</v>
          </cell>
          <cell r="W184">
            <v>546.84</v>
          </cell>
          <cell r="X184">
            <v>1699.3000000000002</v>
          </cell>
          <cell r="Y184">
            <v>383.81110000000001</v>
          </cell>
          <cell r="Z184">
            <v>483.03400000000005</v>
          </cell>
          <cell r="AA184">
            <v>396.74099999999999</v>
          </cell>
          <cell r="AB184">
            <v>579.13</v>
          </cell>
          <cell r="AC184">
            <v>1842.7161000000001</v>
          </cell>
          <cell r="AD184">
            <v>371</v>
          </cell>
          <cell r="AE184">
            <v>452</v>
          </cell>
          <cell r="AF184">
            <v>397</v>
          </cell>
          <cell r="AG184">
            <v>578</v>
          </cell>
          <cell r="AH184">
            <v>1798</v>
          </cell>
          <cell r="AI184">
            <v>371.09</v>
          </cell>
          <cell r="AJ184">
            <v>452.26</v>
          </cell>
          <cell r="AK184">
            <v>372.32</v>
          </cell>
          <cell r="AL184">
            <v>490</v>
          </cell>
          <cell r="AM184">
            <v>1685.67</v>
          </cell>
          <cell r="AN184">
            <v>1682.9894349999997</v>
          </cell>
          <cell r="AO184">
            <v>1682.9894349999997</v>
          </cell>
          <cell r="AP184">
            <v>2097.2950203428568</v>
          </cell>
          <cell r="AQ184">
            <v>2312.926342575714</v>
          </cell>
          <cell r="AR184">
            <v>2579.8823343872141</v>
          </cell>
          <cell r="AS184">
            <v>2924.3971410578588</v>
          </cell>
          <cell r="AT184">
            <v>3255.9297841886232</v>
          </cell>
        </row>
        <row r="186">
          <cell r="B186">
            <v>1378.6390000000001</v>
          </cell>
          <cell r="J186">
            <v>185.37</v>
          </cell>
          <cell r="K186">
            <v>642.31200000000001</v>
          </cell>
          <cell r="L186">
            <v>203.59300000000002</v>
          </cell>
          <cell r="M186">
            <v>649.45600000000002</v>
          </cell>
          <cell r="N186">
            <v>1680.731</v>
          </cell>
          <cell r="O186">
            <v>154.79999999999998</v>
          </cell>
          <cell r="P186">
            <v>596.95000000000005</v>
          </cell>
          <cell r="Q186">
            <v>165</v>
          </cell>
          <cell r="R186">
            <v>639</v>
          </cell>
          <cell r="S186">
            <v>1555.75</v>
          </cell>
          <cell r="T186">
            <v>147.39999999999998</v>
          </cell>
          <cell r="U186">
            <v>555.22</v>
          </cell>
          <cell r="V186">
            <v>322</v>
          </cell>
          <cell r="W186">
            <v>529.84</v>
          </cell>
          <cell r="X186">
            <v>1554.46</v>
          </cell>
          <cell r="Y186">
            <v>356.23110000000003</v>
          </cell>
          <cell r="Z186">
            <v>444.91400000000004</v>
          </cell>
          <cell r="AA186">
            <v>386.89099999999996</v>
          </cell>
          <cell r="AB186">
            <v>540.61</v>
          </cell>
          <cell r="AC186">
            <v>1728.6461000000002</v>
          </cell>
          <cell r="AD186">
            <v>349</v>
          </cell>
          <cell r="AE186">
            <v>401</v>
          </cell>
          <cell r="AF186">
            <v>387</v>
          </cell>
          <cell r="AG186">
            <v>540</v>
          </cell>
          <cell r="AH186">
            <v>1677</v>
          </cell>
          <cell r="AI186">
            <v>371.09</v>
          </cell>
          <cell r="AJ186">
            <v>427.26</v>
          </cell>
          <cell r="AK186">
            <v>366.32</v>
          </cell>
          <cell r="AL186">
            <v>489</v>
          </cell>
          <cell r="AM186">
            <v>1653.67</v>
          </cell>
          <cell r="AN186">
            <v>1551.5499999999997</v>
          </cell>
          <cell r="AO186">
            <v>1551.5499999999997</v>
          </cell>
          <cell r="AP186">
            <v>1976.1423799999998</v>
          </cell>
          <cell r="AQ186">
            <v>2206.9052380499998</v>
          </cell>
          <cell r="AR186">
            <v>2490.0433460214999</v>
          </cell>
          <cell r="AS186">
            <v>2851.9839726921446</v>
          </cell>
          <cell r="AT186">
            <v>3201.8719358229091</v>
          </cell>
        </row>
        <row r="187">
          <cell r="B187">
            <v>83.480999999999995</v>
          </cell>
          <cell r="J187">
            <v>55.043999999999997</v>
          </cell>
          <cell r="K187">
            <v>55.000000000000007</v>
          </cell>
          <cell r="L187">
            <v>62.207000000000001</v>
          </cell>
          <cell r="M187">
            <v>58.811</v>
          </cell>
          <cell r="N187">
            <v>231.06200000000001</v>
          </cell>
          <cell r="O187">
            <v>49.04</v>
          </cell>
          <cell r="P187">
            <v>40</v>
          </cell>
          <cell r="Q187">
            <v>49</v>
          </cell>
          <cell r="R187">
            <v>40</v>
          </cell>
          <cell r="S187">
            <v>178.04000000000002</v>
          </cell>
          <cell r="T187">
            <v>40.230000000000004</v>
          </cell>
          <cell r="U187">
            <v>42.24</v>
          </cell>
          <cell r="V187">
            <v>45.370000000000005</v>
          </cell>
          <cell r="W187">
            <v>17</v>
          </cell>
          <cell r="X187">
            <v>144.84000000000003</v>
          </cell>
          <cell r="Y187">
            <v>27.58</v>
          </cell>
          <cell r="Z187">
            <v>38.119999999999997</v>
          </cell>
          <cell r="AA187">
            <v>9.85</v>
          </cell>
          <cell r="AB187">
            <v>38.520000000000003</v>
          </cell>
          <cell r="AC187">
            <v>114.07</v>
          </cell>
          <cell r="AD187">
            <v>22</v>
          </cell>
          <cell r="AE187">
            <v>51</v>
          </cell>
          <cell r="AF187">
            <v>10</v>
          </cell>
          <cell r="AG187">
            <v>38</v>
          </cell>
          <cell r="AH187">
            <v>121</v>
          </cell>
          <cell r="AI187">
            <v>0</v>
          </cell>
          <cell r="AJ187">
            <v>25</v>
          </cell>
          <cell r="AK187">
            <v>6</v>
          </cell>
          <cell r="AL187">
            <v>1</v>
          </cell>
          <cell r="AM187">
            <v>32</v>
          </cell>
          <cell r="AN187">
            <v>131.43943499999997</v>
          </cell>
          <cell r="AO187">
            <v>131.43943499999997</v>
          </cell>
          <cell r="AP187">
            <v>121.15264034285717</v>
          </cell>
          <cell r="AQ187">
            <v>106.02110452571431</v>
          </cell>
          <cell r="AR187">
            <v>89.8389883657143</v>
          </cell>
          <cell r="AS187">
            <v>72.413168365714299</v>
          </cell>
          <cell r="AT187">
            <v>54.057848365714307</v>
          </cell>
        </row>
        <row r="189">
          <cell r="B189">
            <v>13</v>
          </cell>
          <cell r="C189">
            <v>0</v>
          </cell>
          <cell r="D189">
            <v>5</v>
          </cell>
          <cell r="E189">
            <v>47</v>
          </cell>
          <cell r="F189">
            <v>142</v>
          </cell>
          <cell r="G189">
            <v>202</v>
          </cell>
          <cell r="H189">
            <v>213</v>
          </cell>
          <cell r="I189">
            <v>219</v>
          </cell>
          <cell r="J189">
            <v>87.643000000000001</v>
          </cell>
          <cell r="K189">
            <v>28</v>
          </cell>
          <cell r="L189">
            <v>97.439000000000007</v>
          </cell>
          <cell r="M189">
            <v>38.244</v>
          </cell>
          <cell r="N189">
            <v>251.32599999999999</v>
          </cell>
          <cell r="O189">
            <v>72.3</v>
          </cell>
          <cell r="P189">
            <v>28</v>
          </cell>
          <cell r="Q189">
            <v>82</v>
          </cell>
          <cell r="R189">
            <v>37</v>
          </cell>
          <cell r="S189">
            <v>219.3</v>
          </cell>
          <cell r="T189">
            <v>62</v>
          </cell>
          <cell r="U189">
            <v>31</v>
          </cell>
          <cell r="V189">
            <v>65</v>
          </cell>
          <cell r="W189">
            <v>13</v>
          </cell>
          <cell r="X189">
            <v>171</v>
          </cell>
          <cell r="Y189">
            <v>74.771000000000001</v>
          </cell>
          <cell r="Z189">
            <v>36.880000000000003</v>
          </cell>
          <cell r="AA189">
            <v>68.495999999999995</v>
          </cell>
          <cell r="AB189">
            <v>35.076000000000001</v>
          </cell>
          <cell r="AC189">
            <v>215.22300000000001</v>
          </cell>
          <cell r="AD189">
            <v>61</v>
          </cell>
          <cell r="AE189">
            <v>27</v>
          </cell>
          <cell r="AF189">
            <v>68</v>
          </cell>
          <cell r="AG189">
            <v>35</v>
          </cell>
          <cell r="AH189">
            <v>191</v>
          </cell>
          <cell r="AI189">
            <v>61</v>
          </cell>
          <cell r="AJ189">
            <v>27</v>
          </cell>
          <cell r="AK189">
            <v>64</v>
          </cell>
          <cell r="AL189">
            <v>31</v>
          </cell>
          <cell r="AM189">
            <v>183</v>
          </cell>
          <cell r="AN189">
            <v>224.54444000000001</v>
          </cell>
          <cell r="AO189">
            <v>224.54444000000001</v>
          </cell>
          <cell r="AP189">
            <v>266.5493371428571</v>
          </cell>
          <cell r="AQ189">
            <v>263.50683428571426</v>
          </cell>
          <cell r="AR189">
            <v>258.5861142857143</v>
          </cell>
          <cell r="AS189">
            <v>246.68725428571429</v>
          </cell>
          <cell r="AT189">
            <v>222.69534728571429</v>
          </cell>
        </row>
        <row r="190">
          <cell r="B190">
            <v>5.3890000000000002</v>
          </cell>
          <cell r="J190">
            <v>66.331999999999994</v>
          </cell>
          <cell r="K190">
            <v>24.8</v>
          </cell>
          <cell r="L190">
            <v>76.513000000000005</v>
          </cell>
          <cell r="M190">
            <v>34.978000000000002</v>
          </cell>
          <cell r="N190">
            <v>202.62299999999999</v>
          </cell>
          <cell r="O190">
            <v>59.93</v>
          </cell>
          <cell r="P190">
            <v>26</v>
          </cell>
          <cell r="Q190">
            <v>66</v>
          </cell>
          <cell r="R190">
            <v>31</v>
          </cell>
          <cell r="S190">
            <v>182.93</v>
          </cell>
          <cell r="T190">
            <v>48</v>
          </cell>
          <cell r="U190">
            <v>30</v>
          </cell>
          <cell r="V190">
            <v>51</v>
          </cell>
          <cell r="W190">
            <v>13</v>
          </cell>
          <cell r="X190">
            <v>142</v>
          </cell>
          <cell r="Y190">
            <v>61.301000000000002</v>
          </cell>
          <cell r="Z190">
            <v>34.380000000000003</v>
          </cell>
          <cell r="AA190">
            <v>58.805999999999997</v>
          </cell>
          <cell r="AB190">
            <v>32.725999999999999</v>
          </cell>
          <cell r="AC190">
            <v>187.21300000000002</v>
          </cell>
          <cell r="AD190">
            <v>60</v>
          </cell>
          <cell r="AE190">
            <v>25</v>
          </cell>
          <cell r="AF190">
            <v>58</v>
          </cell>
          <cell r="AG190">
            <v>33</v>
          </cell>
          <cell r="AH190">
            <v>176</v>
          </cell>
          <cell r="AI190">
            <v>61</v>
          </cell>
          <cell r="AJ190">
            <v>27</v>
          </cell>
          <cell r="AK190">
            <v>64</v>
          </cell>
          <cell r="AL190">
            <v>31</v>
          </cell>
          <cell r="AM190">
            <v>183</v>
          </cell>
          <cell r="AN190">
            <v>172.68</v>
          </cell>
          <cell r="AO190">
            <v>172.68</v>
          </cell>
          <cell r="AP190">
            <v>211.52875999999998</v>
          </cell>
          <cell r="AQ190">
            <v>213.26971999999998</v>
          </cell>
          <cell r="AR190">
            <v>215.55531999999999</v>
          </cell>
          <cell r="AS190">
            <v>212.98277999999999</v>
          </cell>
          <cell r="AT190">
            <v>198.317193</v>
          </cell>
        </row>
        <row r="191">
          <cell r="B191">
            <v>7.5540000000000003</v>
          </cell>
          <cell r="J191">
            <v>21.311</v>
          </cell>
          <cell r="K191">
            <v>3.2</v>
          </cell>
          <cell r="L191">
            <v>20.925999999999998</v>
          </cell>
          <cell r="M191">
            <v>3.266</v>
          </cell>
          <cell r="N191">
            <v>48.702999999999996</v>
          </cell>
          <cell r="O191">
            <v>12.37</v>
          </cell>
          <cell r="P191">
            <v>2</v>
          </cell>
          <cell r="Q191">
            <v>16</v>
          </cell>
          <cell r="R191">
            <v>6</v>
          </cell>
          <cell r="S191">
            <v>36.369999999999997</v>
          </cell>
          <cell r="T191">
            <v>14</v>
          </cell>
          <cell r="U191">
            <v>1</v>
          </cell>
          <cell r="V191">
            <v>14</v>
          </cell>
          <cell r="W191">
            <v>0</v>
          </cell>
          <cell r="X191">
            <v>29</v>
          </cell>
          <cell r="Y191">
            <v>13.47</v>
          </cell>
          <cell r="Z191">
            <v>2.5</v>
          </cell>
          <cell r="AA191">
            <v>9.69</v>
          </cell>
          <cell r="AB191">
            <v>2.35</v>
          </cell>
          <cell r="AC191">
            <v>28.01</v>
          </cell>
          <cell r="AD191">
            <v>1</v>
          </cell>
          <cell r="AE191">
            <v>2</v>
          </cell>
          <cell r="AF191">
            <v>10</v>
          </cell>
          <cell r="AG191">
            <v>2</v>
          </cell>
          <cell r="AH191">
            <v>15</v>
          </cell>
          <cell r="AI191">
            <v>0</v>
          </cell>
          <cell r="AJ191">
            <v>0</v>
          </cell>
          <cell r="AK191">
            <v>0</v>
          </cell>
          <cell r="AL191">
            <v>0</v>
          </cell>
          <cell r="AM191">
            <v>0</v>
          </cell>
          <cell r="AN191">
            <v>51.864439999999995</v>
          </cell>
          <cell r="AO191">
            <v>51.864439999999995</v>
          </cell>
          <cell r="AP191">
            <v>55.02057714285715</v>
          </cell>
          <cell r="AQ191">
            <v>50.237114285714291</v>
          </cell>
          <cell r="AR191">
            <v>43.030794285714293</v>
          </cell>
          <cell r="AS191">
            <v>33.704474285714284</v>
          </cell>
          <cell r="AT191">
            <v>24.378154285714292</v>
          </cell>
        </row>
        <row r="192">
          <cell r="B192">
            <v>16</v>
          </cell>
          <cell r="C192">
            <v>0</v>
          </cell>
          <cell r="D192">
            <v>65</v>
          </cell>
          <cell r="E192">
            <v>87</v>
          </cell>
          <cell r="F192">
            <v>160</v>
          </cell>
          <cell r="G192">
            <v>171</v>
          </cell>
          <cell r="H192">
            <v>164</v>
          </cell>
          <cell r="I192">
            <v>177</v>
          </cell>
          <cell r="J192">
            <v>54.326999999999998</v>
          </cell>
          <cell r="K192">
            <v>50.5</v>
          </cell>
          <cell r="L192">
            <v>59.141000000000005</v>
          </cell>
          <cell r="M192">
            <v>56.282000000000004</v>
          </cell>
          <cell r="N192">
            <v>220.25</v>
          </cell>
          <cell r="O192">
            <v>55.3</v>
          </cell>
          <cell r="P192">
            <v>39</v>
          </cell>
          <cell r="Q192">
            <v>51</v>
          </cell>
          <cell r="R192">
            <v>33</v>
          </cell>
          <cell r="S192">
            <v>178.3</v>
          </cell>
          <cell r="T192">
            <v>42.25</v>
          </cell>
          <cell r="U192">
            <v>42.72</v>
          </cell>
          <cell r="V192">
            <v>30.27</v>
          </cell>
          <cell r="W192">
            <v>26</v>
          </cell>
          <cell r="X192">
            <v>141.24</v>
          </cell>
          <cell r="Y192">
            <v>34.846000000000004</v>
          </cell>
          <cell r="Z192">
            <v>43.877000000000002</v>
          </cell>
          <cell r="AA192">
            <v>19.079999999999998</v>
          </cell>
          <cell r="AB192">
            <v>39.298999999999999</v>
          </cell>
          <cell r="AC192">
            <v>137.102</v>
          </cell>
          <cell r="AD192">
            <v>37</v>
          </cell>
          <cell r="AE192">
            <v>42</v>
          </cell>
          <cell r="AF192">
            <v>19</v>
          </cell>
          <cell r="AG192">
            <v>39</v>
          </cell>
          <cell r="AH192">
            <v>137</v>
          </cell>
          <cell r="AI192">
            <v>37</v>
          </cell>
          <cell r="AJ192">
            <v>27</v>
          </cell>
          <cell r="AK192">
            <v>28</v>
          </cell>
          <cell r="AL192">
            <v>22</v>
          </cell>
          <cell r="AM192">
            <v>114</v>
          </cell>
          <cell r="AN192">
            <v>136.513284</v>
          </cell>
          <cell r="AO192">
            <v>136.513284</v>
          </cell>
          <cell r="AP192">
            <v>117.6528132</v>
          </cell>
          <cell r="AQ192">
            <v>118.66141509000002</v>
          </cell>
          <cell r="AR192">
            <v>118.90775784550002</v>
          </cell>
          <cell r="AS192">
            <v>117.786224388465</v>
          </cell>
          <cell r="AT192">
            <v>113.54084338771897</v>
          </cell>
        </row>
        <row r="193">
          <cell r="B193">
            <v>7.7670000000000003</v>
          </cell>
          <cell r="J193">
            <v>22.081</v>
          </cell>
          <cell r="K193">
            <v>8.9</v>
          </cell>
          <cell r="L193">
            <v>19.331</v>
          </cell>
          <cell r="M193">
            <v>8.0150000000000006</v>
          </cell>
          <cell r="N193">
            <v>58.326999999999998</v>
          </cell>
          <cell r="O193">
            <v>19.43</v>
          </cell>
          <cell r="P193">
            <v>8</v>
          </cell>
          <cell r="Q193">
            <v>19</v>
          </cell>
          <cell r="R193">
            <v>8</v>
          </cell>
          <cell r="S193">
            <v>54.43</v>
          </cell>
          <cell r="T193">
            <v>18.25</v>
          </cell>
          <cell r="U193">
            <v>6.72</v>
          </cell>
          <cell r="V193">
            <v>18.059999999999999</v>
          </cell>
          <cell r="W193">
            <v>10</v>
          </cell>
          <cell r="X193">
            <v>53.03</v>
          </cell>
          <cell r="Y193">
            <v>20.956</v>
          </cell>
          <cell r="Z193">
            <v>13.537000000000001</v>
          </cell>
          <cell r="AA193">
            <v>19.079999999999998</v>
          </cell>
          <cell r="AB193">
            <v>7.9089999999999998</v>
          </cell>
          <cell r="AC193">
            <v>61.481999999999999</v>
          </cell>
          <cell r="AD193">
            <v>17</v>
          </cell>
          <cell r="AE193">
            <v>-4</v>
          </cell>
          <cell r="AF193">
            <v>19</v>
          </cell>
          <cell r="AG193">
            <v>8</v>
          </cell>
          <cell r="AH193">
            <v>40</v>
          </cell>
          <cell r="AI193">
            <v>37</v>
          </cell>
          <cell r="AJ193">
            <v>27</v>
          </cell>
          <cell r="AK193">
            <v>28</v>
          </cell>
          <cell r="AL193">
            <v>22</v>
          </cell>
          <cell r="AM193">
            <v>114</v>
          </cell>
          <cell r="AN193">
            <v>61.17</v>
          </cell>
          <cell r="AO193">
            <v>61.17</v>
          </cell>
          <cell r="AP193">
            <v>54.127133999999998</v>
          </cell>
          <cell r="AQ193">
            <v>64.36692085</v>
          </cell>
          <cell r="AR193">
            <v>72.772559765500006</v>
          </cell>
          <cell r="AS193">
            <v>79.289026308464997</v>
          </cell>
          <cell r="AT193">
            <v>83.859645307718949</v>
          </cell>
        </row>
        <row r="194">
          <cell r="B194">
            <v>8.1980000000000004</v>
          </cell>
          <cell r="J194">
            <v>32.246000000000002</v>
          </cell>
          <cell r="K194">
            <v>41.6</v>
          </cell>
          <cell r="L194">
            <v>39.81</v>
          </cell>
          <cell r="M194">
            <v>48.267000000000003</v>
          </cell>
          <cell r="N194">
            <v>161.923</v>
          </cell>
          <cell r="O194">
            <v>35.869999999999997</v>
          </cell>
          <cell r="P194">
            <v>31</v>
          </cell>
          <cell r="Q194">
            <v>32</v>
          </cell>
          <cell r="R194">
            <v>25</v>
          </cell>
          <cell r="S194">
            <v>123.87</v>
          </cell>
          <cell r="T194">
            <v>24</v>
          </cell>
          <cell r="U194">
            <v>36</v>
          </cell>
          <cell r="V194">
            <v>12.21</v>
          </cell>
          <cell r="W194">
            <v>16</v>
          </cell>
          <cell r="X194">
            <v>88.210000000000008</v>
          </cell>
          <cell r="Y194">
            <v>13.89</v>
          </cell>
          <cell r="Z194">
            <v>30.34</v>
          </cell>
          <cell r="AA194">
            <v>0</v>
          </cell>
          <cell r="AB194">
            <v>31.39</v>
          </cell>
          <cell r="AC194">
            <v>75.62</v>
          </cell>
          <cell r="AD194">
            <v>20</v>
          </cell>
          <cell r="AE194">
            <v>46</v>
          </cell>
          <cell r="AF194">
            <v>0</v>
          </cell>
          <cell r="AG194">
            <v>31</v>
          </cell>
          <cell r="AH194">
            <v>97</v>
          </cell>
          <cell r="AI194">
            <v>0</v>
          </cell>
          <cell r="AJ194">
            <v>0</v>
          </cell>
          <cell r="AK194">
            <v>0</v>
          </cell>
          <cell r="AL194">
            <v>0</v>
          </cell>
          <cell r="AM194">
            <v>0</v>
          </cell>
          <cell r="AN194">
            <v>75.343283999999997</v>
          </cell>
          <cell r="AO194">
            <v>75.343283999999997</v>
          </cell>
          <cell r="AP194">
            <v>63.525679200000006</v>
          </cell>
          <cell r="AQ194">
            <v>54.294494240000013</v>
          </cell>
          <cell r="AR194">
            <v>46.135198080000009</v>
          </cell>
          <cell r="AS194">
            <v>38.497198080000011</v>
          </cell>
          <cell r="AT194">
            <v>29.681198080000012</v>
          </cell>
        </row>
        <row r="195">
          <cell r="B195">
            <v>61</v>
          </cell>
          <cell r="C195">
            <v>0</v>
          </cell>
          <cell r="D195">
            <v>84</v>
          </cell>
          <cell r="E195">
            <v>96</v>
          </cell>
          <cell r="F195">
            <v>133</v>
          </cell>
          <cell r="G195">
            <v>158</v>
          </cell>
          <cell r="H195">
            <v>68</v>
          </cell>
          <cell r="I195">
            <v>45</v>
          </cell>
          <cell r="J195">
            <v>5.0870000000000006</v>
          </cell>
          <cell r="K195">
            <v>7.3000000000000007</v>
          </cell>
          <cell r="L195">
            <v>2.3820000000000001</v>
          </cell>
          <cell r="M195">
            <v>3.706</v>
          </cell>
          <cell r="N195">
            <v>18.475000000000001</v>
          </cell>
          <cell r="O195">
            <v>0.58000000000000007</v>
          </cell>
          <cell r="P195">
            <v>2</v>
          </cell>
          <cell r="Q195">
            <v>1</v>
          </cell>
          <cell r="R195">
            <v>1</v>
          </cell>
          <cell r="S195">
            <v>4.58</v>
          </cell>
          <cell r="T195">
            <v>0.59</v>
          </cell>
          <cell r="U195">
            <v>4.74</v>
          </cell>
          <cell r="V195">
            <v>0.23</v>
          </cell>
          <cell r="W195">
            <v>64</v>
          </cell>
          <cell r="X195">
            <v>69.56</v>
          </cell>
          <cell r="Y195">
            <v>0.28499999999999998</v>
          </cell>
          <cell r="Z195">
            <v>15.856999999999999</v>
          </cell>
          <cell r="AA195">
            <v>0.61299999999999999</v>
          </cell>
          <cell r="AB195">
            <v>102.97499999999999</v>
          </cell>
          <cell r="AC195">
            <v>119.73</v>
          </cell>
          <cell r="AD195">
            <v>2</v>
          </cell>
          <cell r="AE195">
            <v>16</v>
          </cell>
          <cell r="AF195">
            <v>1</v>
          </cell>
          <cell r="AG195">
            <v>103</v>
          </cell>
          <cell r="AH195">
            <v>122</v>
          </cell>
          <cell r="AI195">
            <v>2.13</v>
          </cell>
          <cell r="AJ195">
            <v>5</v>
          </cell>
          <cell r="AK195">
            <v>3.79</v>
          </cell>
          <cell r="AL195">
            <v>7</v>
          </cell>
          <cell r="AM195">
            <v>17.920000000000002</v>
          </cell>
          <cell r="AN195">
            <v>9.9217909999999989</v>
          </cell>
          <cell r="AO195">
            <v>9.9217909999999989</v>
          </cell>
          <cell r="AP195">
            <v>28.172783999999993</v>
          </cell>
          <cell r="AQ195">
            <v>32.4696912</v>
          </cell>
          <cell r="AR195">
            <v>37.097560255999994</v>
          </cell>
          <cell r="AS195">
            <v>42.243760383679991</v>
          </cell>
          <cell r="AT195">
            <v>47.806691515190394</v>
          </cell>
        </row>
        <row r="196">
          <cell r="B196">
            <v>53.176000000000002</v>
          </cell>
          <cell r="J196">
            <v>4.1740000000000004</v>
          </cell>
          <cell r="K196">
            <v>3.7</v>
          </cell>
          <cell r="L196">
            <v>1.3320000000000001</v>
          </cell>
          <cell r="M196">
            <v>1.4430000000000001</v>
          </cell>
          <cell r="N196">
            <v>10.649000000000001</v>
          </cell>
          <cell r="O196">
            <v>0.05</v>
          </cell>
          <cell r="P196">
            <v>1</v>
          </cell>
          <cell r="Q196">
            <v>0</v>
          </cell>
          <cell r="R196">
            <v>0</v>
          </cell>
          <cell r="S196">
            <v>1.05</v>
          </cell>
          <cell r="T196">
            <v>0.56999999999999995</v>
          </cell>
          <cell r="U196">
            <v>3.5</v>
          </cell>
          <cell r="V196">
            <v>0.23</v>
          </cell>
          <cell r="W196">
            <v>64</v>
          </cell>
          <cell r="X196">
            <v>68.3</v>
          </cell>
          <cell r="Y196">
            <v>0.22500000000000001</v>
          </cell>
          <cell r="Z196">
            <v>13.196999999999999</v>
          </cell>
          <cell r="AA196">
            <v>0.58299999999999996</v>
          </cell>
          <cell r="AB196">
            <v>100.345</v>
          </cell>
          <cell r="AC196">
            <v>114.35</v>
          </cell>
          <cell r="AD196">
            <v>2</v>
          </cell>
          <cell r="AE196">
            <v>15</v>
          </cell>
          <cell r="AF196">
            <v>1</v>
          </cell>
          <cell r="AG196">
            <v>100</v>
          </cell>
          <cell r="AH196">
            <v>118</v>
          </cell>
          <cell r="AI196">
            <v>2.13</v>
          </cell>
          <cell r="AJ196">
            <v>5</v>
          </cell>
          <cell r="AK196">
            <v>3.79</v>
          </cell>
          <cell r="AL196">
            <v>7</v>
          </cell>
          <cell r="AM196">
            <v>17.920000000000002</v>
          </cell>
          <cell r="AN196">
            <v>6.42</v>
          </cell>
          <cell r="AO196">
            <v>6.42</v>
          </cell>
          <cell r="AP196">
            <v>25.686079999999993</v>
          </cell>
          <cell r="AQ196">
            <v>30.971875199999996</v>
          </cell>
          <cell r="AR196">
            <v>36.416244255999992</v>
          </cell>
          <cell r="AS196">
            <v>42.023944383679989</v>
          </cell>
          <cell r="AT196">
            <v>47.799875515190394</v>
          </cell>
        </row>
        <row r="197">
          <cell r="B197">
            <v>7.81</v>
          </cell>
          <cell r="J197">
            <v>0.91300000000000003</v>
          </cell>
          <cell r="K197">
            <v>3.6</v>
          </cell>
          <cell r="L197">
            <v>1.05</v>
          </cell>
          <cell r="M197">
            <v>2.2629999999999999</v>
          </cell>
          <cell r="N197">
            <v>7.8259999999999996</v>
          </cell>
          <cell r="O197">
            <v>0.53</v>
          </cell>
          <cell r="P197">
            <v>1</v>
          </cell>
          <cell r="Q197">
            <v>1</v>
          </cell>
          <cell r="R197">
            <v>1</v>
          </cell>
          <cell r="S197">
            <v>3.5300000000000002</v>
          </cell>
          <cell r="T197">
            <v>0.02</v>
          </cell>
          <cell r="U197">
            <v>1.24</v>
          </cell>
          <cell r="V197">
            <v>0</v>
          </cell>
          <cell r="W197">
            <v>0</v>
          </cell>
          <cell r="X197">
            <v>1.26</v>
          </cell>
          <cell r="Y197">
            <v>0.06</v>
          </cell>
          <cell r="Z197">
            <v>2.66</v>
          </cell>
          <cell r="AA197">
            <v>0.03</v>
          </cell>
          <cell r="AB197">
            <v>2.63</v>
          </cell>
          <cell r="AC197">
            <v>5.38</v>
          </cell>
          <cell r="AD197">
            <v>0</v>
          </cell>
          <cell r="AE197">
            <v>1</v>
          </cell>
          <cell r="AF197">
            <v>0</v>
          </cell>
          <cell r="AG197">
            <v>3</v>
          </cell>
          <cell r="AH197">
            <v>4</v>
          </cell>
          <cell r="AI197">
            <v>0</v>
          </cell>
          <cell r="AJ197">
            <v>0</v>
          </cell>
          <cell r="AK197">
            <v>0</v>
          </cell>
          <cell r="AL197">
            <v>0</v>
          </cell>
          <cell r="AM197">
            <v>0</v>
          </cell>
          <cell r="AN197">
            <v>3.5017909999999999</v>
          </cell>
          <cell r="AO197">
            <v>3.5017909999999999</v>
          </cell>
          <cell r="AP197">
            <v>2.4867040000000005</v>
          </cell>
          <cell r="AQ197">
            <v>1.4978160000000005</v>
          </cell>
          <cell r="AR197">
            <v>0.68131600000000048</v>
          </cell>
          <cell r="AS197">
            <v>0.21981600000000048</v>
          </cell>
          <cell r="AT197">
            <v>6.81600000000051E-3</v>
          </cell>
        </row>
        <row r="198">
          <cell r="B198">
            <v>1372</v>
          </cell>
          <cell r="C198">
            <v>0</v>
          </cell>
          <cell r="D198">
            <v>2189</v>
          </cell>
          <cell r="E198">
            <v>2044</v>
          </cell>
          <cell r="F198">
            <v>52</v>
          </cell>
          <cell r="G198">
            <v>51</v>
          </cell>
          <cell r="H198">
            <v>48</v>
          </cell>
          <cell r="I198">
            <v>19</v>
          </cell>
          <cell r="J198">
            <v>1.0149999999999999</v>
          </cell>
          <cell r="K198">
            <v>7.6999999999999993</v>
          </cell>
          <cell r="L198">
            <v>0.83799999999999997</v>
          </cell>
          <cell r="M198">
            <v>6.0350000000000001</v>
          </cell>
          <cell r="N198">
            <v>15.587999999999999</v>
          </cell>
          <cell r="O198">
            <v>1.02</v>
          </cell>
          <cell r="P198">
            <v>6</v>
          </cell>
          <cell r="Q198">
            <v>1</v>
          </cell>
          <cell r="R198">
            <v>5</v>
          </cell>
          <cell r="S198">
            <v>13.02</v>
          </cell>
          <cell r="T198">
            <v>0.78999999999999992</v>
          </cell>
          <cell r="U198">
            <v>3</v>
          </cell>
          <cell r="V198">
            <v>0.87</v>
          </cell>
          <cell r="W198">
            <v>1.8399999999999999</v>
          </cell>
          <cell r="X198">
            <v>6.5</v>
          </cell>
          <cell r="Y198">
            <v>0.98299999999999998</v>
          </cell>
          <cell r="Z198">
            <v>3.83</v>
          </cell>
          <cell r="AA198">
            <v>0.53600000000000003</v>
          </cell>
          <cell r="AB198">
            <v>3.423</v>
          </cell>
          <cell r="AC198">
            <v>8.7720000000000002</v>
          </cell>
          <cell r="AD198">
            <v>2</v>
          </cell>
          <cell r="AE198">
            <v>3</v>
          </cell>
          <cell r="AF198">
            <v>1</v>
          </cell>
          <cell r="AG198">
            <v>3</v>
          </cell>
          <cell r="AH198">
            <v>9</v>
          </cell>
          <cell r="AI198">
            <v>2</v>
          </cell>
          <cell r="AJ198">
            <v>3</v>
          </cell>
          <cell r="AK198">
            <v>3</v>
          </cell>
          <cell r="AL198">
            <v>6</v>
          </cell>
          <cell r="AM198">
            <v>14</v>
          </cell>
          <cell r="AN198">
            <v>3.7599200000000002</v>
          </cell>
          <cell r="AO198">
            <v>3.7599200000000002</v>
          </cell>
          <cell r="AP198">
            <v>-2.9776639999999999</v>
          </cell>
          <cell r="AQ198">
            <v>-4.8468479999999996</v>
          </cell>
          <cell r="AR198">
            <v>-5.0708479999999998</v>
          </cell>
          <cell r="AS198">
            <v>-5.0708479999999998</v>
          </cell>
          <cell r="AT198">
            <v>-5.0708479999999998</v>
          </cell>
        </row>
        <row r="199">
          <cell r="B199">
            <v>1312.307</v>
          </cell>
          <cell r="J199">
            <v>0.441</v>
          </cell>
          <cell r="K199">
            <v>1.1000000000000001</v>
          </cell>
          <cell r="L199">
            <v>0.41699999999999998</v>
          </cell>
          <cell r="M199">
            <v>1.02</v>
          </cell>
          <cell r="N199">
            <v>2.9780000000000002</v>
          </cell>
          <cell r="O199">
            <v>0.75</v>
          </cell>
          <cell r="P199">
            <v>2</v>
          </cell>
          <cell r="Q199">
            <v>1</v>
          </cell>
          <cell r="R199">
            <v>1</v>
          </cell>
          <cell r="S199">
            <v>4.75</v>
          </cell>
          <cell r="T199">
            <v>0.57999999999999996</v>
          </cell>
          <cell r="U199">
            <v>2</v>
          </cell>
          <cell r="V199">
            <v>0.71</v>
          </cell>
          <cell r="W199">
            <v>0.84</v>
          </cell>
          <cell r="X199">
            <v>4.13</v>
          </cell>
          <cell r="Y199">
            <v>0.82299999999999995</v>
          </cell>
          <cell r="Z199">
            <v>1.21</v>
          </cell>
          <cell r="AA199">
            <v>0.40600000000000003</v>
          </cell>
          <cell r="AB199">
            <v>1.2729999999999999</v>
          </cell>
          <cell r="AC199">
            <v>3.7119999999999997</v>
          </cell>
          <cell r="AD199">
            <v>1</v>
          </cell>
          <cell r="AE199">
            <v>1</v>
          </cell>
          <cell r="AF199">
            <v>1</v>
          </cell>
          <cell r="AG199">
            <v>1</v>
          </cell>
          <cell r="AH199">
            <v>4</v>
          </cell>
          <cell r="AI199">
            <v>2</v>
          </cell>
          <cell r="AJ199">
            <v>3</v>
          </cell>
          <cell r="AK199">
            <v>3</v>
          </cell>
          <cell r="AL199">
            <v>6</v>
          </cell>
          <cell r="AM199">
            <v>14</v>
          </cell>
          <cell r="AN199">
            <v>3.03</v>
          </cell>
          <cell r="AO199">
            <v>3.03</v>
          </cell>
          <cell r="AP199">
            <v>-3.0973440000000001</v>
          </cell>
          <cell r="AQ199">
            <v>-4.8385280000000002</v>
          </cell>
          <cell r="AR199">
            <v>-5.0625280000000004</v>
          </cell>
          <cell r="AS199">
            <v>-5.0625280000000004</v>
          </cell>
          <cell r="AT199">
            <v>-5.0625280000000004</v>
          </cell>
        </row>
        <row r="200">
          <cell r="B200">
            <v>59.918999999999997</v>
          </cell>
          <cell r="J200">
            <v>0.57400000000000007</v>
          </cell>
          <cell r="K200">
            <v>6.6</v>
          </cell>
          <cell r="L200">
            <v>0.42099999999999999</v>
          </cell>
          <cell r="M200">
            <v>5.0149999999999997</v>
          </cell>
          <cell r="N200">
            <v>12.61</v>
          </cell>
          <cell r="O200">
            <v>0.27</v>
          </cell>
          <cell r="P200">
            <v>4</v>
          </cell>
          <cell r="Q200">
            <v>0</v>
          </cell>
          <cell r="R200">
            <v>4</v>
          </cell>
          <cell r="S200">
            <v>8.27</v>
          </cell>
          <cell r="T200">
            <v>0.21</v>
          </cell>
          <cell r="U200">
            <v>1</v>
          </cell>
          <cell r="V200">
            <v>0.16</v>
          </cell>
          <cell r="W200">
            <v>1</v>
          </cell>
          <cell r="X200">
            <v>2.37</v>
          </cell>
          <cell r="Y200">
            <v>0.16</v>
          </cell>
          <cell r="Z200">
            <v>2.62</v>
          </cell>
          <cell r="AA200">
            <v>0.13</v>
          </cell>
          <cell r="AB200">
            <v>2.15</v>
          </cell>
          <cell r="AC200">
            <v>5.0599999999999996</v>
          </cell>
          <cell r="AD200">
            <v>1</v>
          </cell>
          <cell r="AE200">
            <v>2</v>
          </cell>
          <cell r="AF200">
            <v>0</v>
          </cell>
          <cell r="AG200">
            <v>2</v>
          </cell>
          <cell r="AH200">
            <v>5</v>
          </cell>
          <cell r="AI200">
            <v>0</v>
          </cell>
          <cell r="AJ200">
            <v>0</v>
          </cell>
          <cell r="AK200">
            <v>0</v>
          </cell>
          <cell r="AL200">
            <v>0</v>
          </cell>
          <cell r="AM200">
            <v>0</v>
          </cell>
          <cell r="AN200">
            <v>0.72992000000000012</v>
          </cell>
          <cell r="AO200">
            <v>0.72992000000000012</v>
          </cell>
          <cell r="AP200">
            <v>0.11968000000000018</v>
          </cell>
          <cell r="AQ200">
            <v>-8.3199999999998223E-3</v>
          </cell>
          <cell r="AR200">
            <v>-8.3199999999998223E-3</v>
          </cell>
          <cell r="AS200">
            <v>-8.3199999999998223E-3</v>
          </cell>
          <cell r="AT200">
            <v>-8.3199999999998223E-3</v>
          </cell>
        </row>
        <row r="201">
          <cell r="B201">
            <v>0</v>
          </cell>
          <cell r="C201">
            <v>0</v>
          </cell>
          <cell r="D201">
            <v>0</v>
          </cell>
          <cell r="E201">
            <v>0</v>
          </cell>
          <cell r="F201">
            <v>1246</v>
          </cell>
          <cell r="G201">
            <v>1130</v>
          </cell>
          <cell r="H201">
            <v>1022</v>
          </cell>
          <cell r="I201">
            <v>1073</v>
          </cell>
          <cell r="J201">
            <v>74.95</v>
          </cell>
          <cell r="K201">
            <v>561.19399999999996</v>
          </cell>
          <cell r="L201">
            <v>74</v>
          </cell>
          <cell r="M201">
            <v>542</v>
          </cell>
          <cell r="N201">
            <v>1252.144</v>
          </cell>
          <cell r="O201">
            <v>67.8</v>
          </cell>
          <cell r="P201">
            <v>525</v>
          </cell>
          <cell r="Q201">
            <v>64</v>
          </cell>
          <cell r="R201">
            <v>524</v>
          </cell>
          <cell r="S201">
            <v>1180.8</v>
          </cell>
          <cell r="T201">
            <v>80</v>
          </cell>
          <cell r="U201">
            <v>487</v>
          </cell>
          <cell r="V201">
            <v>214</v>
          </cell>
          <cell r="W201">
            <v>348</v>
          </cell>
          <cell r="X201">
            <v>1129</v>
          </cell>
          <cell r="Y201">
            <v>272.92610000000002</v>
          </cell>
          <cell r="Z201">
            <v>339.19400000000002</v>
          </cell>
          <cell r="AA201">
            <v>270.54399999999998</v>
          </cell>
          <cell r="AB201">
            <v>326.488</v>
          </cell>
          <cell r="AC201">
            <v>1209.1521</v>
          </cell>
          <cell r="AD201">
            <v>269</v>
          </cell>
          <cell r="AE201">
            <v>338</v>
          </cell>
          <cell r="AF201">
            <v>271</v>
          </cell>
          <cell r="AG201">
            <v>326</v>
          </cell>
          <cell r="AH201">
            <v>1204</v>
          </cell>
          <cell r="AI201">
            <v>268.95999999999998</v>
          </cell>
          <cell r="AJ201">
            <v>338.26</v>
          </cell>
          <cell r="AK201">
            <v>267.52999999999997</v>
          </cell>
          <cell r="AL201">
            <v>325</v>
          </cell>
          <cell r="AM201">
            <v>1199.75</v>
          </cell>
          <cell r="AN201">
            <v>1136.3899999999999</v>
          </cell>
          <cell r="AO201">
            <v>1136.3899999999999</v>
          </cell>
          <cell r="AP201">
            <v>1014.645</v>
          </cell>
          <cell r="AQ201">
            <v>954.80899999999997</v>
          </cell>
          <cell r="AR201">
            <v>896.05799999999999</v>
          </cell>
          <cell r="AS201">
            <v>896.05799999999999</v>
          </cell>
          <cell r="AT201">
            <v>896.05799999999999</v>
          </cell>
        </row>
        <row r="207">
          <cell r="B207">
            <v>0</v>
          </cell>
          <cell r="C207">
            <v>0</v>
          </cell>
          <cell r="D207">
            <v>246</v>
          </cell>
          <cell r="E207">
            <v>137</v>
          </cell>
          <cell r="F207">
            <v>118</v>
          </cell>
          <cell r="G207">
            <v>102</v>
          </cell>
          <cell r="H207">
            <v>95</v>
          </cell>
          <cell r="I207">
            <v>150</v>
          </cell>
          <cell r="J207">
            <v>17.391999999999999</v>
          </cell>
          <cell r="K207">
            <v>42.618000000000002</v>
          </cell>
          <cell r="L207">
            <v>32</v>
          </cell>
          <cell r="M207">
            <v>62</v>
          </cell>
          <cell r="N207">
            <v>154.01</v>
          </cell>
          <cell r="O207">
            <v>6.84</v>
          </cell>
          <cell r="P207">
            <v>34.950000000000003</v>
          </cell>
          <cell r="Q207">
            <v>15</v>
          </cell>
          <cell r="R207">
            <v>75</v>
          </cell>
          <cell r="S207">
            <v>131.79000000000002</v>
          </cell>
          <cell r="T207">
            <v>0</v>
          </cell>
          <cell r="U207">
            <v>26</v>
          </cell>
          <cell r="V207">
            <v>38</v>
          </cell>
          <cell r="W207">
            <v>94</v>
          </cell>
          <cell r="X207">
            <v>158</v>
          </cell>
          <cell r="Y207">
            <v>0</v>
          </cell>
          <cell r="Z207">
            <v>43.396000000000001</v>
          </cell>
          <cell r="AA207">
            <v>37.472000000000001</v>
          </cell>
          <cell r="AB207">
            <v>71.869</v>
          </cell>
          <cell r="AC207">
            <v>152.73699999999999</v>
          </cell>
          <cell r="AD207">
            <v>0</v>
          </cell>
          <cell r="AE207">
            <v>26</v>
          </cell>
          <cell r="AF207">
            <v>37</v>
          </cell>
          <cell r="AG207">
            <v>72</v>
          </cell>
          <cell r="AH207">
            <v>135</v>
          </cell>
          <cell r="AI207">
            <v>0</v>
          </cell>
          <cell r="AJ207">
            <v>27</v>
          </cell>
          <cell r="AK207">
            <v>0</v>
          </cell>
          <cell r="AL207">
            <v>98</v>
          </cell>
          <cell r="AM207">
            <v>125</v>
          </cell>
          <cell r="AN207">
            <v>171.86</v>
          </cell>
          <cell r="AO207">
            <v>171.86</v>
          </cell>
          <cell r="AP207">
            <v>388.92024999999995</v>
          </cell>
          <cell r="AQ207">
            <v>582.28874999999994</v>
          </cell>
          <cell r="AR207">
            <v>811.44124999999997</v>
          </cell>
          <cell r="AS207">
            <v>1059.1602499999999</v>
          </cell>
          <cell r="AT207">
            <v>1308.15725</v>
          </cell>
        </row>
        <row r="208">
          <cell r="B208">
            <v>0</v>
          </cell>
          <cell r="C208">
            <v>0</v>
          </cell>
          <cell r="D208">
            <v>0</v>
          </cell>
          <cell r="E208">
            <v>77</v>
          </cell>
          <cell r="F208">
            <v>0</v>
          </cell>
          <cell r="G208">
            <v>65</v>
          </cell>
          <cell r="H208">
            <v>89</v>
          </cell>
          <cell r="I208">
            <v>49</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284.33249999999998</v>
          </cell>
          <cell r="AQ208">
            <v>366.03749999999997</v>
          </cell>
          <cell r="AR208">
            <v>462.86249999999995</v>
          </cell>
          <cell r="AS208">
            <v>567.53250000000003</v>
          </cell>
          <cell r="AT208">
            <v>672.74249999999995</v>
          </cell>
        </row>
        <row r="209">
          <cell r="J209">
            <v>0</v>
          </cell>
          <cell r="K209">
            <v>1</v>
          </cell>
          <cell r="L209">
            <v>1.1399999999999999</v>
          </cell>
          <cell r="M209">
            <v>3</v>
          </cell>
          <cell r="N209">
            <v>5.14</v>
          </cell>
          <cell r="O209">
            <v>0</v>
          </cell>
          <cell r="P209">
            <v>2</v>
          </cell>
          <cell r="Q209">
            <v>0</v>
          </cell>
          <cell r="R209">
            <v>4</v>
          </cell>
          <cell r="S209">
            <v>6</v>
          </cell>
          <cell r="T209">
            <v>2</v>
          </cell>
          <cell r="U209">
            <v>3</v>
          </cell>
          <cell r="V209">
            <v>19</v>
          </cell>
          <cell r="W209">
            <v>0</v>
          </cell>
          <cell r="X209">
            <v>24</v>
          </cell>
          <cell r="Y209">
            <v>0</v>
          </cell>
          <cell r="Z209">
            <v>0</v>
          </cell>
          <cell r="AA209">
            <v>0</v>
          </cell>
          <cell r="AB209">
            <v>0</v>
          </cell>
          <cell r="AC209">
            <v>0</v>
          </cell>
          <cell r="AD209">
            <v>0</v>
          </cell>
          <cell r="AE209">
            <v>0</v>
          </cell>
          <cell r="AF209">
            <v>0</v>
          </cell>
          <cell r="AG209">
            <v>0</v>
          </cell>
          <cell r="AH209">
            <v>0</v>
          </cell>
          <cell r="AI209">
            <v>0</v>
          </cell>
          <cell r="AJ209">
            <v>25</v>
          </cell>
          <cell r="AK209">
            <v>6</v>
          </cell>
          <cell r="AL209">
            <v>1</v>
          </cell>
          <cell r="AM209">
            <v>32</v>
          </cell>
          <cell r="AN209">
            <v>0</v>
          </cell>
        </row>
        <row r="211">
          <cell r="B211">
            <v>0</v>
          </cell>
          <cell r="C211">
            <v>0</v>
          </cell>
          <cell r="D211">
            <v>0</v>
          </cell>
          <cell r="E211">
            <v>3</v>
          </cell>
          <cell r="F211">
            <v>45</v>
          </cell>
          <cell r="G211">
            <v>223</v>
          </cell>
          <cell r="H211">
            <v>358</v>
          </cell>
          <cell r="I211">
            <v>398</v>
          </cell>
          <cell r="J211">
            <v>172</v>
          </cell>
          <cell r="K211">
            <v>41</v>
          </cell>
          <cell r="L211">
            <v>101</v>
          </cell>
          <cell r="M211">
            <v>101</v>
          </cell>
          <cell r="N211">
            <v>415</v>
          </cell>
          <cell r="O211">
            <v>89</v>
          </cell>
          <cell r="P211">
            <v>101</v>
          </cell>
          <cell r="Q211">
            <v>86</v>
          </cell>
          <cell r="R211">
            <v>56</v>
          </cell>
          <cell r="S211">
            <v>332</v>
          </cell>
          <cell r="T211">
            <v>112</v>
          </cell>
          <cell r="U211">
            <v>19</v>
          </cell>
          <cell r="V211">
            <v>26</v>
          </cell>
          <cell r="W211">
            <v>57</v>
          </cell>
          <cell r="X211">
            <v>214</v>
          </cell>
          <cell r="Y211">
            <v>27.99</v>
          </cell>
          <cell r="Z211">
            <v>27.99</v>
          </cell>
          <cell r="AA211">
            <v>27.99</v>
          </cell>
          <cell r="AB211">
            <v>27.99</v>
          </cell>
          <cell r="AC211">
            <v>111.96</v>
          </cell>
          <cell r="AD211">
            <v>55</v>
          </cell>
          <cell r="AE211">
            <v>55</v>
          </cell>
          <cell r="AF211">
            <v>79</v>
          </cell>
          <cell r="AG211">
            <v>58</v>
          </cell>
          <cell r="AH211">
            <v>247</v>
          </cell>
          <cell r="AI211">
            <v>55</v>
          </cell>
          <cell r="AJ211">
            <v>55</v>
          </cell>
          <cell r="AK211">
            <v>79</v>
          </cell>
          <cell r="AL211">
            <v>68</v>
          </cell>
          <cell r="AM211">
            <v>257</v>
          </cell>
          <cell r="AN211">
            <v>321.04000000000002</v>
          </cell>
          <cell r="AO211">
            <v>321</v>
          </cell>
          <cell r="AP211">
            <v>560</v>
          </cell>
          <cell r="AQ211">
            <v>288</v>
          </cell>
          <cell r="AR211">
            <v>310</v>
          </cell>
          <cell r="AS211">
            <v>313</v>
          </cell>
          <cell r="AT211">
            <v>313</v>
          </cell>
        </row>
        <row r="213">
          <cell r="B213">
            <v>18</v>
          </cell>
          <cell r="C213">
            <v>56</v>
          </cell>
          <cell r="D213">
            <v>152</v>
          </cell>
          <cell r="E213">
            <v>201</v>
          </cell>
          <cell r="F213">
            <v>298</v>
          </cell>
          <cell r="G213">
            <v>320</v>
          </cell>
          <cell r="H213">
            <v>288.7672</v>
          </cell>
          <cell r="I213">
            <v>268</v>
          </cell>
          <cell r="J213">
            <v>85</v>
          </cell>
          <cell r="K213">
            <v>118</v>
          </cell>
          <cell r="L213">
            <v>80</v>
          </cell>
          <cell r="M213">
            <v>83</v>
          </cell>
          <cell r="N213">
            <v>366</v>
          </cell>
          <cell r="O213">
            <v>58</v>
          </cell>
          <cell r="P213">
            <v>68</v>
          </cell>
          <cell r="Q213">
            <v>65</v>
          </cell>
          <cell r="R213">
            <v>65</v>
          </cell>
          <cell r="S213">
            <v>256</v>
          </cell>
          <cell r="T213">
            <v>57</v>
          </cell>
          <cell r="U213">
            <v>59</v>
          </cell>
          <cell r="V213">
            <v>52</v>
          </cell>
          <cell r="W213">
            <v>55</v>
          </cell>
          <cell r="X213">
            <v>223</v>
          </cell>
          <cell r="Y213">
            <v>31.574999999999999</v>
          </cell>
          <cell r="Z213">
            <v>35.075000000000003</v>
          </cell>
          <cell r="AA213">
            <v>28.475000000000001</v>
          </cell>
          <cell r="AB213">
            <v>32.774999999999999</v>
          </cell>
          <cell r="AC213">
            <v>127.9</v>
          </cell>
          <cell r="AD213">
            <v>43</v>
          </cell>
          <cell r="AE213">
            <v>38</v>
          </cell>
          <cell r="AF213">
            <v>28</v>
          </cell>
          <cell r="AG213">
            <v>32</v>
          </cell>
          <cell r="AH213">
            <v>141</v>
          </cell>
          <cell r="AI213">
            <v>42</v>
          </cell>
          <cell r="AJ213">
            <v>37</v>
          </cell>
          <cell r="AK213">
            <v>27</v>
          </cell>
          <cell r="AL213">
            <v>30</v>
          </cell>
          <cell r="AM213">
            <v>136</v>
          </cell>
          <cell r="AN213">
            <v>78.393200000000007</v>
          </cell>
          <cell r="AO213">
            <v>78.393200000000007</v>
          </cell>
          <cell r="AP213">
            <v>56.0946</v>
          </cell>
          <cell r="AQ213">
            <v>37.176600000000001</v>
          </cell>
          <cell r="AR213">
            <v>32.097000000000001</v>
          </cell>
          <cell r="AS213">
            <v>32.097000000000001</v>
          </cell>
          <cell r="AT213">
            <v>32.097000000000001</v>
          </cell>
        </row>
        <row r="215">
          <cell r="G215">
            <v>31</v>
          </cell>
          <cell r="H215">
            <v>3</v>
          </cell>
          <cell r="I215">
            <v>38</v>
          </cell>
          <cell r="J215">
            <v>24</v>
          </cell>
          <cell r="K215">
            <v>46</v>
          </cell>
          <cell r="L215">
            <v>13</v>
          </cell>
          <cell r="M215">
            <v>24</v>
          </cell>
          <cell r="N215">
            <v>107</v>
          </cell>
          <cell r="O215">
            <v>12</v>
          </cell>
          <cell r="P215">
            <v>20</v>
          </cell>
          <cell r="Q215">
            <v>18</v>
          </cell>
          <cell r="R215">
            <v>24</v>
          </cell>
          <cell r="S215">
            <v>74</v>
          </cell>
          <cell r="T215">
            <v>19</v>
          </cell>
          <cell r="U215">
            <v>24</v>
          </cell>
          <cell r="V215">
            <v>16</v>
          </cell>
          <cell r="W215">
            <v>21</v>
          </cell>
          <cell r="X215">
            <v>80</v>
          </cell>
          <cell r="Y215">
            <v>0</v>
          </cell>
          <cell r="Z215">
            <v>5.7</v>
          </cell>
          <cell r="AA215">
            <v>0</v>
          </cell>
          <cell r="AB215">
            <v>5.4</v>
          </cell>
          <cell r="AC215">
            <v>11.1</v>
          </cell>
          <cell r="AD215">
            <v>12</v>
          </cell>
          <cell r="AE215">
            <v>1</v>
          </cell>
          <cell r="AF215">
            <v>0</v>
          </cell>
          <cell r="AG215">
            <v>5</v>
          </cell>
          <cell r="AH215">
            <v>18</v>
          </cell>
          <cell r="AI215">
            <v>11</v>
          </cell>
          <cell r="AJ215">
            <v>0</v>
          </cell>
          <cell r="AK215">
            <v>0</v>
          </cell>
          <cell r="AL215">
            <v>5</v>
          </cell>
          <cell r="AM215">
            <v>16</v>
          </cell>
          <cell r="AN215">
            <v>18.414000000000001</v>
          </cell>
          <cell r="AO215">
            <v>18.414000000000001</v>
          </cell>
          <cell r="AP215">
            <v>18.414000000000001</v>
          </cell>
          <cell r="AQ215">
            <v>18.414000000000001</v>
          </cell>
          <cell r="AR215">
            <v>18.414000000000001</v>
          </cell>
          <cell r="AS215">
            <v>18.414000000000001</v>
          </cell>
          <cell r="AT215">
            <v>18.414000000000001</v>
          </cell>
        </row>
        <row r="216">
          <cell r="B216">
            <v>0</v>
          </cell>
          <cell r="C216">
            <v>0</v>
          </cell>
          <cell r="D216">
            <v>0</v>
          </cell>
          <cell r="E216">
            <v>0</v>
          </cell>
          <cell r="F216">
            <v>273.49821600000001</v>
          </cell>
          <cell r="G216">
            <v>286.10000000000002</v>
          </cell>
          <cell r="H216">
            <v>285.7672</v>
          </cell>
          <cell r="I216">
            <v>230</v>
          </cell>
          <cell r="J216">
            <v>61</v>
          </cell>
          <cell r="K216">
            <v>72</v>
          </cell>
          <cell r="L216">
            <v>67</v>
          </cell>
          <cell r="M216">
            <v>59</v>
          </cell>
          <cell r="N216">
            <v>259</v>
          </cell>
          <cell r="O216">
            <v>46</v>
          </cell>
          <cell r="P216">
            <v>48</v>
          </cell>
          <cell r="Q216">
            <v>47</v>
          </cell>
          <cell r="R216">
            <v>41</v>
          </cell>
          <cell r="S216">
            <v>182</v>
          </cell>
          <cell r="T216">
            <v>38</v>
          </cell>
          <cell r="U216">
            <v>35</v>
          </cell>
          <cell r="V216">
            <v>36</v>
          </cell>
          <cell r="W216">
            <v>34</v>
          </cell>
          <cell r="X216">
            <v>143</v>
          </cell>
          <cell r="Y216">
            <v>31.574999999999999</v>
          </cell>
          <cell r="Z216">
            <v>29.375</v>
          </cell>
          <cell r="AA216">
            <v>28.475000000000001</v>
          </cell>
          <cell r="AB216">
            <v>27.375</v>
          </cell>
          <cell r="AC216">
            <v>116.8</v>
          </cell>
          <cell r="AD216">
            <v>31</v>
          </cell>
          <cell r="AE216">
            <v>37</v>
          </cell>
          <cell r="AF216">
            <v>28</v>
          </cell>
          <cell r="AG216">
            <v>27</v>
          </cell>
          <cell r="AH216">
            <v>123</v>
          </cell>
          <cell r="AI216">
            <v>31</v>
          </cell>
          <cell r="AJ216">
            <v>37</v>
          </cell>
          <cell r="AK216">
            <v>27</v>
          </cell>
          <cell r="AL216">
            <v>25</v>
          </cell>
          <cell r="AM216">
            <v>120</v>
          </cell>
          <cell r="AN216">
            <v>59.979199999999999</v>
          </cell>
          <cell r="AO216">
            <v>59.979199999999999</v>
          </cell>
          <cell r="AP216">
            <v>37.680599999999998</v>
          </cell>
          <cell r="AQ216">
            <v>18.762599999999999</v>
          </cell>
          <cell r="AR216">
            <v>13.683</v>
          </cell>
          <cell r="AS216">
            <v>13.683</v>
          </cell>
          <cell r="AT216">
            <v>13.683</v>
          </cell>
        </row>
        <row r="217">
          <cell r="B217">
            <v>0</v>
          </cell>
          <cell r="C217">
            <v>0</v>
          </cell>
          <cell r="D217">
            <v>0</v>
          </cell>
          <cell r="E217">
            <v>0</v>
          </cell>
          <cell r="F217">
            <v>273.49821600000001</v>
          </cell>
          <cell r="G217">
            <v>243.10000000000002</v>
          </cell>
          <cell r="H217">
            <v>105.76719999999999</v>
          </cell>
          <cell r="I217">
            <v>141.73830000000001</v>
          </cell>
          <cell r="J217">
            <v>38.05192473524999</v>
          </cell>
          <cell r="K217">
            <v>38.05192473524999</v>
          </cell>
          <cell r="L217">
            <v>38.05192473524999</v>
          </cell>
          <cell r="M217">
            <v>38.05192473524999</v>
          </cell>
          <cell r="N217">
            <v>152.20769894099996</v>
          </cell>
          <cell r="O217">
            <v>18.950358575000003</v>
          </cell>
          <cell r="P217">
            <v>18.702049774999999</v>
          </cell>
          <cell r="Q217">
            <v>18.779646275000001</v>
          </cell>
          <cell r="R217">
            <v>18.669717900000002</v>
          </cell>
          <cell r="S217">
            <v>75.103065799999996</v>
          </cell>
          <cell r="T217">
            <v>24.7723375152</v>
          </cell>
          <cell r="U217">
            <v>23.213946715300001</v>
          </cell>
          <cell r="V217">
            <v>22.983896380499996</v>
          </cell>
          <cell r="W217">
            <v>21.672154158000001</v>
          </cell>
          <cell r="X217">
            <v>92.617335765900009</v>
          </cell>
          <cell r="Y217">
            <v>20.157270011999998</v>
          </cell>
          <cell r="Z217">
            <v>18.318234858</v>
          </cell>
          <cell r="AA217">
            <v>17.564090708000002</v>
          </cell>
          <cell r="AB217">
            <v>16.235203500000001</v>
          </cell>
          <cell r="AC217">
            <v>72.277715581999999</v>
          </cell>
          <cell r="AD217">
            <v>20.288800267136295</v>
          </cell>
          <cell r="AE217">
            <v>21.252990150895243</v>
          </cell>
          <cell r="AF217">
            <v>20.323842632222838</v>
          </cell>
          <cell r="AG217">
            <v>18.996831582761793</v>
          </cell>
          <cell r="AH217">
            <v>86.137749999999997</v>
          </cell>
          <cell r="AI217">
            <v>20.288800267136295</v>
          </cell>
          <cell r="AJ217">
            <v>21.252990150895243</v>
          </cell>
          <cell r="AK217">
            <v>20.323842632222838</v>
          </cell>
          <cell r="AL217">
            <v>18.996831582761793</v>
          </cell>
          <cell r="AM217">
            <v>80.859220028043239</v>
          </cell>
          <cell r="AN217">
            <v>58.995199999999997</v>
          </cell>
          <cell r="AO217">
            <v>58.995199999999997</v>
          </cell>
          <cell r="AP217">
            <v>36.696599999999997</v>
          </cell>
          <cell r="AQ217">
            <v>17.778600000000001</v>
          </cell>
          <cell r="AR217">
            <v>12.699</v>
          </cell>
          <cell r="AS217">
            <v>12.699</v>
          </cell>
          <cell r="AT217">
            <v>12.699</v>
          </cell>
        </row>
        <row r="218">
          <cell r="G218">
            <v>43</v>
          </cell>
          <cell r="H218">
            <v>180</v>
          </cell>
          <cell r="I218">
            <v>88.26169999999999</v>
          </cell>
          <cell r="J218">
            <v>22.94807526475001</v>
          </cell>
          <cell r="K218">
            <v>33.94807526475001</v>
          </cell>
          <cell r="L218">
            <v>28.94807526475001</v>
          </cell>
          <cell r="M218">
            <v>20.94807526475001</v>
          </cell>
          <cell r="N218">
            <v>106.79230105900004</v>
          </cell>
          <cell r="O218">
            <v>27.049641424999997</v>
          </cell>
          <cell r="P218">
            <v>29.297950225000001</v>
          </cell>
          <cell r="Q218">
            <v>28.220353724999999</v>
          </cell>
          <cell r="R218">
            <v>22.330282099999998</v>
          </cell>
          <cell r="S218">
            <v>106.898227475</v>
          </cell>
          <cell r="T218">
            <v>13.2276624848</v>
          </cell>
          <cell r="U218">
            <v>11.786053284699999</v>
          </cell>
          <cell r="V218">
            <v>13.016103619500004</v>
          </cell>
          <cell r="W218">
            <v>12.327845841999999</v>
          </cell>
          <cell r="X218">
            <v>50.357665230999999</v>
          </cell>
          <cell r="Y218">
            <v>11.417729988000001</v>
          </cell>
          <cell r="Z218">
            <v>11.056765142</v>
          </cell>
          <cell r="AA218">
            <v>10.910909291999999</v>
          </cell>
          <cell r="AB218">
            <v>11.139796499999999</v>
          </cell>
          <cell r="AC218">
            <v>44.525200921999996</v>
          </cell>
          <cell r="AD218">
            <v>10.711199732863705</v>
          </cell>
          <cell r="AE218">
            <v>15.747009849104757</v>
          </cell>
          <cell r="AF218">
            <v>7.6761573677771615</v>
          </cell>
          <cell r="AG218">
            <v>8.0031684172382072</v>
          </cell>
          <cell r="AH218">
            <v>42.137535366983833</v>
          </cell>
          <cell r="AI218">
            <v>10.711199732863705</v>
          </cell>
          <cell r="AJ218">
            <v>15.747009849104757</v>
          </cell>
          <cell r="AK218">
            <v>6.6761573677771615</v>
          </cell>
          <cell r="AL218">
            <v>6.0031684172382072</v>
          </cell>
          <cell r="AM218">
            <v>39.140779971956761</v>
          </cell>
          <cell r="AN218">
            <v>0.98399999999999987</v>
          </cell>
          <cell r="AO218">
            <v>0.98399999999999987</v>
          </cell>
          <cell r="AP218">
            <v>0.98399999999999987</v>
          </cell>
          <cell r="AQ218">
            <v>0.98399999999999987</v>
          </cell>
          <cell r="AR218">
            <v>0.98399999999999987</v>
          </cell>
          <cell r="AS218">
            <v>0.98399999999999987</v>
          </cell>
          <cell r="AT218">
            <v>0.98399999999999987</v>
          </cell>
        </row>
        <row r="220">
          <cell r="B220">
            <v>0</v>
          </cell>
          <cell r="C220">
            <v>0</v>
          </cell>
          <cell r="D220">
            <v>0</v>
          </cell>
          <cell r="E220">
            <v>68</v>
          </cell>
          <cell r="F220">
            <v>29</v>
          </cell>
          <cell r="G220">
            <v>82</v>
          </cell>
          <cell r="H220">
            <v>61</v>
          </cell>
          <cell r="I220">
            <v>35</v>
          </cell>
          <cell r="J220">
            <v>12</v>
          </cell>
          <cell r="K220">
            <v>8</v>
          </cell>
          <cell r="L220">
            <v>12</v>
          </cell>
          <cell r="M220">
            <v>11</v>
          </cell>
          <cell r="N220">
            <v>43</v>
          </cell>
          <cell r="O220">
            <v>11</v>
          </cell>
          <cell r="P220">
            <v>11</v>
          </cell>
          <cell r="Q220">
            <v>8</v>
          </cell>
          <cell r="R220">
            <v>10</v>
          </cell>
          <cell r="S220">
            <v>40</v>
          </cell>
          <cell r="T220">
            <v>12</v>
          </cell>
          <cell r="U220">
            <v>12</v>
          </cell>
          <cell r="V220">
            <v>33</v>
          </cell>
          <cell r="W220">
            <v>33</v>
          </cell>
          <cell r="X220">
            <v>90</v>
          </cell>
          <cell r="Y220">
            <v>0</v>
          </cell>
          <cell r="Z220">
            <v>0</v>
          </cell>
          <cell r="AA220">
            <v>0</v>
          </cell>
          <cell r="AB220">
            <v>0</v>
          </cell>
          <cell r="AC220">
            <v>0</v>
          </cell>
          <cell r="AD220">
            <v>3</v>
          </cell>
          <cell r="AE220">
            <v>3</v>
          </cell>
          <cell r="AF220">
            <v>0</v>
          </cell>
          <cell r="AG220">
            <v>0</v>
          </cell>
          <cell r="AH220">
            <v>6</v>
          </cell>
          <cell r="AI220">
            <v>22</v>
          </cell>
          <cell r="AJ220">
            <v>23</v>
          </cell>
          <cell r="AK220">
            <v>22</v>
          </cell>
          <cell r="AL220">
            <v>23</v>
          </cell>
          <cell r="AM220">
            <v>90</v>
          </cell>
          <cell r="AN220">
            <v>0</v>
          </cell>
          <cell r="AO220">
            <v>0</v>
          </cell>
          <cell r="AP220">
            <v>0</v>
          </cell>
          <cell r="AQ220">
            <v>0</v>
          </cell>
          <cell r="AR220">
            <v>0</v>
          </cell>
          <cell r="AS220">
            <v>0</v>
          </cell>
          <cell r="AT220">
            <v>0</v>
          </cell>
        </row>
        <row r="222">
          <cell r="B222">
            <v>821</v>
          </cell>
          <cell r="C222">
            <v>946</v>
          </cell>
          <cell r="D222">
            <v>984</v>
          </cell>
          <cell r="E222">
            <v>438</v>
          </cell>
          <cell r="F222">
            <v>307</v>
          </cell>
          <cell r="G222">
            <v>339</v>
          </cell>
          <cell r="H222">
            <v>330</v>
          </cell>
          <cell r="I222">
            <v>397</v>
          </cell>
          <cell r="J222">
            <v>113</v>
          </cell>
          <cell r="K222">
            <v>107</v>
          </cell>
          <cell r="L222">
            <v>105</v>
          </cell>
          <cell r="M222">
            <v>95</v>
          </cell>
          <cell r="N222">
            <v>420</v>
          </cell>
          <cell r="O222">
            <v>77</v>
          </cell>
          <cell r="P222">
            <v>89</v>
          </cell>
          <cell r="Q222">
            <v>90</v>
          </cell>
          <cell r="R222">
            <v>85</v>
          </cell>
          <cell r="S222">
            <v>341</v>
          </cell>
          <cell r="T222">
            <v>75</v>
          </cell>
          <cell r="U222">
            <v>83</v>
          </cell>
          <cell r="V222">
            <v>88</v>
          </cell>
          <cell r="W222">
            <v>83</v>
          </cell>
          <cell r="X222">
            <v>329</v>
          </cell>
          <cell r="Y222">
            <v>71.015852820000006</v>
          </cell>
          <cell r="Z222">
            <v>66.03534762000001</v>
          </cell>
          <cell r="AA222">
            <v>61.80549408000001</v>
          </cell>
          <cell r="AB222">
            <v>56.487131580000003</v>
          </cell>
          <cell r="AC222">
            <v>255.3438261</v>
          </cell>
          <cell r="AD222">
            <v>52.012078142979028</v>
          </cell>
          <cell r="AE222">
            <v>44.048354131169567</v>
          </cell>
          <cell r="AF222">
            <v>60.68281750326674</v>
          </cell>
          <cell r="AG222">
            <v>56.410630003266739</v>
          </cell>
          <cell r="AH222">
            <v>213.15387978068208</v>
          </cell>
          <cell r="AI222">
            <v>81</v>
          </cell>
          <cell r="AJ222">
            <v>81</v>
          </cell>
          <cell r="AK222">
            <v>78</v>
          </cell>
          <cell r="AL222">
            <v>70</v>
          </cell>
          <cell r="AM222">
            <v>310</v>
          </cell>
          <cell r="AN222">
            <v>164.21296198873992</v>
          </cell>
          <cell r="AO222">
            <v>164.21296198873992</v>
          </cell>
          <cell r="AP222">
            <v>152.17386062210898</v>
          </cell>
          <cell r="AQ222">
            <v>157.4430244171742</v>
          </cell>
          <cell r="AR222">
            <v>158.00073295140376</v>
          </cell>
          <cell r="AS222">
            <v>149.78517645920957</v>
          </cell>
          <cell r="AT222">
            <v>133.31541166886348</v>
          </cell>
        </row>
        <row r="224">
          <cell r="B224">
            <v>576</v>
          </cell>
          <cell r="C224">
            <v>553</v>
          </cell>
          <cell r="D224">
            <v>538</v>
          </cell>
          <cell r="E224">
            <v>372</v>
          </cell>
          <cell r="F224">
            <v>236</v>
          </cell>
          <cell r="G224">
            <v>237</v>
          </cell>
          <cell r="H224">
            <v>224</v>
          </cell>
          <cell r="I224">
            <v>300</v>
          </cell>
          <cell r="J224">
            <v>83</v>
          </cell>
          <cell r="K224">
            <v>78</v>
          </cell>
          <cell r="L224">
            <v>72</v>
          </cell>
          <cell r="M224">
            <v>68</v>
          </cell>
          <cell r="N224">
            <v>301</v>
          </cell>
          <cell r="O224">
            <v>61</v>
          </cell>
          <cell r="P224">
            <v>67</v>
          </cell>
          <cell r="Q224">
            <v>64</v>
          </cell>
          <cell r="R224">
            <v>61</v>
          </cell>
          <cell r="S224">
            <v>253</v>
          </cell>
          <cell r="T224">
            <v>52</v>
          </cell>
          <cell r="U224">
            <v>52</v>
          </cell>
          <cell r="V224">
            <v>50</v>
          </cell>
          <cell r="W224">
            <v>49</v>
          </cell>
          <cell r="X224">
            <v>203</v>
          </cell>
          <cell r="Y224">
            <v>52.057499999999997</v>
          </cell>
          <cell r="Z224">
            <v>46.633125</v>
          </cell>
          <cell r="AA224">
            <v>41.033437499999998</v>
          </cell>
          <cell r="AB224">
            <v>35.454374999999999</v>
          </cell>
          <cell r="AC224">
            <v>175.1784375</v>
          </cell>
          <cell r="AD224">
            <v>46</v>
          </cell>
          <cell r="AE224">
            <v>53</v>
          </cell>
          <cell r="AF224">
            <v>44.773203125000002</v>
          </cell>
          <cell r="AG224">
            <v>40.501015625000001</v>
          </cell>
          <cell r="AH224">
            <v>184.27421875000002</v>
          </cell>
          <cell r="AI224">
            <v>47</v>
          </cell>
          <cell r="AJ224">
            <v>47</v>
          </cell>
          <cell r="AK224">
            <v>46</v>
          </cell>
          <cell r="AL224">
            <v>45</v>
          </cell>
          <cell r="AM224">
            <v>185</v>
          </cell>
          <cell r="AN224">
            <v>119.81693749999999</v>
          </cell>
          <cell r="AO224">
            <v>119.81693749999999</v>
          </cell>
          <cell r="AP224">
            <v>83.052249999999987</v>
          </cell>
          <cell r="AQ224">
            <v>63.527249999999995</v>
          </cell>
          <cell r="AR224">
            <v>56.427249999999994</v>
          </cell>
          <cell r="AS224">
            <v>40.452249999999999</v>
          </cell>
          <cell r="AT224">
            <v>15.602249999999998</v>
          </cell>
        </row>
        <row r="225">
          <cell r="B225">
            <v>245</v>
          </cell>
          <cell r="C225">
            <v>393</v>
          </cell>
          <cell r="D225">
            <v>446</v>
          </cell>
          <cell r="E225">
            <v>66</v>
          </cell>
          <cell r="F225">
            <v>71</v>
          </cell>
          <cell r="G225">
            <v>102</v>
          </cell>
          <cell r="H225">
            <v>106</v>
          </cell>
          <cell r="I225">
            <v>97</v>
          </cell>
          <cell r="J225">
            <v>30</v>
          </cell>
          <cell r="K225">
            <v>29</v>
          </cell>
          <cell r="L225">
            <v>33</v>
          </cell>
          <cell r="M225">
            <v>27</v>
          </cell>
          <cell r="N225">
            <v>119</v>
          </cell>
          <cell r="O225">
            <v>16</v>
          </cell>
          <cell r="P225">
            <v>22</v>
          </cell>
          <cell r="Q225">
            <v>26</v>
          </cell>
          <cell r="R225">
            <v>24</v>
          </cell>
          <cell r="S225">
            <v>88</v>
          </cell>
          <cell r="T225">
            <v>23</v>
          </cell>
          <cell r="U225">
            <v>31</v>
          </cell>
          <cell r="V225">
            <v>38</v>
          </cell>
          <cell r="W225">
            <v>34</v>
          </cell>
          <cell r="X225">
            <v>126</v>
          </cell>
          <cell r="Y225">
            <v>18.958352820000002</v>
          </cell>
          <cell r="Z225">
            <v>19.402222620000003</v>
          </cell>
          <cell r="AA225">
            <v>20.772056580000005</v>
          </cell>
          <cell r="AB225">
            <v>21.032756580000004</v>
          </cell>
          <cell r="AC225">
            <v>80.165388600000014</v>
          </cell>
          <cell r="AD225">
            <v>6.0120781429790284</v>
          </cell>
          <cell r="AE225">
            <v>-8.9516458688304326</v>
          </cell>
          <cell r="AF225">
            <v>15.909614378266737</v>
          </cell>
          <cell r="AG225">
            <v>15.909614378266737</v>
          </cell>
          <cell r="AH225">
            <v>28.879661030682069</v>
          </cell>
          <cell r="AI225">
            <v>34</v>
          </cell>
          <cell r="AJ225">
            <v>34</v>
          </cell>
          <cell r="AK225">
            <v>32</v>
          </cell>
          <cell r="AL225">
            <v>25</v>
          </cell>
          <cell r="AM225">
            <v>125</v>
          </cell>
          <cell r="AN225">
            <v>44.396024488739926</v>
          </cell>
          <cell r="AO225">
            <v>44.396024488739926</v>
          </cell>
          <cell r="AP225">
            <v>69.121610622108975</v>
          </cell>
          <cell r="AQ225">
            <v>93.915774417174205</v>
          </cell>
          <cell r="AR225">
            <v>101.57348295140376</v>
          </cell>
          <cell r="AS225">
            <v>109.33292645920957</v>
          </cell>
          <cell r="AT225">
            <v>117.71316166886346</v>
          </cell>
        </row>
        <row r="228">
          <cell r="Y228">
            <v>25.945338387673221</v>
          </cell>
          <cell r="Z228">
            <v>31.686432137673222</v>
          </cell>
          <cell r="AA228">
            <v>37.42752588767322</v>
          </cell>
          <cell r="AB228">
            <v>43.168619637673217</v>
          </cell>
          <cell r="AC228">
            <v>138.2279160506929</v>
          </cell>
          <cell r="AD228">
            <v>23.987921857020972</v>
          </cell>
          <cell r="AE228">
            <v>29.951645868830433</v>
          </cell>
          <cell r="AF228">
            <v>34.846317205764727</v>
          </cell>
          <cell r="AG228">
            <v>40.191473455764729</v>
          </cell>
          <cell r="AH228">
            <v>128.97735838738086</v>
          </cell>
          <cell r="AN228">
            <v>226.5291086771347</v>
          </cell>
          <cell r="AO228">
            <v>226.5291086771347</v>
          </cell>
          <cell r="AP228">
            <v>365.0906086771347</v>
          </cell>
          <cell r="AQ228">
            <v>426.79210867713471</v>
          </cell>
          <cell r="AR228">
            <v>408.8886086771347</v>
          </cell>
          <cell r="AS228">
            <v>481</v>
          </cell>
          <cell r="AT228">
            <v>453</v>
          </cell>
        </row>
        <row r="230">
          <cell r="B230">
            <v>-91</v>
          </cell>
          <cell r="C230">
            <v>-147</v>
          </cell>
          <cell r="D230">
            <v>-187</v>
          </cell>
          <cell r="E230">
            <v>-283</v>
          </cell>
          <cell r="F230">
            <v>-349</v>
          </cell>
          <cell r="G230">
            <v>-353</v>
          </cell>
          <cell r="H230">
            <v>-323</v>
          </cell>
          <cell r="I230">
            <v>-17</v>
          </cell>
          <cell r="J230">
            <v>73</v>
          </cell>
          <cell r="K230">
            <v>37</v>
          </cell>
          <cell r="L230">
            <v>62</v>
          </cell>
          <cell r="M230">
            <v>22</v>
          </cell>
          <cell r="N230">
            <v>194</v>
          </cell>
          <cell r="O230">
            <v>14</v>
          </cell>
          <cell r="P230">
            <v>56</v>
          </cell>
          <cell r="Q230">
            <v>66</v>
          </cell>
          <cell r="R230">
            <v>89</v>
          </cell>
          <cell r="S230">
            <v>225</v>
          </cell>
          <cell r="T230">
            <v>12</v>
          </cell>
          <cell r="U230">
            <v>-6</v>
          </cell>
          <cell r="V230">
            <v>-39</v>
          </cell>
          <cell r="W230">
            <v>-18</v>
          </cell>
          <cell r="X230">
            <v>-51</v>
          </cell>
          <cell r="Y230">
            <v>-28.736922598010352</v>
          </cell>
          <cell r="Z230">
            <v>-33.168102826269006</v>
          </cell>
          <cell r="AA230">
            <v>-34.962871037811382</v>
          </cell>
          <cell r="AB230">
            <v>-32.37775846656745</v>
          </cell>
          <cell r="AC230">
            <v>-129.24565492865818</v>
          </cell>
          <cell r="AD230">
            <v>9</v>
          </cell>
          <cell r="AE230">
            <v>32</v>
          </cell>
          <cell r="AF230">
            <v>-30</v>
          </cell>
          <cell r="AG230">
            <v>-32</v>
          </cell>
          <cell r="AH230">
            <v>-21</v>
          </cell>
          <cell r="AI230">
            <v>9</v>
          </cell>
          <cell r="AJ230">
            <v>32</v>
          </cell>
          <cell r="AK230">
            <v>-18</v>
          </cell>
          <cell r="AL230">
            <v>7</v>
          </cell>
          <cell r="AM230">
            <v>30</v>
          </cell>
          <cell r="AN230">
            <v>30.225000000000023</v>
          </cell>
          <cell r="AO230">
            <v>30.225000000000023</v>
          </cell>
          <cell r="AP230">
            <v>30.499050000000011</v>
          </cell>
          <cell r="AQ230">
            <v>43.793531950000101</v>
          </cell>
          <cell r="AR230">
            <v>44.109402589000069</v>
          </cell>
          <cell r="AS230">
            <v>44.431590640780087</v>
          </cell>
          <cell r="AT230">
            <v>44.760222453595702</v>
          </cell>
        </row>
        <row r="232">
          <cell r="B232">
            <v>137</v>
          </cell>
          <cell r="C232">
            <v>87</v>
          </cell>
          <cell r="D232">
            <v>197</v>
          </cell>
          <cell r="E232">
            <v>432</v>
          </cell>
          <cell r="F232">
            <v>353</v>
          </cell>
          <cell r="G232">
            <v>520</v>
          </cell>
          <cell r="H232">
            <v>452</v>
          </cell>
          <cell r="I232">
            <v>606</v>
          </cell>
          <cell r="J232">
            <v>135</v>
          </cell>
          <cell r="K232">
            <v>81</v>
          </cell>
          <cell r="L232">
            <v>115</v>
          </cell>
          <cell r="M232">
            <v>82</v>
          </cell>
          <cell r="N232">
            <v>413</v>
          </cell>
          <cell r="O232">
            <v>84</v>
          </cell>
          <cell r="P232">
            <v>137</v>
          </cell>
          <cell r="Q232">
            <v>156</v>
          </cell>
          <cell r="R232">
            <v>149</v>
          </cell>
          <cell r="S232">
            <v>526</v>
          </cell>
          <cell r="T232">
            <v>120</v>
          </cell>
          <cell r="U232">
            <v>150</v>
          </cell>
          <cell r="V232">
            <v>131</v>
          </cell>
          <cell r="W232">
            <v>144</v>
          </cell>
          <cell r="X232">
            <v>545</v>
          </cell>
          <cell r="Y232">
            <v>109</v>
          </cell>
          <cell r="Z232">
            <v>109</v>
          </cell>
          <cell r="AA232">
            <v>109</v>
          </cell>
          <cell r="AB232">
            <v>109</v>
          </cell>
          <cell r="AC232">
            <v>436</v>
          </cell>
          <cell r="AD232">
            <v>214</v>
          </cell>
          <cell r="AE232">
            <v>192</v>
          </cell>
          <cell r="AF232">
            <v>109</v>
          </cell>
          <cell r="AG232">
            <v>109</v>
          </cell>
          <cell r="AH232">
            <v>624</v>
          </cell>
          <cell r="AI232">
            <v>144</v>
          </cell>
          <cell r="AJ232">
            <v>145</v>
          </cell>
          <cell r="AK232">
            <v>145</v>
          </cell>
          <cell r="AL232">
            <v>145</v>
          </cell>
          <cell r="AM232">
            <v>579</v>
          </cell>
          <cell r="AN232">
            <v>587.45999999999992</v>
          </cell>
          <cell r="AO232">
            <v>587.45999999999992</v>
          </cell>
          <cell r="AP232">
            <v>597.76427999999999</v>
          </cell>
          <cell r="AQ232">
            <v>621.83680131999995</v>
          </cell>
          <cell r="AR232">
            <v>633.7135373463999</v>
          </cell>
          <cell r="AS232">
            <v>645.82780809332792</v>
          </cell>
          <cell r="AT232">
            <v>658.18436425519451</v>
          </cell>
        </row>
        <row r="234">
          <cell r="B234">
            <v>2</v>
          </cell>
          <cell r="C234">
            <v>7</v>
          </cell>
          <cell r="D234">
            <v>0</v>
          </cell>
          <cell r="E234">
            <v>0</v>
          </cell>
          <cell r="F234">
            <v>0</v>
          </cell>
          <cell r="G234">
            <v>12</v>
          </cell>
          <cell r="H234">
            <v>12</v>
          </cell>
          <cell r="I234">
            <v>12</v>
          </cell>
          <cell r="J234">
            <v>3</v>
          </cell>
          <cell r="K234">
            <v>3</v>
          </cell>
          <cell r="L234">
            <v>3</v>
          </cell>
          <cell r="M234">
            <v>4</v>
          </cell>
          <cell r="N234">
            <v>13</v>
          </cell>
          <cell r="O234">
            <v>7</v>
          </cell>
          <cell r="P234">
            <v>9</v>
          </cell>
          <cell r="Q234">
            <v>3</v>
          </cell>
          <cell r="R234">
            <v>3</v>
          </cell>
          <cell r="S234">
            <v>22</v>
          </cell>
          <cell r="T234">
            <v>32</v>
          </cell>
          <cell r="U234">
            <v>15</v>
          </cell>
          <cell r="V234">
            <v>10</v>
          </cell>
          <cell r="W234">
            <v>3</v>
          </cell>
          <cell r="X234">
            <v>60</v>
          </cell>
          <cell r="Y234">
            <v>6</v>
          </cell>
          <cell r="Z234">
            <v>6</v>
          </cell>
          <cell r="AA234">
            <v>6</v>
          </cell>
          <cell r="AB234">
            <v>6</v>
          </cell>
          <cell r="AC234">
            <v>24</v>
          </cell>
          <cell r="AD234">
            <v>3</v>
          </cell>
          <cell r="AE234">
            <v>4</v>
          </cell>
          <cell r="AF234">
            <v>6</v>
          </cell>
          <cell r="AG234">
            <v>6</v>
          </cell>
          <cell r="AH234">
            <v>19</v>
          </cell>
          <cell r="AI234">
            <v>3</v>
          </cell>
          <cell r="AJ234">
            <v>4</v>
          </cell>
          <cell r="AK234">
            <v>4</v>
          </cell>
          <cell r="AL234">
            <v>4</v>
          </cell>
          <cell r="AM234">
            <v>15</v>
          </cell>
          <cell r="AN234">
            <v>15</v>
          </cell>
          <cell r="AO234">
            <v>15</v>
          </cell>
          <cell r="AP234">
            <v>15</v>
          </cell>
          <cell r="AQ234">
            <v>28</v>
          </cell>
          <cell r="AR234">
            <v>28</v>
          </cell>
          <cell r="AS234">
            <v>28</v>
          </cell>
          <cell r="AT234">
            <v>28</v>
          </cell>
        </row>
        <row r="235">
          <cell r="B235">
            <v>135</v>
          </cell>
          <cell r="C235">
            <v>80</v>
          </cell>
          <cell r="D235">
            <v>197</v>
          </cell>
          <cell r="E235">
            <v>432</v>
          </cell>
          <cell r="F235">
            <v>353</v>
          </cell>
          <cell r="G235">
            <v>508</v>
          </cell>
          <cell r="H235">
            <v>440</v>
          </cell>
          <cell r="I235">
            <v>594</v>
          </cell>
          <cell r="J235">
            <v>132</v>
          </cell>
          <cell r="K235">
            <v>78</v>
          </cell>
          <cell r="L235">
            <v>112</v>
          </cell>
          <cell r="M235">
            <v>78</v>
          </cell>
          <cell r="N235">
            <v>400</v>
          </cell>
          <cell r="O235">
            <v>77</v>
          </cell>
          <cell r="P235">
            <v>128</v>
          </cell>
          <cell r="Q235">
            <v>153</v>
          </cell>
          <cell r="R235">
            <v>146</v>
          </cell>
          <cell r="S235">
            <v>504</v>
          </cell>
          <cell r="T235">
            <v>88</v>
          </cell>
          <cell r="U235">
            <v>135</v>
          </cell>
          <cell r="V235">
            <v>121</v>
          </cell>
          <cell r="W235">
            <v>141</v>
          </cell>
          <cell r="X235">
            <v>485</v>
          </cell>
          <cell r="Y235">
            <v>103</v>
          </cell>
          <cell r="Z235">
            <v>103</v>
          </cell>
          <cell r="AA235">
            <v>103</v>
          </cell>
          <cell r="AB235">
            <v>103</v>
          </cell>
          <cell r="AC235">
            <v>412</v>
          </cell>
          <cell r="AD235">
            <v>211</v>
          </cell>
          <cell r="AE235">
            <v>188</v>
          </cell>
          <cell r="AF235">
            <v>103</v>
          </cell>
          <cell r="AG235">
            <v>103</v>
          </cell>
          <cell r="AH235">
            <v>605</v>
          </cell>
          <cell r="AI235">
            <v>141</v>
          </cell>
          <cell r="AJ235">
            <v>141</v>
          </cell>
          <cell r="AK235">
            <v>141</v>
          </cell>
          <cell r="AL235">
            <v>141</v>
          </cell>
          <cell r="AM235">
            <v>564</v>
          </cell>
          <cell r="AN235">
            <v>572.45999999999992</v>
          </cell>
          <cell r="AO235">
            <v>572.45999999999992</v>
          </cell>
          <cell r="AP235">
            <v>582.76427999999999</v>
          </cell>
          <cell r="AQ235">
            <v>593.83680131999995</v>
          </cell>
          <cell r="AR235">
            <v>605.7135373463999</v>
          </cell>
          <cell r="AS235">
            <v>617.82780809332792</v>
          </cell>
          <cell r="AT235">
            <v>630.18436425519451</v>
          </cell>
        </row>
        <row r="237">
          <cell r="B237">
            <v>-228</v>
          </cell>
          <cell r="C237">
            <v>-234</v>
          </cell>
          <cell r="D237">
            <v>-384</v>
          </cell>
          <cell r="E237">
            <v>-715</v>
          </cell>
          <cell r="F237">
            <v>-702</v>
          </cell>
          <cell r="G237">
            <v>-873</v>
          </cell>
          <cell r="H237">
            <v>-775</v>
          </cell>
          <cell r="I237">
            <v>-623</v>
          </cell>
          <cell r="J237">
            <v>-62</v>
          </cell>
          <cell r="K237">
            <v>-44</v>
          </cell>
          <cell r="L237">
            <v>-53</v>
          </cell>
          <cell r="M237">
            <v>-60</v>
          </cell>
          <cell r="N237">
            <v>-219</v>
          </cell>
          <cell r="O237">
            <v>-70</v>
          </cell>
          <cell r="P237">
            <v>-81</v>
          </cell>
          <cell r="Q237">
            <v>-90</v>
          </cell>
          <cell r="R237">
            <v>-60</v>
          </cell>
          <cell r="S237">
            <v>-301</v>
          </cell>
          <cell r="T237">
            <v>-108</v>
          </cell>
          <cell r="U237">
            <v>-156</v>
          </cell>
          <cell r="V237">
            <v>-170</v>
          </cell>
          <cell r="W237">
            <v>-162</v>
          </cell>
          <cell r="X237">
            <v>-596</v>
          </cell>
          <cell r="Y237">
            <v>-137.73692259801035</v>
          </cell>
          <cell r="Z237">
            <v>-142.16810282626901</v>
          </cell>
          <cell r="AA237">
            <v>-143.9628710378114</v>
          </cell>
          <cell r="AB237">
            <v>-141.37775846656746</v>
          </cell>
          <cell r="AC237">
            <v>-565.24565492865827</v>
          </cell>
          <cell r="AD237">
            <v>-205</v>
          </cell>
          <cell r="AE237">
            <v>-160</v>
          </cell>
          <cell r="AF237">
            <v>-139</v>
          </cell>
          <cell r="AG237">
            <v>-141</v>
          </cell>
          <cell r="AH237">
            <v>-645</v>
          </cell>
          <cell r="AI237">
            <v>-135</v>
          </cell>
          <cell r="AJ237">
            <v>-113</v>
          </cell>
          <cell r="AK237">
            <v>-163</v>
          </cell>
          <cell r="AL237">
            <v>-138</v>
          </cell>
          <cell r="AM237">
            <v>-549</v>
          </cell>
          <cell r="AN237">
            <v>-557.2349999999999</v>
          </cell>
          <cell r="AO237">
            <v>-557.2349999999999</v>
          </cell>
          <cell r="AP237">
            <v>-567.26522999999997</v>
          </cell>
          <cell r="AQ237">
            <v>-578.04326936999985</v>
          </cell>
          <cell r="AR237">
            <v>-589.60413475739983</v>
          </cell>
          <cell r="AS237">
            <v>-601.39621745254783</v>
          </cell>
          <cell r="AT237">
            <v>-613.42414180159881</v>
          </cell>
        </row>
        <row r="239">
          <cell r="B239">
            <v>-20</v>
          </cell>
          <cell r="C239">
            <v>-31</v>
          </cell>
          <cell r="D239">
            <v>-16</v>
          </cell>
          <cell r="E239">
            <v>-24</v>
          </cell>
          <cell r="F239">
            <v>-33</v>
          </cell>
          <cell r="G239">
            <v>-18</v>
          </cell>
          <cell r="H239">
            <v>-22</v>
          </cell>
          <cell r="I239">
            <v>-25</v>
          </cell>
          <cell r="J239">
            <v>-31</v>
          </cell>
          <cell r="K239">
            <v>-10</v>
          </cell>
          <cell r="L239">
            <v>-4</v>
          </cell>
          <cell r="M239">
            <v>-1</v>
          </cell>
          <cell r="N239">
            <v>-46</v>
          </cell>
          <cell r="O239">
            <v>-4</v>
          </cell>
          <cell r="P239">
            <v>0</v>
          </cell>
          <cell r="Q239">
            <v>-15</v>
          </cell>
          <cell r="R239">
            <v>-17</v>
          </cell>
          <cell r="S239">
            <v>-36</v>
          </cell>
          <cell r="T239">
            <v>-8</v>
          </cell>
          <cell r="U239">
            <v>-29</v>
          </cell>
          <cell r="V239">
            <v>-23</v>
          </cell>
          <cell r="W239">
            <v>-24</v>
          </cell>
          <cell r="X239">
            <v>-84</v>
          </cell>
          <cell r="Y239">
            <v>-17</v>
          </cell>
          <cell r="Z239">
            <v>-17</v>
          </cell>
          <cell r="AA239">
            <v>-17</v>
          </cell>
          <cell r="AB239">
            <v>-17</v>
          </cell>
          <cell r="AC239">
            <v>-68</v>
          </cell>
          <cell r="AD239">
            <v>-40</v>
          </cell>
          <cell r="AE239">
            <v>-21</v>
          </cell>
          <cell r="AF239">
            <v>-17</v>
          </cell>
          <cell r="AG239">
            <v>-17</v>
          </cell>
          <cell r="AH239">
            <v>-95</v>
          </cell>
          <cell r="AI239">
            <v>-40</v>
          </cell>
          <cell r="AJ239">
            <v>-21</v>
          </cell>
          <cell r="AK239">
            <v>-16</v>
          </cell>
          <cell r="AL239">
            <v>-10</v>
          </cell>
          <cell r="AM239">
            <v>-87</v>
          </cell>
          <cell r="AN239">
            <v>-88.304999999999993</v>
          </cell>
          <cell r="AO239">
            <v>-88.304999999999993</v>
          </cell>
          <cell r="AP239">
            <v>-89.89448999999999</v>
          </cell>
          <cell r="AQ239">
            <v>-91.602485309999977</v>
          </cell>
          <cell r="AR239">
            <v>-93.434535016199973</v>
          </cell>
          <cell r="AS239">
            <v>-95.303225716523968</v>
          </cell>
          <cell r="AT239">
            <v>-97.20929023085445</v>
          </cell>
        </row>
        <row r="240">
          <cell r="B240">
            <v>-208</v>
          </cell>
          <cell r="C240">
            <v>-203</v>
          </cell>
          <cell r="D240">
            <v>-368</v>
          </cell>
          <cell r="E240">
            <v>-691</v>
          </cell>
          <cell r="F240">
            <v>-669</v>
          </cell>
          <cell r="G240">
            <v>-855</v>
          </cell>
          <cell r="H240">
            <v>-753</v>
          </cell>
          <cell r="I240">
            <v>-598</v>
          </cell>
          <cell r="J240">
            <v>-31</v>
          </cell>
          <cell r="K240">
            <v>-34</v>
          </cell>
          <cell r="L240">
            <v>-49</v>
          </cell>
          <cell r="M240">
            <v>-59</v>
          </cell>
          <cell r="N240">
            <v>-173</v>
          </cell>
          <cell r="O240">
            <v>-66</v>
          </cell>
          <cell r="P240">
            <v>-81</v>
          </cell>
          <cell r="Q240">
            <v>-75</v>
          </cell>
          <cell r="R240">
            <v>-43</v>
          </cell>
          <cell r="S240">
            <v>-265</v>
          </cell>
          <cell r="T240">
            <v>-100</v>
          </cell>
          <cell r="U240">
            <v>-127</v>
          </cell>
          <cell r="V240">
            <v>-147</v>
          </cell>
          <cell r="W240">
            <v>-138</v>
          </cell>
          <cell r="X240">
            <v>-512</v>
          </cell>
          <cell r="Y240">
            <v>-120.73692259801035</v>
          </cell>
          <cell r="Z240">
            <v>-125.16810282626901</v>
          </cell>
          <cell r="AA240">
            <v>-126.9628710378114</v>
          </cell>
          <cell r="AB240">
            <v>-124.37775846656746</v>
          </cell>
          <cell r="AC240">
            <v>-497.24565492865821</v>
          </cell>
          <cell r="AD240">
            <v>-165</v>
          </cell>
          <cell r="AE240">
            <v>-139</v>
          </cell>
          <cell r="AF240">
            <v>-122</v>
          </cell>
          <cell r="AG240">
            <v>-124</v>
          </cell>
          <cell r="AH240">
            <v>-550</v>
          </cell>
          <cell r="AI240">
            <v>-95</v>
          </cell>
          <cell r="AJ240">
            <v>-92</v>
          </cell>
          <cell r="AK240">
            <v>-147</v>
          </cell>
          <cell r="AL240">
            <v>-128</v>
          </cell>
          <cell r="AM240">
            <v>-462</v>
          </cell>
          <cell r="AN240">
            <v>-468.92999999999995</v>
          </cell>
          <cell r="AO240">
            <v>-468.92999999999995</v>
          </cell>
          <cell r="AP240">
            <v>-477.37073999999996</v>
          </cell>
          <cell r="AQ240">
            <v>-486.44078405999988</v>
          </cell>
          <cell r="AR240">
            <v>-496.16959974119987</v>
          </cell>
          <cell r="AS240">
            <v>-506.09299173602386</v>
          </cell>
          <cell r="AT240">
            <v>-516.21485157074437</v>
          </cell>
        </row>
        <row r="245">
          <cell r="B245">
            <v>-16</v>
          </cell>
          <cell r="C245">
            <v>21</v>
          </cell>
          <cell r="D245">
            <v>77</v>
          </cell>
          <cell r="E245">
            <v>96</v>
          </cell>
          <cell r="F245">
            <v>1769</v>
          </cell>
          <cell r="G245">
            <v>438</v>
          </cell>
          <cell r="H245">
            <v>-498</v>
          </cell>
          <cell r="I245">
            <v>180.2</v>
          </cell>
          <cell r="J245">
            <v>139</v>
          </cell>
          <cell r="K245">
            <v>171</v>
          </cell>
          <cell r="L245">
            <v>137</v>
          </cell>
          <cell r="M245">
            <v>239</v>
          </cell>
          <cell r="N245">
            <v>686</v>
          </cell>
          <cell r="O245">
            <v>380</v>
          </cell>
          <cell r="P245">
            <v>324</v>
          </cell>
          <cell r="Q245">
            <v>494</v>
          </cell>
          <cell r="R245">
            <v>1164</v>
          </cell>
          <cell r="S245">
            <v>2362</v>
          </cell>
          <cell r="T245">
            <v>1259</v>
          </cell>
          <cell r="U245">
            <v>162</v>
          </cell>
          <cell r="V245">
            <v>2526</v>
          </cell>
          <cell r="W245">
            <v>515</v>
          </cell>
          <cell r="X245">
            <v>4462</v>
          </cell>
          <cell r="Y245">
            <v>1431.06</v>
          </cell>
          <cell r="Z245">
            <v>1746.84</v>
          </cell>
          <cell r="AA245">
            <v>250.41</v>
          </cell>
          <cell r="AB245">
            <v>251.2</v>
          </cell>
          <cell r="AC245">
            <v>3679.51</v>
          </cell>
          <cell r="AD245">
            <v>1618</v>
          </cell>
          <cell r="AE245">
            <v>322</v>
          </cell>
          <cell r="AF245">
            <v>310.7</v>
          </cell>
          <cell r="AG245">
            <v>446.7</v>
          </cell>
          <cell r="AH245">
            <v>2697.4</v>
          </cell>
          <cell r="AI245">
            <v>1806</v>
          </cell>
          <cell r="AJ245">
            <v>701</v>
          </cell>
          <cell r="AK245">
            <v>423</v>
          </cell>
          <cell r="AL245">
            <v>632</v>
          </cell>
          <cell r="AM245">
            <v>3421</v>
          </cell>
          <cell r="AN245">
            <v>3670</v>
          </cell>
          <cell r="AO245">
            <v>3340</v>
          </cell>
          <cell r="AP245">
            <v>2639.2549627791568</v>
          </cell>
          <cell r="AQ245">
            <v>3356.5514552238801</v>
          </cell>
          <cell r="AR245">
            <v>3175.3363752902155</v>
          </cell>
          <cell r="AS245">
            <v>3116.5595808225535</v>
          </cell>
          <cell r="AT245">
            <v>3428.7136310625538</v>
          </cell>
        </row>
        <row r="247">
          <cell r="B247">
            <v>21</v>
          </cell>
          <cell r="C247">
            <v>89</v>
          </cell>
          <cell r="D247">
            <v>213</v>
          </cell>
          <cell r="E247">
            <v>451</v>
          </cell>
          <cell r="F247">
            <v>1916</v>
          </cell>
          <cell r="G247">
            <v>522</v>
          </cell>
          <cell r="H247">
            <v>229</v>
          </cell>
          <cell r="I247">
            <v>597</v>
          </cell>
          <cell r="J247">
            <v>146</v>
          </cell>
          <cell r="K247">
            <v>113</v>
          </cell>
          <cell r="L247">
            <v>76</v>
          </cell>
          <cell r="M247">
            <v>35</v>
          </cell>
          <cell r="N247">
            <v>370</v>
          </cell>
          <cell r="O247">
            <v>222.33</v>
          </cell>
          <cell r="P247">
            <v>159</v>
          </cell>
          <cell r="Q247">
            <v>402</v>
          </cell>
          <cell r="R247">
            <v>918.79</v>
          </cell>
          <cell r="S247">
            <v>1702.1200000000001</v>
          </cell>
          <cell r="T247">
            <v>1074</v>
          </cell>
          <cell r="U247">
            <v>279</v>
          </cell>
          <cell r="V247">
            <v>332</v>
          </cell>
          <cell r="W247">
            <v>265</v>
          </cell>
          <cell r="X247">
            <v>1950</v>
          </cell>
          <cell r="Y247">
            <v>1504.25</v>
          </cell>
          <cell r="Z247">
            <v>1987.25</v>
          </cell>
          <cell r="AA247">
            <v>217.25</v>
          </cell>
          <cell r="AB247">
            <v>257.25</v>
          </cell>
          <cell r="AC247">
            <v>3966</v>
          </cell>
          <cell r="AD247">
            <v>1572</v>
          </cell>
          <cell r="AE247">
            <v>295</v>
          </cell>
          <cell r="AF247">
            <v>300.7</v>
          </cell>
          <cell r="AG247">
            <v>260.7</v>
          </cell>
          <cell r="AH247">
            <v>2428.4</v>
          </cell>
          <cell r="AI247">
            <v>1618</v>
          </cell>
          <cell r="AJ247">
            <v>549</v>
          </cell>
          <cell r="AK247">
            <v>254</v>
          </cell>
          <cell r="AL247">
            <v>304</v>
          </cell>
          <cell r="AM247">
            <v>2725</v>
          </cell>
          <cell r="AN247">
            <v>1970</v>
          </cell>
          <cell r="AO247">
            <v>1640</v>
          </cell>
          <cell r="AP247">
            <v>1581.2</v>
          </cell>
          <cell r="AQ247">
            <v>1619.28</v>
          </cell>
          <cell r="AR247">
            <v>1236.8456000000001</v>
          </cell>
          <cell r="AS247">
            <v>1044.7025119999998</v>
          </cell>
          <cell r="AT247">
            <v>1356.8565622400001</v>
          </cell>
        </row>
        <row r="249">
          <cell r="B249">
            <v>21</v>
          </cell>
          <cell r="C249">
            <v>39</v>
          </cell>
          <cell r="D249">
            <v>30</v>
          </cell>
          <cell r="E249">
            <v>148</v>
          </cell>
          <cell r="F249">
            <v>189</v>
          </cell>
          <cell r="G249">
            <v>480</v>
          </cell>
          <cell r="H249">
            <v>347</v>
          </cell>
          <cell r="I249">
            <v>813</v>
          </cell>
          <cell r="J249">
            <v>150</v>
          </cell>
          <cell r="K249">
            <v>105</v>
          </cell>
          <cell r="L249">
            <v>83</v>
          </cell>
          <cell r="M249">
            <v>111</v>
          </cell>
          <cell r="N249">
            <v>449</v>
          </cell>
          <cell r="O249">
            <v>208.33</v>
          </cell>
          <cell r="P249">
            <v>202</v>
          </cell>
          <cell r="Q249">
            <v>407</v>
          </cell>
          <cell r="R249">
            <v>212.79000000000002</v>
          </cell>
          <cell r="S249">
            <v>1030.1200000000001</v>
          </cell>
          <cell r="T249">
            <v>397.70000000000005</v>
          </cell>
          <cell r="U249">
            <v>258</v>
          </cell>
          <cell r="V249">
            <v>240</v>
          </cell>
          <cell r="W249">
            <v>293</v>
          </cell>
          <cell r="X249">
            <v>1188.7</v>
          </cell>
          <cell r="Y249">
            <v>0</v>
          </cell>
          <cell r="Z249">
            <v>0</v>
          </cell>
          <cell r="AA249">
            <v>0</v>
          </cell>
          <cell r="AB249">
            <v>0</v>
          </cell>
          <cell r="AC249">
            <v>0</v>
          </cell>
          <cell r="AD249">
            <v>334</v>
          </cell>
          <cell r="AE249">
            <v>356</v>
          </cell>
          <cell r="AF249">
            <v>0</v>
          </cell>
          <cell r="AG249">
            <v>0</v>
          </cell>
          <cell r="AH249">
            <v>690</v>
          </cell>
          <cell r="AI249">
            <v>296</v>
          </cell>
          <cell r="AJ249">
            <v>225</v>
          </cell>
          <cell r="AK249">
            <v>190</v>
          </cell>
          <cell r="AL249">
            <v>255</v>
          </cell>
          <cell r="AM249">
            <v>966</v>
          </cell>
          <cell r="AN249">
            <v>700</v>
          </cell>
          <cell r="AO249">
            <v>700</v>
          </cell>
          <cell r="AP249">
            <v>714</v>
          </cell>
          <cell r="AQ249">
            <v>728.28</v>
          </cell>
          <cell r="AR249">
            <v>742.84559999999999</v>
          </cell>
          <cell r="AS249">
            <v>757.70251199999996</v>
          </cell>
          <cell r="AT249">
            <v>772.85656224000002</v>
          </cell>
        </row>
        <row r="250">
          <cell r="B250">
            <v>0</v>
          </cell>
          <cell r="C250">
            <v>0</v>
          </cell>
          <cell r="D250">
            <v>0</v>
          </cell>
          <cell r="E250">
            <v>0</v>
          </cell>
          <cell r="F250">
            <v>1469</v>
          </cell>
          <cell r="G250">
            <v>7</v>
          </cell>
          <cell r="H250">
            <v>0</v>
          </cell>
          <cell r="I250">
            <v>0</v>
          </cell>
          <cell r="J250">
            <v>0</v>
          </cell>
          <cell r="K250">
            <v>0</v>
          </cell>
          <cell r="L250">
            <v>27</v>
          </cell>
          <cell r="M250">
            <v>0</v>
          </cell>
          <cell r="N250">
            <v>27</v>
          </cell>
          <cell r="O250">
            <v>0</v>
          </cell>
          <cell r="P250">
            <v>0</v>
          </cell>
          <cell r="Q250">
            <v>12</v>
          </cell>
          <cell r="R250">
            <v>767</v>
          </cell>
          <cell r="S250">
            <v>779</v>
          </cell>
          <cell r="T250">
            <v>641.29999999999995</v>
          </cell>
          <cell r="U250">
            <v>0</v>
          </cell>
          <cell r="V250">
            <v>102</v>
          </cell>
          <cell r="W250">
            <v>0</v>
          </cell>
          <cell r="X250">
            <v>743.3</v>
          </cell>
          <cell r="Y250">
            <v>1287</v>
          </cell>
          <cell r="Z250">
            <v>1770</v>
          </cell>
          <cell r="AA250">
            <v>0</v>
          </cell>
          <cell r="AB250">
            <v>40</v>
          </cell>
          <cell r="AC250">
            <v>3097</v>
          </cell>
          <cell r="AD250">
            <v>1283</v>
          </cell>
          <cell r="AE250">
            <v>0</v>
          </cell>
          <cell r="AF250">
            <v>40</v>
          </cell>
          <cell r="AG250">
            <v>0</v>
          </cell>
          <cell r="AH250">
            <v>1323</v>
          </cell>
          <cell r="AI250">
            <v>1283</v>
          </cell>
          <cell r="AJ250">
            <v>0</v>
          </cell>
          <cell r="AK250">
            <v>-150</v>
          </cell>
          <cell r="AL250">
            <v>16</v>
          </cell>
          <cell r="AM250">
            <v>1149</v>
          </cell>
          <cell r="AN250">
            <v>410</v>
          </cell>
          <cell r="AO250">
            <v>80</v>
          </cell>
          <cell r="AP250">
            <v>0</v>
          </cell>
          <cell r="AQ250">
            <v>0</v>
          </cell>
          <cell r="AR250">
            <v>0</v>
          </cell>
          <cell r="AS250">
            <v>0</v>
          </cell>
          <cell r="AT250">
            <v>0</v>
          </cell>
        </row>
        <row r="251">
          <cell r="G251">
            <v>-107</v>
          </cell>
          <cell r="H251">
            <v>-143</v>
          </cell>
          <cell r="I251">
            <v>-216</v>
          </cell>
          <cell r="J251">
            <v>-4</v>
          </cell>
          <cell r="K251">
            <v>8</v>
          </cell>
          <cell r="L251">
            <v>-34</v>
          </cell>
          <cell r="M251">
            <v>-76</v>
          </cell>
          <cell r="N251">
            <v>-106</v>
          </cell>
          <cell r="O251">
            <v>14</v>
          </cell>
          <cell r="P251">
            <v>-43</v>
          </cell>
          <cell r="Q251">
            <v>-17</v>
          </cell>
          <cell r="R251">
            <v>-61</v>
          </cell>
          <cell r="S251">
            <v>-107</v>
          </cell>
          <cell r="T251">
            <v>-17</v>
          </cell>
          <cell r="U251">
            <v>-9</v>
          </cell>
          <cell r="V251">
            <v>-37</v>
          </cell>
          <cell r="W251">
            <v>-34</v>
          </cell>
          <cell r="X251">
            <v>-97</v>
          </cell>
          <cell r="Y251">
            <v>0</v>
          </cell>
          <cell r="Z251">
            <v>0</v>
          </cell>
          <cell r="AA251">
            <v>0</v>
          </cell>
          <cell r="AB251">
            <v>0</v>
          </cell>
          <cell r="AC251">
            <v>0</v>
          </cell>
          <cell r="AD251">
            <v>-45</v>
          </cell>
          <cell r="AE251">
            <v>-61</v>
          </cell>
          <cell r="AF251">
            <v>0</v>
          </cell>
          <cell r="AG251">
            <v>0</v>
          </cell>
          <cell r="AH251">
            <v>-106</v>
          </cell>
          <cell r="AI251">
            <v>-45</v>
          </cell>
          <cell r="AJ251">
            <v>-4</v>
          </cell>
          <cell r="AK251">
            <v>54</v>
          </cell>
          <cell r="AL251">
            <v>-20</v>
          </cell>
          <cell r="AM251">
            <v>-15</v>
          </cell>
          <cell r="AN251">
            <v>0</v>
          </cell>
          <cell r="AO251">
            <v>0</v>
          </cell>
          <cell r="AP251">
            <v>0</v>
          </cell>
          <cell r="AQ251">
            <v>0</v>
          </cell>
          <cell r="AR251">
            <v>0</v>
          </cell>
          <cell r="AS251">
            <v>0</v>
          </cell>
          <cell r="AT251">
            <v>0</v>
          </cell>
        </row>
        <row r="252">
          <cell r="B252">
            <v>0</v>
          </cell>
          <cell r="C252">
            <v>50</v>
          </cell>
          <cell r="D252">
            <v>183</v>
          </cell>
          <cell r="E252">
            <v>303</v>
          </cell>
          <cell r="F252">
            <v>258</v>
          </cell>
          <cell r="G252">
            <v>142</v>
          </cell>
          <cell r="H252">
            <v>25</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row>
        <row r="253">
          <cell r="B253">
            <v>0</v>
          </cell>
          <cell r="C253">
            <v>0</v>
          </cell>
          <cell r="D253">
            <v>0</v>
          </cell>
          <cell r="E253">
            <v>0</v>
          </cell>
          <cell r="F253">
            <v>0</v>
          </cell>
          <cell r="G253">
            <v>0</v>
          </cell>
          <cell r="H253">
            <v>0</v>
          </cell>
          <cell r="I253">
            <v>0</v>
          </cell>
          <cell r="T253">
            <v>52</v>
          </cell>
          <cell r="U253">
            <v>30</v>
          </cell>
          <cell r="V253">
            <v>27</v>
          </cell>
          <cell r="W253">
            <v>6</v>
          </cell>
          <cell r="X253">
            <v>115</v>
          </cell>
          <cell r="Y253">
            <v>217.25</v>
          </cell>
          <cell r="Z253">
            <v>217.25</v>
          </cell>
          <cell r="AA253">
            <v>217.25</v>
          </cell>
          <cell r="AB253">
            <v>217.25</v>
          </cell>
          <cell r="AC253">
            <v>869</v>
          </cell>
          <cell r="AF253">
            <v>260.7</v>
          </cell>
          <cell r="AG253">
            <v>260.7</v>
          </cell>
          <cell r="AH253">
            <v>521.4</v>
          </cell>
          <cell r="AI253">
            <v>84</v>
          </cell>
          <cell r="AJ253">
            <v>328</v>
          </cell>
          <cell r="AK253">
            <v>160</v>
          </cell>
          <cell r="AL253">
            <v>53</v>
          </cell>
          <cell r="AM253">
            <v>625</v>
          </cell>
          <cell r="AN253">
            <v>860</v>
          </cell>
          <cell r="AO253">
            <v>860</v>
          </cell>
          <cell r="AP253">
            <v>867.2</v>
          </cell>
          <cell r="AQ253">
            <v>891</v>
          </cell>
          <cell r="AR253">
            <v>494</v>
          </cell>
          <cell r="AS253">
            <v>287</v>
          </cell>
          <cell r="AT253">
            <v>584</v>
          </cell>
        </row>
        <row r="255">
          <cell r="B255">
            <v>-37</v>
          </cell>
          <cell r="C255">
            <v>-68</v>
          </cell>
          <cell r="D255">
            <v>-136</v>
          </cell>
          <cell r="E255">
            <v>-355</v>
          </cell>
          <cell r="F255">
            <v>-147</v>
          </cell>
          <cell r="G255">
            <v>-84</v>
          </cell>
          <cell r="H255">
            <v>-727</v>
          </cell>
          <cell r="I255">
            <v>-416.8</v>
          </cell>
          <cell r="J255">
            <v>-58</v>
          </cell>
          <cell r="K255">
            <v>-36</v>
          </cell>
          <cell r="L255">
            <v>-52</v>
          </cell>
          <cell r="M255">
            <v>-47</v>
          </cell>
          <cell r="N255">
            <v>-193</v>
          </cell>
          <cell r="O255">
            <v>-13</v>
          </cell>
          <cell r="P255">
            <v>-23</v>
          </cell>
          <cell r="Q255">
            <v>-43</v>
          </cell>
          <cell r="R255">
            <v>-52</v>
          </cell>
          <cell r="S255">
            <v>-131</v>
          </cell>
          <cell r="T255">
            <v>-10</v>
          </cell>
          <cell r="U255">
            <v>-321</v>
          </cell>
          <cell r="V255">
            <v>-104</v>
          </cell>
          <cell r="W255">
            <v>-93</v>
          </cell>
          <cell r="X255">
            <v>-528</v>
          </cell>
          <cell r="Y255">
            <v>-14.5</v>
          </cell>
          <cell r="Z255">
            <v>-276.5</v>
          </cell>
          <cell r="AA255">
            <v>-14.5</v>
          </cell>
          <cell r="AB255">
            <v>-14.5</v>
          </cell>
          <cell r="AC255">
            <v>-320</v>
          </cell>
          <cell r="AD255">
            <v>-62</v>
          </cell>
          <cell r="AE255">
            <v>-138</v>
          </cell>
          <cell r="AF255">
            <v>-115</v>
          </cell>
          <cell r="AG255">
            <v>-32</v>
          </cell>
          <cell r="AH255">
            <v>-347</v>
          </cell>
          <cell r="AI255">
            <v>-62</v>
          </cell>
          <cell r="AJ255">
            <v>-138</v>
          </cell>
          <cell r="AK255">
            <v>-115</v>
          </cell>
          <cell r="AL255">
            <v>-37</v>
          </cell>
          <cell r="AM255">
            <v>-493</v>
          </cell>
          <cell r="AN255">
            <v>-100</v>
          </cell>
          <cell r="AO255">
            <v>-100</v>
          </cell>
          <cell r="AP255">
            <v>-102.85359801488836</v>
          </cell>
          <cell r="AQ255">
            <v>0</v>
          </cell>
          <cell r="AR255">
            <v>0</v>
          </cell>
          <cell r="AS255">
            <v>0</v>
          </cell>
          <cell r="AT255">
            <v>0</v>
          </cell>
        </row>
        <row r="257">
          <cell r="C257">
            <v>-68</v>
          </cell>
          <cell r="D257">
            <v>-134</v>
          </cell>
          <cell r="E257">
            <v>-222</v>
          </cell>
          <cell r="F257">
            <v>-147</v>
          </cell>
          <cell r="G257">
            <v>-84</v>
          </cell>
          <cell r="H257">
            <v>-262</v>
          </cell>
          <cell r="I257">
            <v>-252</v>
          </cell>
          <cell r="J257">
            <v>-58</v>
          </cell>
          <cell r="K257">
            <v>-21</v>
          </cell>
          <cell r="L257">
            <v>-52</v>
          </cell>
          <cell r="M257">
            <v>-47</v>
          </cell>
          <cell r="N257">
            <v>-178</v>
          </cell>
          <cell r="O257">
            <v>-13</v>
          </cell>
          <cell r="P257">
            <v>-23</v>
          </cell>
          <cell r="Q257">
            <v>-43</v>
          </cell>
          <cell r="R257">
            <v>-52</v>
          </cell>
          <cell r="S257">
            <v>-131</v>
          </cell>
          <cell r="T257">
            <v>-10</v>
          </cell>
          <cell r="U257">
            <v>-71</v>
          </cell>
          <cell r="V257">
            <v>-104</v>
          </cell>
          <cell r="W257">
            <v>-40</v>
          </cell>
          <cell r="X257">
            <v>-225</v>
          </cell>
          <cell r="Y257">
            <v>-14.5</v>
          </cell>
          <cell r="Z257">
            <v>-14.5</v>
          </cell>
          <cell r="AA257">
            <v>-14.5</v>
          </cell>
          <cell r="AB257">
            <v>-14.5</v>
          </cell>
          <cell r="AC257">
            <v>-58</v>
          </cell>
          <cell r="AD257">
            <v>-22</v>
          </cell>
          <cell r="AE257">
            <v>-138</v>
          </cell>
          <cell r="AF257">
            <v>-115</v>
          </cell>
          <cell r="AG257">
            <v>-32</v>
          </cell>
          <cell r="AH257">
            <v>-307</v>
          </cell>
          <cell r="AI257">
            <v>-22</v>
          </cell>
          <cell r="AJ257">
            <v>-138</v>
          </cell>
          <cell r="AK257">
            <v>-115</v>
          </cell>
          <cell r="AL257">
            <v>-37</v>
          </cell>
          <cell r="AM257">
            <v>-453</v>
          </cell>
          <cell r="AN257">
            <v>-100</v>
          </cell>
          <cell r="AO257">
            <v>-100</v>
          </cell>
          <cell r="AP257">
            <v>-102.85359801488836</v>
          </cell>
          <cell r="AQ257">
            <v>-109</v>
          </cell>
          <cell r="AR257">
            <v>-110</v>
          </cell>
          <cell r="AS257">
            <v>-111</v>
          </cell>
          <cell r="AT257">
            <v>-111</v>
          </cell>
        </row>
        <row r="258">
          <cell r="B258">
            <v>-37</v>
          </cell>
          <cell r="D258">
            <v>-2</v>
          </cell>
          <cell r="E258">
            <v>-133</v>
          </cell>
          <cell r="F258">
            <v>0</v>
          </cell>
          <cell r="G258">
            <v>0</v>
          </cell>
          <cell r="H258">
            <v>-465</v>
          </cell>
          <cell r="I258">
            <v>-164.8</v>
          </cell>
          <cell r="J258">
            <v>0</v>
          </cell>
          <cell r="K258">
            <v>-15</v>
          </cell>
          <cell r="L258">
            <v>0</v>
          </cell>
          <cell r="M258">
            <v>0</v>
          </cell>
          <cell r="N258">
            <v>-15</v>
          </cell>
          <cell r="O258">
            <v>0</v>
          </cell>
          <cell r="P258">
            <v>0</v>
          </cell>
          <cell r="Q258">
            <v>0</v>
          </cell>
          <cell r="R258">
            <v>0</v>
          </cell>
          <cell r="S258">
            <v>0</v>
          </cell>
          <cell r="T258">
            <v>0</v>
          </cell>
          <cell r="U258">
            <v>-250</v>
          </cell>
          <cell r="V258">
            <v>0</v>
          </cell>
          <cell r="W258">
            <v>-53</v>
          </cell>
          <cell r="X258">
            <v>-303</v>
          </cell>
          <cell r="Y258">
            <v>0</v>
          </cell>
          <cell r="Z258">
            <v>-262</v>
          </cell>
          <cell r="AA258">
            <v>0</v>
          </cell>
          <cell r="AB258">
            <v>0</v>
          </cell>
          <cell r="AC258">
            <v>-262</v>
          </cell>
          <cell r="AD258">
            <v>-40</v>
          </cell>
          <cell r="AE258">
            <v>0</v>
          </cell>
          <cell r="AF258">
            <v>0</v>
          </cell>
          <cell r="AG258">
            <v>0</v>
          </cell>
          <cell r="AH258">
            <v>-40</v>
          </cell>
          <cell r="AI258">
            <v>-40</v>
          </cell>
          <cell r="AJ258">
            <v>0</v>
          </cell>
          <cell r="AK258">
            <v>0</v>
          </cell>
          <cell r="AL258">
            <v>0</v>
          </cell>
          <cell r="AM258">
            <v>-40</v>
          </cell>
          <cell r="AN258">
            <v>0</v>
          </cell>
          <cell r="AO258">
            <v>0</v>
          </cell>
          <cell r="AP258">
            <v>0</v>
          </cell>
          <cell r="AQ258">
            <v>109</v>
          </cell>
          <cell r="AR258">
            <v>110</v>
          </cell>
          <cell r="AS258">
            <v>111</v>
          </cell>
          <cell r="AT258">
            <v>111</v>
          </cell>
        </row>
        <row r="260">
          <cell r="J260">
            <v>51</v>
          </cell>
          <cell r="K260">
            <v>94</v>
          </cell>
          <cell r="L260">
            <v>113</v>
          </cell>
          <cell r="M260">
            <v>251</v>
          </cell>
          <cell r="N260">
            <v>509</v>
          </cell>
          <cell r="O260">
            <v>170.67</v>
          </cell>
          <cell r="P260">
            <v>188</v>
          </cell>
          <cell r="Q260">
            <v>135</v>
          </cell>
          <cell r="R260">
            <v>297.20999999999998</v>
          </cell>
          <cell r="S260">
            <v>790.87999999999988</v>
          </cell>
          <cell r="T260">
            <v>195</v>
          </cell>
          <cell r="U260">
            <v>204</v>
          </cell>
          <cell r="V260">
            <v>2298</v>
          </cell>
          <cell r="W260">
            <v>343</v>
          </cell>
          <cell r="X260">
            <v>3040</v>
          </cell>
          <cell r="Y260">
            <v>-58.69</v>
          </cell>
          <cell r="Z260">
            <v>36.090000000000003</v>
          </cell>
          <cell r="AA260">
            <v>47.66</v>
          </cell>
          <cell r="AB260">
            <v>8.4499999999999886</v>
          </cell>
          <cell r="AC260">
            <v>33.509999999999877</v>
          </cell>
          <cell r="AD260">
            <v>108</v>
          </cell>
          <cell r="AE260">
            <v>165</v>
          </cell>
          <cell r="AF260">
            <v>125</v>
          </cell>
          <cell r="AG260">
            <v>218</v>
          </cell>
          <cell r="AH260">
            <v>616</v>
          </cell>
          <cell r="AI260">
            <v>250</v>
          </cell>
          <cell r="AJ260">
            <v>290</v>
          </cell>
          <cell r="AK260">
            <v>284</v>
          </cell>
          <cell r="AL260">
            <v>365</v>
          </cell>
          <cell r="AM260">
            <v>1189</v>
          </cell>
          <cell r="AN260">
            <v>1800</v>
          </cell>
          <cell r="AO260">
            <v>1800</v>
          </cell>
          <cell r="AP260">
            <v>1160.9085607940449</v>
          </cell>
          <cell r="AQ260">
            <v>1737.2714552238804</v>
          </cell>
          <cell r="AR260">
            <v>1938.4907752902154</v>
          </cell>
          <cell r="AS260">
            <v>2071.8570688225536</v>
          </cell>
          <cell r="AT260">
            <v>2071.8570688225536</v>
          </cell>
        </row>
        <row r="262">
          <cell r="B262">
            <v>473</v>
          </cell>
          <cell r="C262">
            <v>1530</v>
          </cell>
          <cell r="D262">
            <v>969</v>
          </cell>
          <cell r="E262">
            <v>1500</v>
          </cell>
          <cell r="F262">
            <v>2325</v>
          </cell>
          <cell r="G262">
            <v>3961</v>
          </cell>
          <cell r="H262">
            <v>5584</v>
          </cell>
          <cell r="I262">
            <v>1249.8</v>
          </cell>
          <cell r="J262">
            <v>324.63</v>
          </cell>
          <cell r="K262">
            <v>454.16999999999996</v>
          </cell>
          <cell r="L262">
            <v>161.93</v>
          </cell>
          <cell r="M262">
            <v>967.98</v>
          </cell>
          <cell r="N262">
            <v>1908.71</v>
          </cell>
          <cell r="O262">
            <v>461.68</v>
          </cell>
          <cell r="P262">
            <v>124.97</v>
          </cell>
          <cell r="Q262">
            <v>41.32</v>
          </cell>
          <cell r="R262">
            <v>505.98</v>
          </cell>
          <cell r="S262">
            <v>1133.95</v>
          </cell>
          <cell r="T262">
            <v>638.80999999999995</v>
          </cell>
          <cell r="U262">
            <v>1473.31</v>
          </cell>
          <cell r="V262">
            <v>3938.19</v>
          </cell>
          <cell r="W262">
            <v>48</v>
          </cell>
          <cell r="X262">
            <v>6098.31</v>
          </cell>
          <cell r="Y262">
            <v>1232.94</v>
          </cell>
          <cell r="Z262">
            <v>1969.45</v>
          </cell>
          <cell r="AA262">
            <v>509.75</v>
          </cell>
          <cell r="AB262">
            <v>1350.99</v>
          </cell>
          <cell r="AC262">
            <v>5063.13</v>
          </cell>
          <cell r="AD262">
            <v>1169</v>
          </cell>
          <cell r="AE262">
            <v>2098</v>
          </cell>
          <cell r="AF262">
            <v>905.3125</v>
          </cell>
          <cell r="AG262">
            <v>1395.3125</v>
          </cell>
          <cell r="AH262">
            <v>5567.625</v>
          </cell>
          <cell r="AI262">
            <v>1163.75</v>
          </cell>
          <cell r="AJ262">
            <v>2077.46</v>
          </cell>
          <cell r="AK262">
            <v>764.14</v>
          </cell>
          <cell r="AL262">
            <v>1946.1399999999999</v>
          </cell>
          <cell r="AM262">
            <v>5951.49</v>
          </cell>
          <cell r="AN262">
            <v>6779.18</v>
          </cell>
          <cell r="AO262">
            <v>8443.18</v>
          </cell>
          <cell r="AP262">
            <v>8475.76</v>
          </cell>
          <cell r="AQ262">
            <v>7797.7088000000003</v>
          </cell>
          <cell r="AR262">
            <v>8743.728063999999</v>
          </cell>
          <cell r="AS262">
            <v>7391.0733059200002</v>
          </cell>
          <cell r="AT262">
            <v>9388.8025750976012</v>
          </cell>
        </row>
        <row r="264">
          <cell r="B264">
            <v>541</v>
          </cell>
          <cell r="C264">
            <v>1591</v>
          </cell>
          <cell r="D264">
            <v>1044</v>
          </cell>
          <cell r="E264">
            <v>1340</v>
          </cell>
          <cell r="F264">
            <v>1496</v>
          </cell>
          <cell r="G264">
            <v>1351</v>
          </cell>
          <cell r="H264">
            <v>1625</v>
          </cell>
          <cell r="I264">
            <v>438.79999999999995</v>
          </cell>
          <cell r="J264">
            <v>65.63</v>
          </cell>
          <cell r="K264">
            <v>163.16999999999999</v>
          </cell>
          <cell r="L264">
            <v>78.930000000000007</v>
          </cell>
          <cell r="M264">
            <v>564.98</v>
          </cell>
          <cell r="N264">
            <v>872.71</v>
          </cell>
          <cell r="O264">
            <v>109.67999999999999</v>
          </cell>
          <cell r="P264">
            <v>34.97</v>
          </cell>
          <cell r="Q264">
            <v>46.32</v>
          </cell>
          <cell r="R264">
            <v>470.98</v>
          </cell>
          <cell r="S264">
            <v>661.95</v>
          </cell>
          <cell r="T264">
            <v>75.809999999999988</v>
          </cell>
          <cell r="U264">
            <v>369.31</v>
          </cell>
          <cell r="V264">
            <v>3832.19</v>
          </cell>
          <cell r="W264">
            <v>132</v>
          </cell>
          <cell r="X264">
            <v>4409.3100000000004</v>
          </cell>
          <cell r="Y264">
            <v>119</v>
          </cell>
          <cell r="Z264">
            <v>205</v>
          </cell>
          <cell r="AA264">
            <v>235</v>
          </cell>
          <cell r="AB264">
            <v>748</v>
          </cell>
          <cell r="AC264">
            <v>1307</v>
          </cell>
          <cell r="AD264">
            <v>103</v>
          </cell>
          <cell r="AE264">
            <v>236</v>
          </cell>
          <cell r="AF264">
            <v>743</v>
          </cell>
          <cell r="AG264">
            <v>418</v>
          </cell>
          <cell r="AH264">
            <v>1500</v>
          </cell>
          <cell r="AI264">
            <v>90.75</v>
          </cell>
          <cell r="AJ264">
            <v>229.45999999999998</v>
          </cell>
          <cell r="AK264">
            <v>690.14</v>
          </cell>
          <cell r="AL264">
            <v>513.14</v>
          </cell>
          <cell r="AM264">
            <v>1523.49</v>
          </cell>
          <cell r="AN264">
            <v>3544</v>
          </cell>
          <cell r="AO264">
            <v>5208</v>
          </cell>
          <cell r="AP264">
            <v>3935.96</v>
          </cell>
          <cell r="AQ264">
            <v>3719.7088000000003</v>
          </cell>
          <cell r="AR264">
            <v>4554.7280639999999</v>
          </cell>
          <cell r="AS264">
            <v>4389.0733059200002</v>
          </cell>
          <cell r="AT264">
            <v>4660.8025750976003</v>
          </cell>
        </row>
        <row r="265">
          <cell r="J265">
            <v>49.3</v>
          </cell>
          <cell r="K265">
            <v>41.87</v>
          </cell>
          <cell r="L265">
            <v>42.14</v>
          </cell>
          <cell r="M265">
            <v>561.29999999999995</v>
          </cell>
          <cell r="N265">
            <v>694.61</v>
          </cell>
          <cell r="O265">
            <v>36.160000000000004</v>
          </cell>
          <cell r="P265">
            <v>14.97</v>
          </cell>
          <cell r="Q265">
            <v>30.740000000000002</v>
          </cell>
          <cell r="R265">
            <v>455.01</v>
          </cell>
          <cell r="S265">
            <v>536.88</v>
          </cell>
          <cell r="T265">
            <v>64.17</v>
          </cell>
          <cell r="U265">
            <v>359.34000000000003</v>
          </cell>
          <cell r="V265">
            <v>3794.07</v>
          </cell>
          <cell r="W265">
            <v>102</v>
          </cell>
          <cell r="X265">
            <v>4319.58</v>
          </cell>
          <cell r="Y265">
            <v>74</v>
          </cell>
          <cell r="Z265">
            <v>150</v>
          </cell>
          <cell r="AA265">
            <v>180</v>
          </cell>
          <cell r="AB265">
            <v>687</v>
          </cell>
          <cell r="AC265">
            <v>1091</v>
          </cell>
          <cell r="AD265">
            <v>95</v>
          </cell>
          <cell r="AE265">
            <v>204</v>
          </cell>
          <cell r="AF265">
            <v>735</v>
          </cell>
          <cell r="AG265">
            <v>410</v>
          </cell>
          <cell r="AH265">
            <v>1444</v>
          </cell>
          <cell r="AI265">
            <v>83.11</v>
          </cell>
          <cell r="AJ265">
            <v>196.79999999999998</v>
          </cell>
          <cell r="AK265">
            <v>632</v>
          </cell>
          <cell r="AL265">
            <v>513</v>
          </cell>
          <cell r="AM265">
            <v>1424.91</v>
          </cell>
          <cell r="AN265">
            <v>3364</v>
          </cell>
          <cell r="AO265">
            <v>5028</v>
          </cell>
          <cell r="AP265">
            <v>3935.96</v>
          </cell>
          <cell r="AQ265">
            <v>3719.7088000000003</v>
          </cell>
          <cell r="AR265">
            <v>4554.7280639999999</v>
          </cell>
          <cell r="AS265">
            <v>4389.0733059200002</v>
          </cell>
          <cell r="AT265">
            <v>4660.8025750976003</v>
          </cell>
        </row>
        <row r="266">
          <cell r="J266">
            <v>16.329999999999998</v>
          </cell>
          <cell r="K266">
            <v>121.3</v>
          </cell>
          <cell r="L266">
            <v>36.79</v>
          </cell>
          <cell r="M266">
            <v>3.6799999999999997</v>
          </cell>
          <cell r="N266">
            <v>178.09999999999997</v>
          </cell>
          <cell r="O266">
            <v>73.52</v>
          </cell>
          <cell r="P266">
            <v>20</v>
          </cell>
          <cell r="Q266">
            <v>15.579999999999998</v>
          </cell>
          <cell r="R266">
            <v>15.97</v>
          </cell>
          <cell r="S266">
            <v>125.07</v>
          </cell>
          <cell r="T266">
            <v>11.64</v>
          </cell>
          <cell r="U266">
            <v>9.9700000000000006</v>
          </cell>
          <cell r="V266">
            <v>38.119999999999997</v>
          </cell>
          <cell r="W266">
            <v>30</v>
          </cell>
          <cell r="X266">
            <v>89.73</v>
          </cell>
          <cell r="Y266">
            <v>45</v>
          </cell>
          <cell r="Z266">
            <v>55</v>
          </cell>
          <cell r="AA266">
            <v>55</v>
          </cell>
          <cell r="AB266">
            <v>61</v>
          </cell>
          <cell r="AC266">
            <v>216</v>
          </cell>
          <cell r="AD266">
            <v>8</v>
          </cell>
          <cell r="AE266">
            <v>32</v>
          </cell>
          <cell r="AF266">
            <v>8</v>
          </cell>
          <cell r="AG266">
            <v>8</v>
          </cell>
          <cell r="AH266">
            <v>56</v>
          </cell>
          <cell r="AI266">
            <v>7.64</v>
          </cell>
          <cell r="AJ266">
            <v>32.659999999999997</v>
          </cell>
          <cell r="AK266">
            <v>58.14</v>
          </cell>
          <cell r="AL266">
            <v>0.14000000000000001</v>
          </cell>
          <cell r="AM266">
            <v>98.58</v>
          </cell>
          <cell r="AN266">
            <v>180</v>
          </cell>
          <cell r="AO266">
            <v>180</v>
          </cell>
          <cell r="AP266">
            <v>0</v>
          </cell>
          <cell r="AQ266">
            <v>0</v>
          </cell>
          <cell r="AR266">
            <v>0</v>
          </cell>
          <cell r="AS266">
            <v>0</v>
          </cell>
          <cell r="AT266">
            <v>0</v>
          </cell>
        </row>
        <row r="268">
          <cell r="B268">
            <v>0</v>
          </cell>
          <cell r="C268">
            <v>0</v>
          </cell>
          <cell r="D268">
            <v>304</v>
          </cell>
          <cell r="E268">
            <v>737</v>
          </cell>
          <cell r="F268">
            <v>534</v>
          </cell>
          <cell r="G268">
            <v>602</v>
          </cell>
          <cell r="H268">
            <v>156</v>
          </cell>
          <cell r="I268">
            <v>168</v>
          </cell>
          <cell r="J268">
            <v>40.1</v>
          </cell>
          <cell r="K268">
            <v>27.64</v>
          </cell>
          <cell r="L268">
            <v>18.27</v>
          </cell>
          <cell r="M268">
            <v>180.83</v>
          </cell>
          <cell r="N268">
            <v>266.84000000000003</v>
          </cell>
          <cell r="O268">
            <v>55.28</v>
          </cell>
          <cell r="P268">
            <v>4</v>
          </cell>
          <cell r="Q268">
            <v>22</v>
          </cell>
          <cell r="R268">
            <v>22</v>
          </cell>
          <cell r="S268">
            <v>103.28</v>
          </cell>
          <cell r="T268">
            <v>18.05</v>
          </cell>
          <cell r="U268">
            <v>42.92</v>
          </cell>
          <cell r="V268">
            <v>84.12</v>
          </cell>
          <cell r="W268">
            <v>93</v>
          </cell>
          <cell r="X268">
            <v>238.09</v>
          </cell>
          <cell r="Y268">
            <v>16</v>
          </cell>
          <cell r="Z268">
            <v>92</v>
          </cell>
          <cell r="AA268">
            <v>122</v>
          </cell>
          <cell r="AB268">
            <v>129</v>
          </cell>
          <cell r="AC268">
            <v>359</v>
          </cell>
          <cell r="AD268">
            <v>51</v>
          </cell>
          <cell r="AE268">
            <v>147</v>
          </cell>
          <cell r="AF268">
            <v>60</v>
          </cell>
          <cell r="AG268">
            <v>219</v>
          </cell>
          <cell r="AH268">
            <v>477</v>
          </cell>
          <cell r="AI268">
            <v>50.84</v>
          </cell>
          <cell r="AJ268">
            <v>176.23</v>
          </cell>
          <cell r="AK268">
            <v>154</v>
          </cell>
          <cell r="AL268">
            <v>397</v>
          </cell>
          <cell r="AM268">
            <v>778.07</v>
          </cell>
          <cell r="AN268">
            <v>528</v>
          </cell>
          <cell r="AO268">
            <v>528</v>
          </cell>
          <cell r="AP268">
            <v>348</v>
          </cell>
          <cell r="AQ268">
            <v>365.40000000000003</v>
          </cell>
          <cell r="AR268">
            <v>383.67000000000007</v>
          </cell>
          <cell r="AS268">
            <v>402.85350000000011</v>
          </cell>
          <cell r="AT268">
            <v>422.99617500000011</v>
          </cell>
        </row>
        <row r="269">
          <cell r="B269">
            <v>23.928999999999998</v>
          </cell>
          <cell r="C269">
            <v>40.534999999999997</v>
          </cell>
          <cell r="D269">
            <v>161.804</v>
          </cell>
          <cell r="E269">
            <v>965.29</v>
          </cell>
          <cell r="F269">
            <v>483.40800000000002</v>
          </cell>
          <cell r="J269">
            <v>36.1</v>
          </cell>
          <cell r="K269">
            <v>26.43</v>
          </cell>
          <cell r="L269">
            <v>18.27</v>
          </cell>
          <cell r="M269">
            <v>180.83</v>
          </cell>
          <cell r="N269">
            <v>261.63</v>
          </cell>
          <cell r="O269">
            <v>10.34</v>
          </cell>
          <cell r="P269">
            <v>4</v>
          </cell>
          <cell r="Q269">
            <v>10.74</v>
          </cell>
          <cell r="R269">
            <v>18.5</v>
          </cell>
          <cell r="S269">
            <v>43.58</v>
          </cell>
          <cell r="T269">
            <v>12</v>
          </cell>
          <cell r="U269">
            <v>39.61</v>
          </cell>
          <cell r="V269">
            <v>47.05</v>
          </cell>
          <cell r="W269">
            <v>63</v>
          </cell>
          <cell r="X269">
            <v>161.66</v>
          </cell>
          <cell r="Y269">
            <v>16</v>
          </cell>
          <cell r="Z269">
            <v>92</v>
          </cell>
          <cell r="AA269">
            <v>122</v>
          </cell>
          <cell r="AB269">
            <v>129</v>
          </cell>
          <cell r="AC269">
            <v>359</v>
          </cell>
          <cell r="AD269">
            <v>43</v>
          </cell>
          <cell r="AE269">
            <v>118</v>
          </cell>
          <cell r="AF269">
            <v>52</v>
          </cell>
          <cell r="AG269">
            <v>211</v>
          </cell>
          <cell r="AH269">
            <v>424</v>
          </cell>
          <cell r="AI269">
            <v>43.34</v>
          </cell>
          <cell r="AJ269">
            <v>146.22999999999999</v>
          </cell>
          <cell r="AK269">
            <v>96</v>
          </cell>
          <cell r="AL269">
            <v>397</v>
          </cell>
          <cell r="AM269">
            <v>682.57</v>
          </cell>
          <cell r="AN269">
            <v>348</v>
          </cell>
          <cell r="AO269">
            <v>348</v>
          </cell>
          <cell r="AP269">
            <v>348</v>
          </cell>
          <cell r="AQ269">
            <v>365.40000000000003</v>
          </cell>
          <cell r="AR269">
            <v>383.67000000000007</v>
          </cell>
          <cell r="AS269">
            <v>402.85350000000011</v>
          </cell>
          <cell r="AT269">
            <v>422.99617500000011</v>
          </cell>
        </row>
        <row r="270">
          <cell r="B270">
            <v>47.41</v>
          </cell>
          <cell r="C270">
            <v>137.55000000000001</v>
          </cell>
          <cell r="D270">
            <v>111.443</v>
          </cell>
          <cell r="E270">
            <v>69.510999999999996</v>
          </cell>
          <cell r="F270">
            <v>57.81</v>
          </cell>
          <cell r="J270">
            <v>4</v>
          </cell>
          <cell r="K270">
            <v>1.21</v>
          </cell>
          <cell r="L270">
            <v>0</v>
          </cell>
          <cell r="M270">
            <v>0</v>
          </cell>
          <cell r="N270">
            <v>5.21</v>
          </cell>
          <cell r="O270">
            <v>44.94</v>
          </cell>
          <cell r="P270">
            <v>0</v>
          </cell>
          <cell r="Q270">
            <v>11.26</v>
          </cell>
          <cell r="R270">
            <v>3.5</v>
          </cell>
          <cell r="S270">
            <v>59.699999999999996</v>
          </cell>
          <cell r="T270">
            <v>6.05</v>
          </cell>
          <cell r="U270">
            <v>3.31</v>
          </cell>
          <cell r="V270">
            <v>37.07</v>
          </cell>
          <cell r="W270">
            <v>30</v>
          </cell>
          <cell r="X270">
            <v>76.430000000000007</v>
          </cell>
          <cell r="Y270">
            <v>0</v>
          </cell>
          <cell r="Z270">
            <v>0</v>
          </cell>
          <cell r="AA270">
            <v>0</v>
          </cell>
          <cell r="AB270">
            <v>0</v>
          </cell>
          <cell r="AC270">
            <v>0</v>
          </cell>
          <cell r="AD270">
            <v>8</v>
          </cell>
          <cell r="AE270">
            <v>29</v>
          </cell>
          <cell r="AF270">
            <v>8</v>
          </cell>
          <cell r="AG270">
            <v>8</v>
          </cell>
          <cell r="AH270">
            <v>53</v>
          </cell>
          <cell r="AI270">
            <v>7.5</v>
          </cell>
          <cell r="AJ270">
            <v>30</v>
          </cell>
          <cell r="AK270">
            <v>58</v>
          </cell>
          <cell r="AL270">
            <v>0</v>
          </cell>
          <cell r="AM270">
            <v>95.5</v>
          </cell>
          <cell r="AN270">
            <v>180</v>
          </cell>
          <cell r="AO270">
            <v>180</v>
          </cell>
          <cell r="AP270">
            <v>0</v>
          </cell>
          <cell r="AQ270">
            <v>0</v>
          </cell>
          <cell r="AR270">
            <v>0</v>
          </cell>
          <cell r="AS270">
            <v>0</v>
          </cell>
          <cell r="AT270">
            <v>0</v>
          </cell>
        </row>
        <row r="271">
          <cell r="D271">
            <v>115</v>
          </cell>
          <cell r="E271">
            <v>526</v>
          </cell>
          <cell r="F271">
            <v>328</v>
          </cell>
        </row>
        <row r="272">
          <cell r="D272">
            <v>150</v>
          </cell>
          <cell r="E272">
            <v>205</v>
          </cell>
          <cell r="F272">
            <v>203</v>
          </cell>
        </row>
        <row r="273">
          <cell r="D273">
            <v>39</v>
          </cell>
          <cell r="E273">
            <v>6</v>
          </cell>
          <cell r="F273">
            <v>3</v>
          </cell>
        </row>
        <row r="274">
          <cell r="B274">
            <v>0</v>
          </cell>
          <cell r="C274">
            <v>0</v>
          </cell>
          <cell r="D274">
            <v>147</v>
          </cell>
          <cell r="E274">
            <v>292</v>
          </cell>
          <cell r="F274">
            <v>438</v>
          </cell>
          <cell r="G274">
            <v>275</v>
          </cell>
          <cell r="H274">
            <v>152</v>
          </cell>
          <cell r="I274">
            <v>185.9</v>
          </cell>
          <cell r="J274">
            <v>20.83</v>
          </cell>
          <cell r="K274">
            <v>130.69</v>
          </cell>
          <cell r="L274">
            <v>53.760000000000005</v>
          </cell>
          <cell r="M274">
            <v>30.900000000000002</v>
          </cell>
          <cell r="N274">
            <v>236.17999999999998</v>
          </cell>
          <cell r="O274">
            <v>52.269999999999996</v>
          </cell>
          <cell r="P274">
            <v>21</v>
          </cell>
          <cell r="Q274">
            <v>20</v>
          </cell>
          <cell r="R274">
            <v>5.9</v>
          </cell>
          <cell r="S274">
            <v>99.17</v>
          </cell>
          <cell r="T274">
            <v>10.99</v>
          </cell>
          <cell r="U274">
            <v>8.73</v>
          </cell>
          <cell r="V274">
            <v>6.88</v>
          </cell>
          <cell r="W274">
            <v>6</v>
          </cell>
          <cell r="X274">
            <v>32.6</v>
          </cell>
          <cell r="Y274">
            <v>45</v>
          </cell>
          <cell r="Z274">
            <v>55</v>
          </cell>
          <cell r="AA274">
            <v>55</v>
          </cell>
          <cell r="AB274">
            <v>61</v>
          </cell>
          <cell r="AC274">
            <v>216</v>
          </cell>
          <cell r="AD274">
            <v>23</v>
          </cell>
          <cell r="AE274">
            <v>26</v>
          </cell>
          <cell r="AF274">
            <v>83</v>
          </cell>
          <cell r="AG274">
            <v>80</v>
          </cell>
          <cell r="AH274">
            <v>212</v>
          </cell>
          <cell r="AI274">
            <v>23.14</v>
          </cell>
          <cell r="AJ274">
            <v>27.07</v>
          </cell>
          <cell r="AK274">
            <v>0.14000000000000001</v>
          </cell>
          <cell r="AL274">
            <v>8.14</v>
          </cell>
          <cell r="AM274">
            <v>58.49</v>
          </cell>
          <cell r="AN274">
            <v>353</v>
          </cell>
          <cell r="AO274">
            <v>353</v>
          </cell>
          <cell r="AP274">
            <v>363.59000000000003</v>
          </cell>
          <cell r="AQ274">
            <v>374.49770000000007</v>
          </cell>
          <cell r="AR274">
            <v>385.73263100000008</v>
          </cell>
          <cell r="AS274">
            <v>397.30460993000008</v>
          </cell>
          <cell r="AT274">
            <v>409.2237482279001</v>
          </cell>
        </row>
        <row r="275">
          <cell r="B275">
            <v>6.0780000000000003</v>
          </cell>
          <cell r="C275">
            <v>0</v>
          </cell>
          <cell r="D275">
            <v>14.896000000000001</v>
          </cell>
          <cell r="E275">
            <v>17.559000000000001</v>
          </cell>
          <cell r="F275">
            <v>293.09199999999998</v>
          </cell>
          <cell r="J275">
            <v>13.2</v>
          </cell>
          <cell r="K275">
            <v>15.44</v>
          </cell>
          <cell r="L275">
            <v>23.87</v>
          </cell>
          <cell r="M275">
            <v>29.76</v>
          </cell>
          <cell r="N275">
            <v>82.27000000000001</v>
          </cell>
          <cell r="O275">
            <v>25</v>
          </cell>
          <cell r="P275">
            <v>1</v>
          </cell>
          <cell r="Q275">
            <v>20</v>
          </cell>
          <cell r="R275">
            <v>4.3600000000000003</v>
          </cell>
          <cell r="S275">
            <v>50.36</v>
          </cell>
          <cell r="T275">
            <v>5.4</v>
          </cell>
          <cell r="U275">
            <v>4.7300000000000004</v>
          </cell>
          <cell r="V275">
            <v>5.83</v>
          </cell>
          <cell r="W275">
            <v>6</v>
          </cell>
          <cell r="X275">
            <v>21.96</v>
          </cell>
          <cell r="Y275">
            <v>0</v>
          </cell>
          <cell r="Z275">
            <v>0</v>
          </cell>
          <cell r="AA275">
            <v>0</v>
          </cell>
          <cell r="AB275">
            <v>0</v>
          </cell>
          <cell r="AC275">
            <v>0</v>
          </cell>
          <cell r="AD275">
            <v>23</v>
          </cell>
          <cell r="AE275">
            <v>26</v>
          </cell>
          <cell r="AF275">
            <v>83</v>
          </cell>
          <cell r="AG275">
            <v>80</v>
          </cell>
          <cell r="AH275">
            <v>212</v>
          </cell>
          <cell r="AI275">
            <v>23</v>
          </cell>
          <cell r="AJ275">
            <v>27</v>
          </cell>
          <cell r="AK275">
            <v>0</v>
          </cell>
          <cell r="AL275">
            <v>8</v>
          </cell>
          <cell r="AM275">
            <v>58</v>
          </cell>
          <cell r="AN275">
            <v>353</v>
          </cell>
          <cell r="AO275">
            <v>353</v>
          </cell>
          <cell r="AP275">
            <v>363.59000000000003</v>
          </cell>
          <cell r="AQ275">
            <v>374.49770000000007</v>
          </cell>
          <cell r="AR275">
            <v>385.73263100000008</v>
          </cell>
          <cell r="AS275">
            <v>397.30460993000008</v>
          </cell>
          <cell r="AT275">
            <v>409.2237482279001</v>
          </cell>
        </row>
        <row r="276">
          <cell r="B276">
            <v>62.753999999999998</v>
          </cell>
          <cell r="C276">
            <v>3.8490000000000002</v>
          </cell>
          <cell r="D276">
            <v>113.2</v>
          </cell>
          <cell r="E276">
            <v>59.691000000000003</v>
          </cell>
          <cell r="F276">
            <v>76.471000000000004</v>
          </cell>
          <cell r="J276">
            <v>7.63</v>
          </cell>
          <cell r="K276">
            <v>115.25</v>
          </cell>
          <cell r="L276">
            <v>29.89</v>
          </cell>
          <cell r="M276">
            <v>1.1399999999999999</v>
          </cell>
          <cell r="N276">
            <v>153.90999999999997</v>
          </cell>
          <cell r="O276">
            <v>27.27</v>
          </cell>
          <cell r="P276">
            <v>20</v>
          </cell>
          <cell r="Q276">
            <v>0</v>
          </cell>
          <cell r="R276">
            <v>1.54</v>
          </cell>
          <cell r="S276">
            <v>48.809999999999995</v>
          </cell>
          <cell r="T276">
            <v>5.59</v>
          </cell>
          <cell r="U276">
            <v>4</v>
          </cell>
          <cell r="V276">
            <v>1.05</v>
          </cell>
          <cell r="W276">
            <v>0</v>
          </cell>
          <cell r="X276">
            <v>10.64</v>
          </cell>
          <cell r="Y276">
            <v>45</v>
          </cell>
          <cell r="Z276">
            <v>55</v>
          </cell>
          <cell r="AA276">
            <v>55</v>
          </cell>
          <cell r="AB276">
            <v>61</v>
          </cell>
          <cell r="AC276">
            <v>216</v>
          </cell>
          <cell r="AD276">
            <v>0</v>
          </cell>
          <cell r="AE276">
            <v>0</v>
          </cell>
          <cell r="AF276">
            <v>0</v>
          </cell>
          <cell r="AG276">
            <v>0</v>
          </cell>
          <cell r="AH276">
            <v>0</v>
          </cell>
          <cell r="AI276">
            <v>0.14000000000000001</v>
          </cell>
          <cell r="AJ276">
            <v>7.0000000000000007E-2</v>
          </cell>
          <cell r="AK276">
            <v>0.14000000000000001</v>
          </cell>
          <cell r="AL276">
            <v>0.14000000000000001</v>
          </cell>
          <cell r="AM276">
            <v>0.49</v>
          </cell>
          <cell r="AN276">
            <v>0</v>
          </cell>
          <cell r="AO276">
            <v>0</v>
          </cell>
          <cell r="AP276">
            <v>0</v>
          </cell>
          <cell r="AQ276">
            <v>0</v>
          </cell>
          <cell r="AR276">
            <v>0</v>
          </cell>
          <cell r="AS276">
            <v>0</v>
          </cell>
          <cell r="AT276">
            <v>0</v>
          </cell>
        </row>
        <row r="277">
          <cell r="B277">
            <v>0</v>
          </cell>
          <cell r="C277">
            <v>0</v>
          </cell>
          <cell r="D277">
            <v>312</v>
          </cell>
          <cell r="E277">
            <v>177</v>
          </cell>
          <cell r="F277">
            <v>131</v>
          </cell>
          <cell r="G277">
            <v>253</v>
          </cell>
          <cell r="H277">
            <v>218</v>
          </cell>
          <cell r="I277">
            <v>22.2</v>
          </cell>
          <cell r="J277">
            <v>3.57</v>
          </cell>
          <cell r="K277">
            <v>4.84</v>
          </cell>
          <cell r="L277">
            <v>6.9</v>
          </cell>
          <cell r="M277">
            <v>7.45</v>
          </cell>
          <cell r="N277">
            <v>22.76</v>
          </cell>
          <cell r="O277">
            <v>0.99</v>
          </cell>
          <cell r="P277">
            <v>0</v>
          </cell>
          <cell r="Q277">
            <v>0.28999999999999998</v>
          </cell>
          <cell r="R277">
            <v>3.03</v>
          </cell>
          <cell r="S277">
            <v>4.3099999999999996</v>
          </cell>
          <cell r="T277">
            <v>45</v>
          </cell>
          <cell r="U277">
            <v>2.66</v>
          </cell>
          <cell r="V277">
            <v>0</v>
          </cell>
          <cell r="W277">
            <v>3</v>
          </cell>
          <cell r="X277">
            <v>50.66</v>
          </cell>
          <cell r="Y277">
            <v>58</v>
          </cell>
          <cell r="Z277">
            <v>58</v>
          </cell>
          <cell r="AA277">
            <v>58</v>
          </cell>
          <cell r="AB277">
            <v>58</v>
          </cell>
          <cell r="AC277">
            <v>232</v>
          </cell>
          <cell r="AD277">
            <v>17</v>
          </cell>
          <cell r="AE277">
            <v>26</v>
          </cell>
          <cell r="AF277">
            <v>59</v>
          </cell>
          <cell r="AG277">
            <v>59</v>
          </cell>
          <cell r="AH277">
            <v>161</v>
          </cell>
          <cell r="AI277">
            <v>16.77</v>
          </cell>
          <cell r="AJ277">
            <v>26.16</v>
          </cell>
          <cell r="AK277">
            <v>48</v>
          </cell>
          <cell r="AL277">
            <v>0</v>
          </cell>
          <cell r="AM277">
            <v>90.93</v>
          </cell>
          <cell r="AN277">
            <v>79</v>
          </cell>
          <cell r="AO277">
            <v>79</v>
          </cell>
          <cell r="AP277">
            <v>81.37</v>
          </cell>
          <cell r="AQ277">
            <v>83.81110000000001</v>
          </cell>
          <cell r="AR277">
            <v>86.325433000000018</v>
          </cell>
          <cell r="AS277">
            <v>88.915195990000015</v>
          </cell>
          <cell r="AT277">
            <v>91.582651869700015</v>
          </cell>
        </row>
        <row r="278">
          <cell r="B278">
            <v>45.832000000000001</v>
          </cell>
          <cell r="C278">
            <v>826.03099999999995</v>
          </cell>
          <cell r="D278">
            <v>182.79499999999999</v>
          </cell>
          <cell r="E278">
            <v>283.32400000000001</v>
          </cell>
          <cell r="J278">
            <v>0</v>
          </cell>
          <cell r="K278">
            <v>0</v>
          </cell>
          <cell r="L278">
            <v>0</v>
          </cell>
          <cell r="M278">
            <v>4.91</v>
          </cell>
          <cell r="N278">
            <v>4.91</v>
          </cell>
          <cell r="O278">
            <v>0.82</v>
          </cell>
          <cell r="P278">
            <v>0</v>
          </cell>
          <cell r="Q278">
            <v>0</v>
          </cell>
          <cell r="R278">
            <v>0</v>
          </cell>
          <cell r="S278">
            <v>0.82</v>
          </cell>
          <cell r="T278">
            <v>45</v>
          </cell>
          <cell r="U278">
            <v>0</v>
          </cell>
          <cell r="V278">
            <v>0</v>
          </cell>
          <cell r="W278">
            <v>3</v>
          </cell>
          <cell r="X278">
            <v>48</v>
          </cell>
          <cell r="Y278">
            <v>58</v>
          </cell>
          <cell r="Z278">
            <v>58</v>
          </cell>
          <cell r="AA278">
            <v>58</v>
          </cell>
          <cell r="AB278">
            <v>58</v>
          </cell>
          <cell r="AC278">
            <v>232</v>
          </cell>
          <cell r="AD278">
            <v>17</v>
          </cell>
          <cell r="AE278">
            <v>23</v>
          </cell>
          <cell r="AF278">
            <v>59</v>
          </cell>
          <cell r="AG278">
            <v>59</v>
          </cell>
          <cell r="AH278">
            <v>158</v>
          </cell>
          <cell r="AI278">
            <v>16.77</v>
          </cell>
          <cell r="AJ278">
            <v>23.57</v>
          </cell>
          <cell r="AK278">
            <v>48</v>
          </cell>
          <cell r="AL278">
            <v>0</v>
          </cell>
          <cell r="AM278">
            <v>88.34</v>
          </cell>
          <cell r="AN278">
            <v>79</v>
          </cell>
          <cell r="AO278">
            <v>79</v>
          </cell>
          <cell r="AP278">
            <v>81.37</v>
          </cell>
          <cell r="AQ278">
            <v>83.81110000000001</v>
          </cell>
          <cell r="AR278">
            <v>86.325433000000018</v>
          </cell>
          <cell r="AS278">
            <v>88.915195990000015</v>
          </cell>
          <cell r="AT278">
            <v>91.582651869700015</v>
          </cell>
        </row>
        <row r="279">
          <cell r="B279">
            <v>9.8680000000000003</v>
          </cell>
          <cell r="C279">
            <v>123.236</v>
          </cell>
          <cell r="D279">
            <v>27.771000000000001</v>
          </cell>
          <cell r="E279">
            <v>5.9720000000000004</v>
          </cell>
          <cell r="J279">
            <v>3.57</v>
          </cell>
          <cell r="K279">
            <v>4.84</v>
          </cell>
          <cell r="L279">
            <v>6.9</v>
          </cell>
          <cell r="M279">
            <v>2.54</v>
          </cell>
          <cell r="N279">
            <v>17.850000000000001</v>
          </cell>
          <cell r="O279">
            <v>0.17</v>
          </cell>
          <cell r="P279">
            <v>0</v>
          </cell>
          <cell r="Q279">
            <v>0.28999999999999998</v>
          </cell>
          <cell r="R279">
            <v>3.03</v>
          </cell>
          <cell r="S279">
            <v>3.4899999999999998</v>
          </cell>
          <cell r="T279">
            <v>0</v>
          </cell>
          <cell r="U279">
            <v>2.66</v>
          </cell>
          <cell r="V279">
            <v>0</v>
          </cell>
          <cell r="W279">
            <v>0</v>
          </cell>
          <cell r="X279">
            <v>2.66</v>
          </cell>
          <cell r="Y279">
            <v>0</v>
          </cell>
          <cell r="Z279">
            <v>0</v>
          </cell>
          <cell r="AA279">
            <v>0</v>
          </cell>
          <cell r="AB279">
            <v>0</v>
          </cell>
          <cell r="AC279">
            <v>0</v>
          </cell>
          <cell r="AD279">
            <v>0</v>
          </cell>
          <cell r="AE279">
            <v>3</v>
          </cell>
          <cell r="AF279">
            <v>0</v>
          </cell>
          <cell r="AG279">
            <v>0</v>
          </cell>
          <cell r="AH279">
            <v>3</v>
          </cell>
          <cell r="AI279">
            <v>0</v>
          </cell>
          <cell r="AJ279">
            <v>2.59</v>
          </cell>
          <cell r="AK279">
            <v>0</v>
          </cell>
          <cell r="AL279">
            <v>0</v>
          </cell>
          <cell r="AM279">
            <v>2.59</v>
          </cell>
          <cell r="AN279">
            <v>0</v>
          </cell>
          <cell r="AO279">
            <v>0</v>
          </cell>
          <cell r="AP279">
            <v>0</v>
          </cell>
          <cell r="AQ279">
            <v>0</v>
          </cell>
          <cell r="AR279">
            <v>0</v>
          </cell>
          <cell r="AS279">
            <v>0</v>
          </cell>
          <cell r="AT279">
            <v>0</v>
          </cell>
        </row>
        <row r="280">
          <cell r="B280">
            <v>0</v>
          </cell>
          <cell r="C280">
            <v>0</v>
          </cell>
          <cell r="D280">
            <v>281</v>
          </cell>
          <cell r="E280">
            <v>134</v>
          </cell>
          <cell r="F280">
            <v>127</v>
          </cell>
          <cell r="G280">
            <v>103</v>
          </cell>
          <cell r="H280">
            <v>64</v>
          </cell>
          <cell r="I280">
            <v>62.7</v>
          </cell>
          <cell r="J280">
            <v>1.1299999999999999</v>
          </cell>
          <cell r="K280">
            <v>0</v>
          </cell>
          <cell r="L280">
            <v>0</v>
          </cell>
          <cell r="M280">
            <v>0</v>
          </cell>
          <cell r="N280">
            <v>1.1299999999999999</v>
          </cell>
          <cell r="O280">
            <v>1.1399999999999999</v>
          </cell>
          <cell r="P280">
            <v>9.9700000000000006</v>
          </cell>
          <cell r="Q280">
            <v>4.03</v>
          </cell>
          <cell r="R280">
            <v>25.049999999999997</v>
          </cell>
          <cell r="S280">
            <v>40.19</v>
          </cell>
          <cell r="T280">
            <v>1.77</v>
          </cell>
          <cell r="U280">
            <v>0</v>
          </cell>
          <cell r="V280">
            <v>0.19</v>
          </cell>
          <cell r="W280">
            <v>30</v>
          </cell>
          <cell r="X280">
            <v>31.96</v>
          </cell>
          <cell r="Y280">
            <v>0</v>
          </cell>
          <cell r="Z280">
            <v>0</v>
          </cell>
          <cell r="AA280">
            <v>0</v>
          </cell>
          <cell r="AB280">
            <v>0</v>
          </cell>
          <cell r="AC280">
            <v>0</v>
          </cell>
          <cell r="AD280">
            <v>12</v>
          </cell>
          <cell r="AE280">
            <v>37</v>
          </cell>
          <cell r="AF280">
            <v>41</v>
          </cell>
          <cell r="AG280">
            <v>60</v>
          </cell>
          <cell r="AH280">
            <v>150</v>
          </cell>
          <cell r="AI280">
            <v>0</v>
          </cell>
          <cell r="AJ280">
            <v>0</v>
          </cell>
          <cell r="AK280">
            <v>0</v>
          </cell>
          <cell r="AL280">
            <v>0</v>
          </cell>
          <cell r="AM280">
            <v>0</v>
          </cell>
          <cell r="AN280">
            <v>0</v>
          </cell>
          <cell r="AO280">
            <v>0</v>
          </cell>
          <cell r="AP280">
            <v>0</v>
          </cell>
          <cell r="AQ280">
            <v>0</v>
          </cell>
          <cell r="AR280">
            <v>0</v>
          </cell>
          <cell r="AS280">
            <v>0</v>
          </cell>
          <cell r="AT280">
            <v>0</v>
          </cell>
        </row>
        <row r="281">
          <cell r="B281">
            <v>2.2669999999999999</v>
          </cell>
          <cell r="C281">
            <v>5.6029999999999998</v>
          </cell>
          <cell r="D281">
            <v>31.684000000000001</v>
          </cell>
          <cell r="E281">
            <v>16.132999999999999</v>
          </cell>
          <cell r="F281">
            <v>5.1539999999999999</v>
          </cell>
          <cell r="J281">
            <v>0</v>
          </cell>
          <cell r="K281">
            <v>0</v>
          </cell>
          <cell r="L281">
            <v>0</v>
          </cell>
          <cell r="M281">
            <v>0</v>
          </cell>
          <cell r="N281">
            <v>0</v>
          </cell>
          <cell r="O281">
            <v>0</v>
          </cell>
          <cell r="P281">
            <v>9.9700000000000006</v>
          </cell>
          <cell r="Q281">
            <v>0</v>
          </cell>
          <cell r="R281">
            <v>17.149999999999999</v>
          </cell>
          <cell r="S281">
            <v>27.119999999999997</v>
          </cell>
          <cell r="T281">
            <v>1.77</v>
          </cell>
          <cell r="U281">
            <v>0</v>
          </cell>
          <cell r="V281">
            <v>0.19</v>
          </cell>
          <cell r="W281">
            <v>30</v>
          </cell>
          <cell r="X281">
            <v>31.96</v>
          </cell>
          <cell r="Y281">
            <v>0</v>
          </cell>
          <cell r="Z281">
            <v>0</v>
          </cell>
          <cell r="AA281">
            <v>0</v>
          </cell>
          <cell r="AB281">
            <v>0</v>
          </cell>
          <cell r="AC281">
            <v>0</v>
          </cell>
          <cell r="AD281">
            <v>12</v>
          </cell>
          <cell r="AE281">
            <v>37</v>
          </cell>
          <cell r="AF281">
            <v>41</v>
          </cell>
          <cell r="AG281">
            <v>60</v>
          </cell>
          <cell r="AH281">
            <v>150</v>
          </cell>
          <cell r="AI281">
            <v>0</v>
          </cell>
          <cell r="AJ281">
            <v>0</v>
          </cell>
          <cell r="AK281">
            <v>0</v>
          </cell>
          <cell r="AL281">
            <v>0</v>
          </cell>
          <cell r="AM281">
            <v>0</v>
          </cell>
          <cell r="AN281">
            <v>0</v>
          </cell>
          <cell r="AO281">
            <v>0</v>
          </cell>
          <cell r="AP281">
            <v>0</v>
          </cell>
          <cell r="AQ281">
            <v>0</v>
          </cell>
          <cell r="AR281">
            <v>0</v>
          </cell>
          <cell r="AS281">
            <v>0</v>
          </cell>
          <cell r="AT281">
            <v>0</v>
          </cell>
        </row>
        <row r="282">
          <cell r="B282">
            <v>30</v>
          </cell>
          <cell r="C282">
            <v>61.04</v>
          </cell>
          <cell r="D282">
            <v>108.831</v>
          </cell>
          <cell r="E282">
            <v>10.16</v>
          </cell>
          <cell r="F282">
            <v>46.225000000000001</v>
          </cell>
          <cell r="J282">
            <v>1.1299999999999999</v>
          </cell>
          <cell r="K282">
            <v>0</v>
          </cell>
          <cell r="L282">
            <v>0</v>
          </cell>
          <cell r="M282">
            <v>0</v>
          </cell>
          <cell r="N282">
            <v>1.1299999999999999</v>
          </cell>
          <cell r="O282">
            <v>1.1399999999999999</v>
          </cell>
          <cell r="P282">
            <v>0</v>
          </cell>
          <cell r="Q282">
            <v>4.03</v>
          </cell>
          <cell r="R282">
            <v>7.9</v>
          </cell>
          <cell r="S282">
            <v>13.07</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row>
        <row r="283">
          <cell r="E283">
            <v>0</v>
          </cell>
          <cell r="F283">
            <v>118</v>
          </cell>
          <cell r="G283">
            <v>118</v>
          </cell>
        </row>
        <row r="284">
          <cell r="B284">
            <v>0</v>
          </cell>
          <cell r="C284">
            <v>357.06</v>
          </cell>
          <cell r="D284">
            <v>262.72000000000003</v>
          </cell>
          <cell r="E284">
            <v>598.98099999999999</v>
          </cell>
        </row>
        <row r="286">
          <cell r="F286">
            <v>148</v>
          </cell>
          <cell r="H286">
            <v>1035</v>
          </cell>
          <cell r="J286">
            <v>0</v>
          </cell>
          <cell r="K286">
            <v>0</v>
          </cell>
          <cell r="L286">
            <v>0</v>
          </cell>
          <cell r="M286">
            <v>345.8</v>
          </cell>
          <cell r="N286">
            <v>345.8</v>
          </cell>
          <cell r="O286">
            <v>0</v>
          </cell>
          <cell r="P286">
            <v>0</v>
          </cell>
          <cell r="Q286">
            <v>0</v>
          </cell>
          <cell r="R286">
            <v>415</v>
          </cell>
          <cell r="S286">
            <v>415</v>
          </cell>
          <cell r="T286">
            <v>0</v>
          </cell>
          <cell r="U286">
            <v>315</v>
          </cell>
          <cell r="V286">
            <v>3741</v>
          </cell>
          <cell r="W286">
            <v>0</v>
          </cell>
          <cell r="X286">
            <v>4056</v>
          </cell>
          <cell r="Y286">
            <v>0</v>
          </cell>
          <cell r="Z286">
            <v>0</v>
          </cell>
          <cell r="AA286">
            <v>0</v>
          </cell>
          <cell r="AB286">
            <v>500</v>
          </cell>
          <cell r="AC286">
            <v>500</v>
          </cell>
          <cell r="AD286">
            <v>0</v>
          </cell>
          <cell r="AE286">
            <v>0</v>
          </cell>
          <cell r="AF286">
            <v>500</v>
          </cell>
          <cell r="AG286">
            <v>0</v>
          </cell>
          <cell r="AH286">
            <v>500</v>
          </cell>
          <cell r="AI286">
            <v>0</v>
          </cell>
          <cell r="AJ286">
            <v>0</v>
          </cell>
          <cell r="AK286">
            <v>488</v>
          </cell>
          <cell r="AL286">
            <v>108</v>
          </cell>
          <cell r="AM286">
            <v>596</v>
          </cell>
          <cell r="AN286">
            <v>2584</v>
          </cell>
          <cell r="AO286">
            <v>4248</v>
          </cell>
          <cell r="AP286">
            <v>3143</v>
          </cell>
          <cell r="AQ286">
            <v>2896</v>
          </cell>
          <cell r="AR286">
            <v>3699</v>
          </cell>
          <cell r="AS286">
            <v>3500</v>
          </cell>
          <cell r="AT286">
            <v>3737</v>
          </cell>
        </row>
        <row r="288">
          <cell r="B288">
            <v>0</v>
          </cell>
          <cell r="C288">
            <v>0</v>
          </cell>
          <cell r="D288">
            <v>0</v>
          </cell>
          <cell r="E288">
            <v>133</v>
          </cell>
          <cell r="F288">
            <v>670</v>
          </cell>
          <cell r="G288">
            <v>1707</v>
          </cell>
          <cell r="H288">
            <v>2825</v>
          </cell>
          <cell r="I288">
            <v>585</v>
          </cell>
          <cell r="J288">
            <v>183</v>
          </cell>
          <cell r="K288">
            <v>44</v>
          </cell>
          <cell r="L288">
            <v>41</v>
          </cell>
          <cell r="M288">
            <v>348</v>
          </cell>
          <cell r="N288">
            <v>616</v>
          </cell>
          <cell r="O288">
            <v>150</v>
          </cell>
          <cell r="P288">
            <v>86</v>
          </cell>
          <cell r="Q288">
            <v>0</v>
          </cell>
          <cell r="R288">
            <v>4</v>
          </cell>
          <cell r="S288">
            <v>240</v>
          </cell>
          <cell r="T288">
            <v>47</v>
          </cell>
          <cell r="U288">
            <v>87</v>
          </cell>
          <cell r="V288">
            <v>84</v>
          </cell>
          <cell r="W288">
            <v>1</v>
          </cell>
          <cell r="X288">
            <v>219</v>
          </cell>
          <cell r="Y288">
            <v>550</v>
          </cell>
          <cell r="Z288">
            <v>1500</v>
          </cell>
          <cell r="AA288">
            <v>0</v>
          </cell>
          <cell r="AB288">
            <v>301.12</v>
          </cell>
          <cell r="AC288">
            <v>2351.12</v>
          </cell>
          <cell r="AD288">
            <v>550</v>
          </cell>
          <cell r="AE288">
            <v>1800</v>
          </cell>
          <cell r="AF288">
            <v>0</v>
          </cell>
          <cell r="AG288">
            <v>788</v>
          </cell>
          <cell r="AH288">
            <v>3138</v>
          </cell>
          <cell r="AI288">
            <v>550</v>
          </cell>
          <cell r="AJ288">
            <v>1800</v>
          </cell>
          <cell r="AK288">
            <v>0</v>
          </cell>
          <cell r="AL288">
            <v>788</v>
          </cell>
          <cell r="AM288">
            <v>3138</v>
          </cell>
          <cell r="AN288">
            <v>2785.18</v>
          </cell>
          <cell r="AO288">
            <v>2785.18</v>
          </cell>
          <cell r="AP288">
            <v>3795</v>
          </cell>
          <cell r="AQ288">
            <v>3720</v>
          </cell>
          <cell r="AR288">
            <v>3748</v>
          </cell>
          <cell r="AS288">
            <v>2828</v>
          </cell>
          <cell r="AT288">
            <v>4578</v>
          </cell>
        </row>
        <row r="290">
          <cell r="B290">
            <v>0</v>
          </cell>
          <cell r="C290">
            <v>0</v>
          </cell>
          <cell r="D290">
            <v>0</v>
          </cell>
          <cell r="E290">
            <v>133</v>
          </cell>
          <cell r="F290">
            <v>670</v>
          </cell>
          <cell r="G290">
            <v>1707</v>
          </cell>
          <cell r="H290">
            <v>1612</v>
          </cell>
          <cell r="I290">
            <v>-128</v>
          </cell>
          <cell r="J290">
            <v>-190</v>
          </cell>
          <cell r="K290">
            <v>-193</v>
          </cell>
          <cell r="L290">
            <v>-122</v>
          </cell>
          <cell r="M290">
            <v>251</v>
          </cell>
          <cell r="N290">
            <v>-254</v>
          </cell>
          <cell r="O290">
            <v>-121</v>
          </cell>
          <cell r="P290">
            <v>-308</v>
          </cell>
          <cell r="Q290">
            <v>-77</v>
          </cell>
          <cell r="R290">
            <v>-31</v>
          </cell>
          <cell r="S290">
            <v>-537</v>
          </cell>
          <cell r="T290">
            <v>-596</v>
          </cell>
          <cell r="U290">
            <v>67</v>
          </cell>
          <cell r="V290">
            <v>-66</v>
          </cell>
          <cell r="W290">
            <v>-59</v>
          </cell>
          <cell r="X290">
            <v>-654</v>
          </cell>
          <cell r="Y290">
            <v>92</v>
          </cell>
          <cell r="Z290">
            <v>708</v>
          </cell>
          <cell r="AA290">
            <v>0</v>
          </cell>
          <cell r="AB290">
            <v>301.12</v>
          </cell>
          <cell r="AC290">
            <v>1101.1199999999999</v>
          </cell>
          <cell r="AD290">
            <v>158</v>
          </cell>
          <cell r="AE290">
            <v>1437</v>
          </cell>
          <cell r="AF290">
            <v>-304</v>
          </cell>
          <cell r="AG290">
            <v>592</v>
          </cell>
          <cell r="AH290">
            <v>1883</v>
          </cell>
          <cell r="AI290">
            <v>158</v>
          </cell>
          <cell r="AJ290">
            <v>1437</v>
          </cell>
          <cell r="AK290">
            <v>-304</v>
          </cell>
          <cell r="AL290">
            <v>592</v>
          </cell>
          <cell r="AM290">
            <v>1883</v>
          </cell>
          <cell r="AN290">
            <v>1830.1799999999998</v>
          </cell>
          <cell r="AO290">
            <v>1830.1799999999998</v>
          </cell>
          <cell r="AP290">
            <v>2529</v>
          </cell>
          <cell r="AQ290">
            <v>2019</v>
          </cell>
          <cell r="AR290">
            <v>1848</v>
          </cell>
          <cell r="AS290">
            <v>1476</v>
          </cell>
          <cell r="AT290">
            <v>2430</v>
          </cell>
        </row>
        <row r="291">
          <cell r="B291">
            <v>428</v>
          </cell>
          <cell r="C291">
            <v>110</v>
          </cell>
          <cell r="D291">
            <v>-67</v>
          </cell>
          <cell r="E291">
            <v>-70</v>
          </cell>
          <cell r="F291">
            <v>1264</v>
          </cell>
          <cell r="G291">
            <v>2488</v>
          </cell>
          <cell r="H291">
            <v>715</v>
          </cell>
          <cell r="I291">
            <v>-484</v>
          </cell>
          <cell r="J291">
            <v>-377</v>
          </cell>
          <cell r="K291">
            <v>0</v>
          </cell>
          <cell r="L291">
            <v>-87</v>
          </cell>
          <cell r="M291">
            <v>595</v>
          </cell>
          <cell r="N291">
            <v>131</v>
          </cell>
          <cell r="O291">
            <v>-457</v>
          </cell>
          <cell r="P291">
            <v>-281</v>
          </cell>
          <cell r="Q291">
            <v>-732</v>
          </cell>
          <cell r="R291">
            <v>-134</v>
          </cell>
          <cell r="S291">
            <v>-1604</v>
          </cell>
          <cell r="T291">
            <v>-63</v>
          </cell>
          <cell r="U291">
            <v>284.2</v>
          </cell>
          <cell r="V291">
            <v>-609</v>
          </cell>
          <cell r="W291">
            <v>1275</v>
          </cell>
          <cell r="X291">
            <v>887.2</v>
          </cell>
          <cell r="Y291">
            <v>57.75</v>
          </cell>
          <cell r="Z291">
            <v>567.75</v>
          </cell>
          <cell r="AA291">
            <v>123.19</v>
          </cell>
          <cell r="AB291">
            <v>898.76</v>
          </cell>
          <cell r="AC291">
            <v>1647.45</v>
          </cell>
          <cell r="AD291">
            <v>91</v>
          </cell>
          <cell r="AE291">
            <v>1370</v>
          </cell>
          <cell r="AF291">
            <v>-220</v>
          </cell>
          <cell r="AG291">
            <v>1439</v>
          </cell>
          <cell r="AH291">
            <v>2680</v>
          </cell>
          <cell r="AI291">
            <v>327</v>
          </cell>
          <cell r="AJ291">
            <v>1189</v>
          </cell>
          <cell r="AK291">
            <v>-235</v>
          </cell>
          <cell r="AL291">
            <v>2003</v>
          </cell>
          <cell r="AM291">
            <v>3284</v>
          </cell>
          <cell r="AN291">
            <v>2072.02</v>
          </cell>
          <cell r="AO291">
            <v>2072.02</v>
          </cell>
          <cell r="AP291">
            <v>2829.1679404466504</v>
          </cell>
          <cell r="AQ291">
            <v>1657</v>
          </cell>
          <cell r="AR291">
            <v>1492</v>
          </cell>
          <cell r="AS291">
            <v>1149</v>
          </cell>
          <cell r="AT291">
            <v>2103</v>
          </cell>
        </row>
        <row r="293">
          <cell r="G293">
            <v>0</v>
          </cell>
          <cell r="H293">
            <v>0</v>
          </cell>
          <cell r="I293">
            <v>0</v>
          </cell>
          <cell r="J293">
            <v>0</v>
          </cell>
          <cell r="K293">
            <v>0</v>
          </cell>
          <cell r="L293">
            <v>0</v>
          </cell>
          <cell r="M293">
            <v>0</v>
          </cell>
          <cell r="N293">
            <v>0</v>
          </cell>
          <cell r="O293">
            <v>0</v>
          </cell>
          <cell r="P293">
            <v>0</v>
          </cell>
          <cell r="Q293">
            <v>244</v>
          </cell>
          <cell r="R293">
            <v>0</v>
          </cell>
          <cell r="S293">
            <v>244</v>
          </cell>
          <cell r="T293">
            <v>-7</v>
          </cell>
          <cell r="U293">
            <v>-25</v>
          </cell>
          <cell r="V293">
            <v>-8</v>
          </cell>
          <cell r="W293">
            <v>-28</v>
          </cell>
          <cell r="X293">
            <v>-68</v>
          </cell>
          <cell r="Y293">
            <v>-7.4</v>
          </cell>
          <cell r="Z293">
            <v>-27.6</v>
          </cell>
          <cell r="AA293">
            <v>-7.4</v>
          </cell>
          <cell r="AB293">
            <v>-27.6</v>
          </cell>
          <cell r="AC293">
            <v>-70</v>
          </cell>
          <cell r="AD293">
            <v>-8</v>
          </cell>
          <cell r="AE293">
            <v>-26</v>
          </cell>
          <cell r="AF293">
            <v>-8</v>
          </cell>
          <cell r="AG293">
            <v>-27</v>
          </cell>
          <cell r="AH293">
            <v>-69</v>
          </cell>
          <cell r="AI293">
            <v>-8</v>
          </cell>
          <cell r="AJ293">
            <v>-26</v>
          </cell>
          <cell r="AK293">
            <v>-8</v>
          </cell>
          <cell r="AL293">
            <v>-27</v>
          </cell>
          <cell r="AM293">
            <v>-69</v>
          </cell>
          <cell r="AN293">
            <v>-70</v>
          </cell>
          <cell r="AO293">
            <v>-70</v>
          </cell>
          <cell r="AP293">
            <v>0</v>
          </cell>
          <cell r="AQ293">
            <v>0</v>
          </cell>
          <cell r="AR293">
            <v>0</v>
          </cell>
          <cell r="AS293">
            <v>0</v>
          </cell>
          <cell r="AT293">
            <v>0</v>
          </cell>
        </row>
        <row r="295">
          <cell r="F295">
            <v>177</v>
          </cell>
          <cell r="G295">
            <v>178</v>
          </cell>
          <cell r="H295">
            <v>0</v>
          </cell>
          <cell r="I295">
            <v>0</v>
          </cell>
        </row>
        <row r="297">
          <cell r="B297">
            <v>-91</v>
          </cell>
          <cell r="C297">
            <v>-64</v>
          </cell>
          <cell r="D297">
            <v>-250</v>
          </cell>
          <cell r="E297">
            <v>-493</v>
          </cell>
          <cell r="F297">
            <v>-214</v>
          </cell>
          <cell r="G297">
            <v>-190</v>
          </cell>
          <cell r="H297">
            <v>63</v>
          </cell>
          <cell r="I297">
            <v>21</v>
          </cell>
          <cell r="J297">
            <v>58</v>
          </cell>
          <cell r="K297">
            <v>228</v>
          </cell>
          <cell r="L297">
            <v>11</v>
          </cell>
          <cell r="M297">
            <v>36</v>
          </cell>
          <cell r="N297">
            <v>333</v>
          </cell>
          <cell r="O297">
            <v>168</v>
          </cell>
          <cell r="P297">
            <v>-44</v>
          </cell>
          <cell r="Q297">
            <v>-60</v>
          </cell>
          <cell r="R297">
            <v>-9</v>
          </cell>
          <cell r="S297">
            <v>55</v>
          </cell>
          <cell r="T297">
            <v>57</v>
          </cell>
          <cell r="U297">
            <v>-33</v>
          </cell>
          <cell r="V297">
            <v>-59</v>
          </cell>
          <cell r="W297">
            <v>-124</v>
          </cell>
          <cell r="X297">
            <v>-159</v>
          </cell>
          <cell r="Y297">
            <v>289.19</v>
          </cell>
          <cell r="Z297">
            <v>-10.3</v>
          </cell>
          <cell r="AA297">
            <v>0</v>
          </cell>
          <cell r="AB297">
            <v>27.12</v>
          </cell>
          <cell r="AC297">
            <v>306.01</v>
          </cell>
          <cell r="AD297">
            <v>310</v>
          </cell>
          <cell r="AE297">
            <v>9</v>
          </cell>
          <cell r="AF297">
            <v>0</v>
          </cell>
          <cell r="AG297">
            <v>27</v>
          </cell>
          <cell r="AH297">
            <v>346</v>
          </cell>
          <cell r="AI297">
            <v>302</v>
          </cell>
          <cell r="AJ297">
            <v>11</v>
          </cell>
          <cell r="AK297">
            <v>23</v>
          </cell>
          <cell r="AL297">
            <v>633</v>
          </cell>
          <cell r="AM297">
            <v>969</v>
          </cell>
          <cell r="AN297">
            <v>0</v>
          </cell>
          <cell r="AO297">
            <v>0</v>
          </cell>
          <cell r="AP297">
            <v>0</v>
          </cell>
          <cell r="AQ297">
            <v>0</v>
          </cell>
          <cell r="AR297">
            <v>0</v>
          </cell>
          <cell r="AS297">
            <v>0</v>
          </cell>
          <cell r="AT297">
            <v>0</v>
          </cell>
        </row>
        <row r="299">
          <cell r="C299">
            <v>-50</v>
          </cell>
          <cell r="D299">
            <v>-368</v>
          </cell>
          <cell r="E299">
            <v>-420</v>
          </cell>
          <cell r="F299">
            <v>-283</v>
          </cell>
          <cell r="G299">
            <v>-187</v>
          </cell>
          <cell r="H299">
            <v>-77</v>
          </cell>
          <cell r="I299">
            <v>-13</v>
          </cell>
          <cell r="J299">
            <v>-14</v>
          </cell>
          <cell r="K299">
            <v>-4</v>
          </cell>
          <cell r="L299">
            <v>-1</v>
          </cell>
          <cell r="M299">
            <v>-7</v>
          </cell>
          <cell r="N299">
            <v>-26</v>
          </cell>
          <cell r="O299">
            <v>-19</v>
          </cell>
          <cell r="P299">
            <v>-61</v>
          </cell>
          <cell r="Q299">
            <v>-22</v>
          </cell>
          <cell r="R299">
            <v>-40</v>
          </cell>
          <cell r="S299">
            <v>-142</v>
          </cell>
          <cell r="T299">
            <v>-7</v>
          </cell>
          <cell r="U299">
            <v>-29</v>
          </cell>
          <cell r="V299">
            <v>-63</v>
          </cell>
          <cell r="W299">
            <v>-62</v>
          </cell>
          <cell r="X299">
            <v>-161</v>
          </cell>
          <cell r="Y299">
            <v>0</v>
          </cell>
          <cell r="Z299">
            <v>-10.3</v>
          </cell>
          <cell r="AA299">
            <v>0</v>
          </cell>
          <cell r="AB299">
            <v>-10.3</v>
          </cell>
          <cell r="AC299">
            <v>-20.6</v>
          </cell>
          <cell r="AD299">
            <v>0</v>
          </cell>
          <cell r="AE299">
            <v>-7</v>
          </cell>
          <cell r="AF299">
            <v>0</v>
          </cell>
          <cell r="AG299">
            <v>-10</v>
          </cell>
          <cell r="AH299">
            <v>-17</v>
          </cell>
          <cell r="AI299">
            <v>0</v>
          </cell>
          <cell r="AJ299">
            <v>-7</v>
          </cell>
          <cell r="AK299">
            <v>-6</v>
          </cell>
          <cell r="AL299">
            <v>-7</v>
          </cell>
          <cell r="AM299">
            <v>-20</v>
          </cell>
          <cell r="AN299">
            <v>0</v>
          </cell>
          <cell r="AO299">
            <v>0</v>
          </cell>
          <cell r="AP299">
            <v>0</v>
          </cell>
          <cell r="AQ299">
            <v>0</v>
          </cell>
          <cell r="AR299">
            <v>0</v>
          </cell>
          <cell r="AS299">
            <v>0</v>
          </cell>
          <cell r="AT299">
            <v>0</v>
          </cell>
        </row>
        <row r="300">
          <cell r="N300">
            <v>0</v>
          </cell>
          <cell r="S300">
            <v>0</v>
          </cell>
          <cell r="X300">
            <v>0</v>
          </cell>
          <cell r="AC300">
            <v>0</v>
          </cell>
          <cell r="AH300">
            <v>0</v>
          </cell>
          <cell r="AN300">
            <v>0</v>
          </cell>
          <cell r="AO300">
            <v>0</v>
          </cell>
          <cell r="AP300">
            <v>0</v>
          </cell>
          <cell r="AQ300">
            <v>0</v>
          </cell>
          <cell r="AR300">
            <v>0</v>
          </cell>
          <cell r="AS300">
            <v>0</v>
          </cell>
          <cell r="AT300">
            <v>0</v>
          </cell>
        </row>
        <row r="301">
          <cell r="N301">
            <v>0</v>
          </cell>
          <cell r="S301">
            <v>0</v>
          </cell>
          <cell r="X301">
            <v>0</v>
          </cell>
          <cell r="AC301">
            <v>0</v>
          </cell>
          <cell r="AH301">
            <v>0</v>
          </cell>
          <cell r="AN301">
            <v>0</v>
          </cell>
          <cell r="AO301">
            <v>0</v>
          </cell>
          <cell r="AP301">
            <v>0</v>
          </cell>
          <cell r="AQ301">
            <v>0</v>
          </cell>
          <cell r="AR301">
            <v>0</v>
          </cell>
          <cell r="AS301">
            <v>0</v>
          </cell>
          <cell r="AT301">
            <v>0</v>
          </cell>
        </row>
        <row r="302">
          <cell r="N302">
            <v>0</v>
          </cell>
          <cell r="S302">
            <v>0</v>
          </cell>
          <cell r="X302">
            <v>0</v>
          </cell>
          <cell r="AC302">
            <v>0</v>
          </cell>
          <cell r="AH302">
            <v>0</v>
          </cell>
          <cell r="AN302">
            <v>0</v>
          </cell>
          <cell r="AO302">
            <v>0</v>
          </cell>
          <cell r="AP302">
            <v>0</v>
          </cell>
          <cell r="AQ302">
            <v>0</v>
          </cell>
          <cell r="AR302">
            <v>0</v>
          </cell>
          <cell r="AS302">
            <v>0</v>
          </cell>
          <cell r="AT302">
            <v>0</v>
          </cell>
        </row>
        <row r="303">
          <cell r="G303">
            <v>46</v>
          </cell>
          <cell r="H303">
            <v>80</v>
          </cell>
          <cell r="I303">
            <v>3</v>
          </cell>
          <cell r="J303">
            <v>45</v>
          </cell>
          <cell r="K303">
            <v>216</v>
          </cell>
          <cell r="L303">
            <v>0</v>
          </cell>
          <cell r="M303">
            <v>5</v>
          </cell>
          <cell r="N303">
            <v>266</v>
          </cell>
          <cell r="O303">
            <v>85</v>
          </cell>
          <cell r="P303">
            <v>0</v>
          </cell>
          <cell r="Q303">
            <v>0</v>
          </cell>
          <cell r="R303">
            <v>-1</v>
          </cell>
          <cell r="S303">
            <v>84</v>
          </cell>
          <cell r="T303">
            <v>0</v>
          </cell>
          <cell r="U303">
            <v>0</v>
          </cell>
          <cell r="V303">
            <v>0</v>
          </cell>
          <cell r="W303">
            <v>0</v>
          </cell>
          <cell r="X303">
            <v>0</v>
          </cell>
          <cell r="Y303">
            <v>289.19</v>
          </cell>
          <cell r="Z303">
            <v>0</v>
          </cell>
          <cell r="AA303">
            <v>0</v>
          </cell>
          <cell r="AB303">
            <v>37.42</v>
          </cell>
          <cell r="AC303">
            <v>326.61</v>
          </cell>
          <cell r="AD303">
            <v>298</v>
          </cell>
          <cell r="AE303">
            <v>0</v>
          </cell>
          <cell r="AF303">
            <v>0</v>
          </cell>
          <cell r="AG303">
            <v>37</v>
          </cell>
          <cell r="AH303">
            <v>335</v>
          </cell>
          <cell r="AI303">
            <v>298</v>
          </cell>
          <cell r="AJ303">
            <v>0</v>
          </cell>
          <cell r="AK303">
            <v>0</v>
          </cell>
          <cell r="AL303">
            <v>656</v>
          </cell>
          <cell r="AM303">
            <v>954</v>
          </cell>
          <cell r="AN303">
            <v>0</v>
          </cell>
          <cell r="AO303">
            <v>0</v>
          </cell>
          <cell r="AP303">
            <v>0</v>
          </cell>
          <cell r="AQ303">
            <v>0</v>
          </cell>
          <cell r="AR303">
            <v>0</v>
          </cell>
          <cell r="AS303">
            <v>0</v>
          </cell>
          <cell r="AT303">
            <v>0</v>
          </cell>
        </row>
        <row r="304">
          <cell r="D304">
            <v>11</v>
          </cell>
          <cell r="E304">
            <v>-17</v>
          </cell>
          <cell r="F304">
            <v>48</v>
          </cell>
          <cell r="G304">
            <v>-10</v>
          </cell>
          <cell r="H304">
            <v>126</v>
          </cell>
          <cell r="I304">
            <v>53</v>
          </cell>
          <cell r="J304">
            <v>32</v>
          </cell>
          <cell r="K304">
            <v>19</v>
          </cell>
          <cell r="L304">
            <v>27</v>
          </cell>
          <cell r="M304">
            <v>35</v>
          </cell>
          <cell r="N304">
            <v>113</v>
          </cell>
          <cell r="O304">
            <v>115</v>
          </cell>
          <cell r="P304">
            <v>18</v>
          </cell>
          <cell r="Q304">
            <v>-18</v>
          </cell>
          <cell r="R304">
            <v>30</v>
          </cell>
          <cell r="S304">
            <v>145</v>
          </cell>
          <cell r="T304">
            <v>117</v>
          </cell>
          <cell r="U304">
            <v>17</v>
          </cell>
          <cell r="V304">
            <v>13</v>
          </cell>
          <cell r="W304">
            <v>-48</v>
          </cell>
          <cell r="X304">
            <v>99</v>
          </cell>
          <cell r="Y304">
            <v>0</v>
          </cell>
          <cell r="Z304">
            <v>0</v>
          </cell>
          <cell r="AA304">
            <v>0</v>
          </cell>
          <cell r="AB304">
            <v>0</v>
          </cell>
          <cell r="AC304">
            <v>0</v>
          </cell>
          <cell r="AD304">
            <v>27</v>
          </cell>
          <cell r="AE304">
            <v>20</v>
          </cell>
          <cell r="AF304">
            <v>0</v>
          </cell>
          <cell r="AG304">
            <v>-194</v>
          </cell>
          <cell r="AH304">
            <v>-147</v>
          </cell>
          <cell r="AI304">
            <v>27</v>
          </cell>
          <cell r="AJ304">
            <v>20</v>
          </cell>
          <cell r="AK304">
            <v>-20</v>
          </cell>
          <cell r="AL304">
            <v>-14</v>
          </cell>
          <cell r="AM304">
            <v>13</v>
          </cell>
          <cell r="AN304">
            <v>0</v>
          </cell>
          <cell r="AO304">
            <v>0</v>
          </cell>
          <cell r="AP304">
            <v>0</v>
          </cell>
          <cell r="AQ304">
            <v>0</v>
          </cell>
          <cell r="AR304">
            <v>0</v>
          </cell>
          <cell r="AS304">
            <v>0</v>
          </cell>
          <cell r="AT304">
            <v>0</v>
          </cell>
        </row>
        <row r="305">
          <cell r="B305">
            <v>-91</v>
          </cell>
          <cell r="C305">
            <v>-14</v>
          </cell>
          <cell r="D305">
            <v>107</v>
          </cell>
          <cell r="E305">
            <v>-56</v>
          </cell>
          <cell r="F305">
            <v>21</v>
          </cell>
          <cell r="G305">
            <v>-39</v>
          </cell>
          <cell r="H305">
            <v>-66</v>
          </cell>
          <cell r="I305">
            <v>-22</v>
          </cell>
          <cell r="J305">
            <v>-5</v>
          </cell>
          <cell r="K305">
            <v>-3</v>
          </cell>
          <cell r="L305">
            <v>-15</v>
          </cell>
          <cell r="M305">
            <v>3</v>
          </cell>
          <cell r="N305">
            <v>-20</v>
          </cell>
          <cell r="O305">
            <v>-13</v>
          </cell>
          <cell r="P305">
            <v>-1</v>
          </cell>
          <cell r="Q305">
            <v>-20</v>
          </cell>
          <cell r="R305">
            <v>2</v>
          </cell>
          <cell r="S305">
            <v>-32</v>
          </cell>
          <cell r="T305">
            <v>-53</v>
          </cell>
          <cell r="U305">
            <v>-21</v>
          </cell>
          <cell r="V305">
            <v>-9</v>
          </cell>
          <cell r="W305">
            <v>-14</v>
          </cell>
          <cell r="X305">
            <v>-97</v>
          </cell>
          <cell r="AC305">
            <v>0</v>
          </cell>
          <cell r="AD305">
            <v>-15</v>
          </cell>
          <cell r="AE305">
            <v>-4</v>
          </cell>
          <cell r="AG305">
            <v>194</v>
          </cell>
          <cell r="AH305">
            <v>175</v>
          </cell>
          <cell r="AI305">
            <v>-23</v>
          </cell>
          <cell r="AJ305">
            <v>-2</v>
          </cell>
          <cell r="AK305">
            <v>49</v>
          </cell>
          <cell r="AL305">
            <v>-2</v>
          </cell>
          <cell r="AM305">
            <v>22</v>
          </cell>
          <cell r="AN305">
            <v>0</v>
          </cell>
          <cell r="AO305">
            <v>0</v>
          </cell>
          <cell r="AP305">
            <v>0</v>
          </cell>
          <cell r="AQ305">
            <v>0</v>
          </cell>
          <cell r="AR305">
            <v>0</v>
          </cell>
          <cell r="AS305">
            <v>0</v>
          </cell>
          <cell r="AT305">
            <v>0</v>
          </cell>
        </row>
        <row r="307">
          <cell r="B307">
            <v>23</v>
          </cell>
          <cell r="C307">
            <v>3</v>
          </cell>
          <cell r="D307">
            <v>175</v>
          </cell>
          <cell r="E307">
            <v>520</v>
          </cell>
          <cell r="F307">
            <v>196</v>
          </cell>
          <cell r="G307">
            <v>915</v>
          </cell>
          <cell r="H307">
            <v>1071</v>
          </cell>
          <cell r="I307">
            <v>205</v>
          </cell>
          <cell r="J307">
            <v>18</v>
          </cell>
          <cell r="K307">
            <v>19</v>
          </cell>
          <cell r="L307">
            <v>31</v>
          </cell>
          <cell r="M307">
            <v>19</v>
          </cell>
          <cell r="N307">
            <v>87</v>
          </cell>
          <cell r="O307">
            <v>34</v>
          </cell>
          <cell r="P307">
            <v>48</v>
          </cell>
          <cell r="Q307">
            <v>55</v>
          </cell>
          <cell r="R307">
            <v>40</v>
          </cell>
          <cell r="S307">
            <v>177</v>
          </cell>
          <cell r="T307">
            <v>466</v>
          </cell>
          <cell r="U307">
            <v>75</v>
          </cell>
          <cell r="V307">
            <v>89</v>
          </cell>
          <cell r="W307">
            <v>67</v>
          </cell>
          <cell r="X307">
            <v>697</v>
          </cell>
          <cell r="Y307">
            <v>0</v>
          </cell>
          <cell r="Z307">
            <v>0</v>
          </cell>
          <cell r="AA307">
            <v>0</v>
          </cell>
          <cell r="AB307">
            <v>0</v>
          </cell>
          <cell r="AC307">
            <v>0</v>
          </cell>
          <cell r="AD307">
            <v>13.6875</v>
          </cell>
          <cell r="AE307">
            <v>20.6875</v>
          </cell>
          <cell r="AF307">
            <v>50</v>
          </cell>
          <cell r="AG307">
            <v>50</v>
          </cell>
          <cell r="AH307">
            <v>134.375</v>
          </cell>
          <cell r="AI307">
            <v>229</v>
          </cell>
          <cell r="AJ307">
            <v>63</v>
          </cell>
          <cell r="AK307">
            <v>59</v>
          </cell>
          <cell r="AL307">
            <v>39</v>
          </cell>
          <cell r="AM307">
            <v>390</v>
          </cell>
          <cell r="AN307">
            <v>50</v>
          </cell>
          <cell r="AO307">
            <v>50</v>
          </cell>
          <cell r="AP307">
            <v>50</v>
          </cell>
          <cell r="AQ307">
            <v>200</v>
          </cell>
          <cell r="AR307">
            <v>200</v>
          </cell>
          <cell r="AS307">
            <v>150</v>
          </cell>
          <cell r="AT307">
            <v>150</v>
          </cell>
        </row>
        <row r="308">
          <cell r="AD308">
            <v>44</v>
          </cell>
          <cell r="AE308">
            <v>-132</v>
          </cell>
          <cell r="AF308">
            <v>-108.6875</v>
          </cell>
          <cell r="AG308">
            <v>-107.6875</v>
          </cell>
        </row>
        <row r="310">
          <cell r="D310">
            <v>175</v>
          </cell>
          <cell r="E310">
            <v>520</v>
          </cell>
          <cell r="F310">
            <v>196</v>
          </cell>
          <cell r="G310">
            <v>915</v>
          </cell>
          <cell r="H310">
            <v>1071</v>
          </cell>
          <cell r="I310">
            <v>205</v>
          </cell>
        </row>
        <row r="313">
          <cell r="G313">
            <v>0</v>
          </cell>
          <cell r="H313">
            <v>0</v>
          </cell>
          <cell r="I313">
            <v>0</v>
          </cell>
          <cell r="U313">
            <v>1000</v>
          </cell>
          <cell r="X313">
            <v>1000</v>
          </cell>
          <cell r="Y313">
            <v>274.75</v>
          </cell>
          <cell r="Z313">
            <v>274.75</v>
          </cell>
          <cell r="AA313">
            <v>274.75</v>
          </cell>
          <cell r="AB313">
            <v>274.75</v>
          </cell>
          <cell r="AC313">
            <v>1099</v>
          </cell>
          <cell r="AD313">
            <v>192.3125</v>
          </cell>
          <cell r="AE313">
            <v>32.3125</v>
          </cell>
          <cell r="AF313">
            <v>112.3125</v>
          </cell>
          <cell r="AG313">
            <v>112.3125</v>
          </cell>
          <cell r="AH313">
            <v>449.25</v>
          </cell>
          <cell r="AN313">
            <v>399.99999999999994</v>
          </cell>
          <cell r="AO313">
            <v>399.99999999999994</v>
          </cell>
          <cell r="AP313">
            <v>694.8</v>
          </cell>
          <cell r="AQ313">
            <v>158</v>
          </cell>
          <cell r="AR313">
            <v>241</v>
          </cell>
          <cell r="AS313">
            <v>24</v>
          </cell>
          <cell r="AT313">
            <v>0</v>
          </cell>
        </row>
        <row r="315">
          <cell r="B315">
            <v>2189</v>
          </cell>
          <cell r="C315">
            <v>2042</v>
          </cell>
          <cell r="D315">
            <v>2302</v>
          </cell>
          <cell r="E315">
            <v>2406</v>
          </cell>
          <cell r="F315">
            <v>1604</v>
          </cell>
          <cell r="G315">
            <v>1488</v>
          </cell>
          <cell r="H315">
            <v>3235</v>
          </cell>
          <cell r="I315">
            <v>2744.4982</v>
          </cell>
          <cell r="J315">
            <v>867</v>
          </cell>
          <cell r="K315">
            <v>695.827</v>
          </cell>
          <cell r="L315">
            <v>945.49900000000002</v>
          </cell>
          <cell r="M315">
            <v>646.96299999999997</v>
          </cell>
          <cell r="N315">
            <v>3155.2889999999998</v>
          </cell>
          <cell r="O315">
            <v>871</v>
          </cell>
          <cell r="P315">
            <v>1008</v>
          </cell>
          <cell r="Q315">
            <v>700</v>
          </cell>
          <cell r="R315">
            <v>606</v>
          </cell>
          <cell r="S315">
            <v>3185</v>
          </cell>
          <cell r="T315">
            <v>1346.8899999999999</v>
          </cell>
          <cell r="U315">
            <v>412.62</v>
          </cell>
          <cell r="V315">
            <v>4023.73</v>
          </cell>
          <cell r="W315">
            <v>678.31999999999994</v>
          </cell>
          <cell r="X315">
            <v>6461.5599999999995</v>
          </cell>
          <cell r="Y315">
            <v>1110.4573499999999</v>
          </cell>
          <cell r="Z315">
            <v>1753.4739999999999</v>
          </cell>
          <cell r="AA315">
            <v>618.80600000000004</v>
          </cell>
          <cell r="AB315">
            <v>1398.6979999999999</v>
          </cell>
          <cell r="AC315">
            <v>4881.4353499999997</v>
          </cell>
          <cell r="AD315">
            <v>932</v>
          </cell>
          <cell r="AE315">
            <v>1183</v>
          </cell>
          <cell r="AF315">
            <v>922</v>
          </cell>
          <cell r="AG315">
            <v>1588</v>
          </cell>
          <cell r="AH315">
            <v>4625</v>
          </cell>
          <cell r="AI315">
            <v>932.13</v>
          </cell>
          <cell r="AJ315">
            <v>1182.3800000000001</v>
          </cell>
          <cell r="AK315">
            <v>737.29</v>
          </cell>
          <cell r="AL315">
            <v>1410</v>
          </cell>
          <cell r="AM315">
            <v>4261.8</v>
          </cell>
          <cell r="AN315">
            <v>3506.0819999999999</v>
          </cell>
          <cell r="AO315">
            <v>3506.0819999999999</v>
          </cell>
          <cell r="AP315">
            <v>4065.7451714285717</v>
          </cell>
          <cell r="AQ315">
            <v>4352.4323199999999</v>
          </cell>
          <cell r="AR315">
            <v>5035.7037700000001</v>
          </cell>
          <cell r="AS315">
            <v>5248.6440330999994</v>
          </cell>
          <cell r="AT315">
            <v>6164.6598440930002</v>
          </cell>
        </row>
        <row r="317">
          <cell r="B317">
            <v>2189</v>
          </cell>
          <cell r="C317">
            <v>2042</v>
          </cell>
          <cell r="D317">
            <v>2302</v>
          </cell>
          <cell r="E317">
            <v>2406</v>
          </cell>
          <cell r="F317">
            <v>1709.55663</v>
          </cell>
          <cell r="G317">
            <v>1666.58512</v>
          </cell>
          <cell r="H317">
            <v>3503.1035630000001</v>
          </cell>
          <cell r="I317">
            <v>2945.8195589000002</v>
          </cell>
          <cell r="J317">
            <v>867</v>
          </cell>
          <cell r="K317">
            <v>695.827</v>
          </cell>
          <cell r="L317">
            <v>945.49900000000002</v>
          </cell>
          <cell r="M317">
            <v>646.96299999999997</v>
          </cell>
          <cell r="N317">
            <v>3616.7634339999995</v>
          </cell>
          <cell r="O317">
            <v>912.44894109999996</v>
          </cell>
          <cell r="P317">
            <v>1204.6392318999999</v>
          </cell>
          <cell r="Q317">
            <v>741.0755527</v>
          </cell>
          <cell r="R317">
            <v>802.29928440000003</v>
          </cell>
          <cell r="S317">
            <v>3660.4630101000002</v>
          </cell>
          <cell r="T317">
            <v>1386.2827380087999</v>
          </cell>
          <cell r="U317">
            <v>600.58443382170003</v>
          </cell>
          <cell r="V317">
            <v>4062.2995808380001</v>
          </cell>
          <cell r="W317">
            <v>864.06796831399993</v>
          </cell>
          <cell r="X317">
            <v>6913.6547209173996</v>
          </cell>
          <cell r="Y317">
            <v>1148.7299153639999</v>
          </cell>
          <cell r="Z317">
            <v>1937.590214566</v>
          </cell>
          <cell r="AA317">
            <v>657.10685255200008</v>
          </cell>
          <cell r="AB317">
            <v>1582.9501940449998</v>
          </cell>
          <cell r="AC317">
            <v>5326.2694842359997</v>
          </cell>
          <cell r="AD317">
            <v>970.52230157748772</v>
          </cell>
          <cell r="AE317">
            <v>1365.2293157945098</v>
          </cell>
          <cell r="AF317">
            <v>959.5705321055442</v>
          </cell>
          <cell r="AG317">
            <v>1768.494229286157</v>
          </cell>
          <cell r="AH317">
            <v>5070.6554675710004</v>
          </cell>
          <cell r="AI317">
            <v>970.12558000000001</v>
          </cell>
          <cell r="AJ317">
            <v>1363.7632000000001</v>
          </cell>
          <cell r="AK317">
            <v>775.5346199999999</v>
          </cell>
          <cell r="AL317">
            <v>1598.9924000000001</v>
          </cell>
          <cell r="AM317">
            <v>4707.4554675710006</v>
          </cell>
          <cell r="AN317">
            <v>3971.1948500479998</v>
          </cell>
          <cell r="AO317">
            <v>3971.1948500479998</v>
          </cell>
          <cell r="AP317">
            <v>4606.266350594572</v>
          </cell>
          <cell r="AQ317">
            <v>4571.9603986299999</v>
          </cell>
          <cell r="AR317">
            <v>5035.7037700000001</v>
          </cell>
          <cell r="AS317">
            <v>5248.6440330999994</v>
          </cell>
          <cell r="AT317">
            <v>6164.6598440930002</v>
          </cell>
        </row>
        <row r="318">
          <cell r="B318">
            <v>0.19272497978104539</v>
          </cell>
          <cell r="C318">
            <v>0.1872188977471809</v>
          </cell>
          <cell r="D318">
            <v>0.16392758297495122</v>
          </cell>
          <cell r="E318">
            <v>0.1266849199663016</v>
          </cell>
          <cell r="F318">
            <v>0.10301636818318771</v>
          </cell>
          <cell r="G318">
            <v>0.10730009786247746</v>
          </cell>
          <cell r="H318">
            <v>0.21730063662303828</v>
          </cell>
          <cell r="I318">
            <v>0.16659048571509361</v>
          </cell>
          <cell r="J318">
            <v>0.17780968006562756</v>
          </cell>
          <cell r="K318">
            <v>0.12739417795679239</v>
          </cell>
          <cell r="L318">
            <v>0.18437968018720749</v>
          </cell>
          <cell r="M318">
            <v>0.12232236717716014</v>
          </cell>
          <cell r="N318">
            <v>0.17425986191279208</v>
          </cell>
          <cell r="O318">
            <v>0.16960017492565055</v>
          </cell>
          <cell r="P318">
            <v>0.20239234406922041</v>
          </cell>
          <cell r="Q318">
            <v>0.11584735855869939</v>
          </cell>
          <cell r="R318">
            <v>0.10653290192537512</v>
          </cell>
          <cell r="S318">
            <v>0.14491144141330167</v>
          </cell>
          <cell r="T318">
            <v>0.22722221570378626</v>
          </cell>
          <cell r="U318">
            <v>9.7087687329728431E-2</v>
          </cell>
          <cell r="V318">
            <v>0.62952108799597084</v>
          </cell>
          <cell r="W318">
            <v>0.13534899253038846</v>
          </cell>
          <cell r="X318">
            <v>0.27518128964008121</v>
          </cell>
          <cell r="Y318">
            <v>0.23306577192814448</v>
          </cell>
          <cell r="Z318">
            <v>0.37266194885450488</v>
          </cell>
          <cell r="AA318">
            <v>0.12045471990087731</v>
          </cell>
          <cell r="AB318">
            <v>0.24441890457434406</v>
          </cell>
          <cell r="AC318">
            <v>0.24144790388292045</v>
          </cell>
          <cell r="AD318">
            <v>0.19812307464265824</v>
          </cell>
          <cell r="AE318">
            <v>0.28875974718471936</v>
          </cell>
          <cell r="AF318">
            <v>0.19833584831825923</v>
          </cell>
          <cell r="AG318">
            <v>0.3799228863127283</v>
          </cell>
          <cell r="AH318">
            <v>0.26510491609475784</v>
          </cell>
          <cell r="AM318">
            <v>0.24719491496616572</v>
          </cell>
          <cell r="AN318">
            <v>0.22447325530602635</v>
          </cell>
          <cell r="AP318">
            <v>0.24304765219390118</v>
          </cell>
          <cell r="AQ318">
            <v>0.20765985932214737</v>
          </cell>
          <cell r="AR318">
            <v>0.21188820874442285</v>
          </cell>
          <cell r="AS318">
            <v>0.20625649498266649</v>
          </cell>
          <cell r="AT318">
            <v>0.22978052050739592</v>
          </cell>
        </row>
        <row r="320">
          <cell r="B320">
            <v>1247</v>
          </cell>
          <cell r="C320">
            <v>1316</v>
          </cell>
          <cell r="D320">
            <v>2112</v>
          </cell>
          <cell r="E320">
            <v>2200</v>
          </cell>
          <cell r="F320">
            <v>977</v>
          </cell>
          <cell r="G320">
            <v>881</v>
          </cell>
          <cell r="H320">
            <v>1262</v>
          </cell>
          <cell r="I320">
            <v>1210.4982</v>
          </cell>
          <cell r="J320">
            <v>288</v>
          </cell>
          <cell r="K320">
            <v>250.82700000000003</v>
          </cell>
          <cell r="L320">
            <v>558.49900000000002</v>
          </cell>
          <cell r="M320">
            <v>338.96299999999997</v>
          </cell>
          <cell r="N320">
            <v>1436.289</v>
          </cell>
          <cell r="O320">
            <v>373</v>
          </cell>
          <cell r="P320">
            <v>343</v>
          </cell>
          <cell r="Q320">
            <v>390</v>
          </cell>
          <cell r="R320">
            <v>305</v>
          </cell>
          <cell r="S320">
            <v>1411</v>
          </cell>
          <cell r="T320">
            <v>357.89</v>
          </cell>
          <cell r="U320">
            <v>182.61999999999998</v>
          </cell>
          <cell r="V320">
            <v>3651.73</v>
          </cell>
          <cell r="W320">
            <v>476.32</v>
          </cell>
          <cell r="X320">
            <v>4668.5599999999995</v>
          </cell>
          <cell r="Y320">
            <v>398.45734999999996</v>
          </cell>
          <cell r="Z320">
            <v>675.47399999999993</v>
          </cell>
          <cell r="AA320">
            <v>347.80599999999998</v>
          </cell>
          <cell r="AB320">
            <v>1114.6979999999999</v>
          </cell>
          <cell r="AC320">
            <v>2536.4353499999997</v>
          </cell>
          <cell r="AD320">
            <v>378</v>
          </cell>
          <cell r="AE320">
            <v>628</v>
          </cell>
          <cell r="AF320">
            <v>347</v>
          </cell>
          <cell r="AG320">
            <v>1115</v>
          </cell>
          <cell r="AH320">
            <v>2468</v>
          </cell>
          <cell r="AI320">
            <v>378.13</v>
          </cell>
          <cell r="AJ320">
            <v>627.38</v>
          </cell>
          <cell r="AK320">
            <v>375.28999999999996</v>
          </cell>
          <cell r="AL320">
            <v>984</v>
          </cell>
          <cell r="AM320">
            <v>2364.8000000000002</v>
          </cell>
          <cell r="AN320">
            <v>1831.0819999999999</v>
          </cell>
          <cell r="AO320">
            <v>1831.0819999999999</v>
          </cell>
          <cell r="AP320">
            <v>2121.7451714285717</v>
          </cell>
          <cell r="AQ320">
            <v>1814.4323199999999</v>
          </cell>
          <cell r="AR320">
            <v>1741.7037700000001</v>
          </cell>
          <cell r="AS320">
            <v>2152.6440330999999</v>
          </cell>
          <cell r="AT320">
            <v>2187.6598440930002</v>
          </cell>
        </row>
        <row r="322">
          <cell r="J322">
            <v>150</v>
          </cell>
          <cell r="K322">
            <v>146.755</v>
          </cell>
          <cell r="L322">
            <v>442.73</v>
          </cell>
          <cell r="M322">
            <v>215.92099999999999</v>
          </cell>
          <cell r="N322">
            <v>955.40599999999995</v>
          </cell>
          <cell r="O322">
            <v>275</v>
          </cell>
          <cell r="P322">
            <v>227</v>
          </cell>
          <cell r="Q322">
            <v>289</v>
          </cell>
          <cell r="R322">
            <v>196</v>
          </cell>
          <cell r="S322">
            <v>987</v>
          </cell>
          <cell r="T322">
            <v>273.53999999999996</v>
          </cell>
          <cell r="U322">
            <v>68.55</v>
          </cell>
          <cell r="V322">
            <v>3586.8</v>
          </cell>
          <cell r="W322">
            <v>356.05</v>
          </cell>
          <cell r="X322">
            <v>4284.9399999999996</v>
          </cell>
          <cell r="Y322">
            <v>303.77735000000001</v>
          </cell>
          <cell r="Z322">
            <v>576.37400000000002</v>
          </cell>
          <cell r="AA322">
            <v>303.43600000000004</v>
          </cell>
          <cell r="AB322">
            <v>1060.4379999999999</v>
          </cell>
          <cell r="AC322">
            <v>2244.0253499999999</v>
          </cell>
          <cell r="AD322">
            <v>299</v>
          </cell>
          <cell r="AE322">
            <v>526</v>
          </cell>
          <cell r="AF322">
            <v>302</v>
          </cell>
          <cell r="AG322">
            <v>1060</v>
          </cell>
          <cell r="AH322">
            <v>2187</v>
          </cell>
          <cell r="AI322">
            <v>298.48</v>
          </cell>
          <cell r="AJ322">
            <v>526.53</v>
          </cell>
          <cell r="AK322">
            <v>306.97000000000003</v>
          </cell>
          <cell r="AL322">
            <v>984</v>
          </cell>
          <cell r="AM322">
            <v>2115.98</v>
          </cell>
          <cell r="AN322">
            <v>1571.403</v>
          </cell>
          <cell r="AO322">
            <v>1571.403</v>
          </cell>
          <cell r="AP322">
            <v>1921.674</v>
          </cell>
          <cell r="AQ322">
            <v>1620.1350000000002</v>
          </cell>
          <cell r="AR322">
            <v>1518.1247699999999</v>
          </cell>
          <cell r="AS322">
            <v>1929.0650331000002</v>
          </cell>
          <cell r="AT322">
            <v>1940.080844093</v>
          </cell>
        </row>
        <row r="323">
          <cell r="J323">
            <v>138</v>
          </cell>
          <cell r="K323">
            <v>104.072</v>
          </cell>
          <cell r="L323">
            <v>115.76899999999999</v>
          </cell>
          <cell r="M323">
            <v>123.042</v>
          </cell>
          <cell r="N323">
            <v>480.88300000000004</v>
          </cell>
          <cell r="O323">
            <v>98</v>
          </cell>
          <cell r="P323">
            <v>116</v>
          </cell>
          <cell r="Q323">
            <v>101</v>
          </cell>
          <cell r="R323">
            <v>109</v>
          </cell>
          <cell r="S323">
            <v>424</v>
          </cell>
          <cell r="T323">
            <v>84.35</v>
          </cell>
          <cell r="U323">
            <v>114.07000000000001</v>
          </cell>
          <cell r="V323">
            <v>64.930000000000007</v>
          </cell>
          <cell r="W323">
            <v>120.27</v>
          </cell>
          <cell r="X323">
            <v>383.61999999999995</v>
          </cell>
          <cell r="Y323">
            <v>94.68</v>
          </cell>
          <cell r="Z323">
            <v>99.1</v>
          </cell>
          <cell r="AA323">
            <v>44.37</v>
          </cell>
          <cell r="AB323">
            <v>54.26</v>
          </cell>
          <cell r="AC323">
            <v>292.41000000000003</v>
          </cell>
          <cell r="AD323">
            <v>79</v>
          </cell>
          <cell r="AE323">
            <v>102</v>
          </cell>
          <cell r="AF323">
            <v>45</v>
          </cell>
          <cell r="AG323">
            <v>55</v>
          </cell>
          <cell r="AH323">
            <v>281</v>
          </cell>
          <cell r="AI323">
            <v>79.650000000000006</v>
          </cell>
          <cell r="AJ323">
            <v>100.85</v>
          </cell>
          <cell r="AK323">
            <v>68.319999999999993</v>
          </cell>
          <cell r="AL323">
            <v>0</v>
          </cell>
          <cell r="AM323">
            <v>248.82</v>
          </cell>
          <cell r="AN323">
            <v>259.67899999999997</v>
          </cell>
          <cell r="AO323">
            <v>259.67899999999997</v>
          </cell>
          <cell r="AP323">
            <v>200.07117142857143</v>
          </cell>
          <cell r="AQ323">
            <v>194.29732000000001</v>
          </cell>
          <cell r="AR323">
            <v>223.57900000000001</v>
          </cell>
          <cell r="AS323">
            <v>223.57900000000001</v>
          </cell>
          <cell r="AT323">
            <v>247.57900000000001</v>
          </cell>
        </row>
        <row r="325">
          <cell r="D325">
            <v>39</v>
          </cell>
          <cell r="E325">
            <v>32</v>
          </cell>
          <cell r="F325">
            <v>14</v>
          </cell>
          <cell r="G325">
            <v>19</v>
          </cell>
          <cell r="H325">
            <v>47</v>
          </cell>
          <cell r="I325">
            <v>71.383200000000002</v>
          </cell>
          <cell r="J325">
            <v>86</v>
          </cell>
          <cell r="K325">
            <v>5.5</v>
          </cell>
          <cell r="L325">
            <v>116.97499999999999</v>
          </cell>
          <cell r="M325">
            <v>9.2759999999999998</v>
          </cell>
          <cell r="N325">
            <v>217.751</v>
          </cell>
          <cell r="O325">
            <v>108</v>
          </cell>
          <cell r="P325">
            <v>23</v>
          </cell>
          <cell r="Q325">
            <v>120</v>
          </cell>
          <cell r="R325">
            <v>26</v>
          </cell>
          <cell r="S325">
            <v>277</v>
          </cell>
          <cell r="T325">
            <v>115.71</v>
          </cell>
          <cell r="U325">
            <v>24.73</v>
          </cell>
          <cell r="V325">
            <v>118.07</v>
          </cell>
          <cell r="W325">
            <v>31</v>
          </cell>
          <cell r="X325">
            <v>289.51</v>
          </cell>
          <cell r="Y325">
            <v>125.34099999999999</v>
          </cell>
          <cell r="Z325">
            <v>70.995000000000005</v>
          </cell>
          <cell r="AA325">
            <v>124.00699999999999</v>
          </cell>
          <cell r="AB325">
            <v>62.045000000000002</v>
          </cell>
          <cell r="AC325">
            <v>382.38799999999998</v>
          </cell>
          <cell r="AD325">
            <v>116</v>
          </cell>
          <cell r="AE325">
            <v>40</v>
          </cell>
          <cell r="AF325">
            <v>124</v>
          </cell>
          <cell r="AG325">
            <v>62</v>
          </cell>
          <cell r="AH325">
            <v>342</v>
          </cell>
          <cell r="AI325">
            <v>116.28999999999999</v>
          </cell>
          <cell r="AJ325">
            <v>38.799999999999997</v>
          </cell>
          <cell r="AK325">
            <v>104.66</v>
          </cell>
          <cell r="AL325">
            <v>52</v>
          </cell>
          <cell r="AM325">
            <v>311.75</v>
          </cell>
          <cell r="AN325">
            <v>399.71899999999999</v>
          </cell>
          <cell r="AO325">
            <v>399.71899999999999</v>
          </cell>
          <cell r="AP325">
            <v>308.68857142857144</v>
          </cell>
          <cell r="AQ325">
            <v>480.77400000000006</v>
          </cell>
          <cell r="AR325">
            <v>391.31400000000002</v>
          </cell>
          <cell r="AS325">
            <v>692.68100000000004</v>
          </cell>
          <cell r="AT325">
            <v>732.96635000000003</v>
          </cell>
        </row>
        <row r="326">
          <cell r="J326">
            <v>55</v>
          </cell>
          <cell r="K326">
            <v>4.407</v>
          </cell>
          <cell r="L326">
            <v>81.893000000000001</v>
          </cell>
          <cell r="M326">
            <v>8.2449999999999992</v>
          </cell>
          <cell r="N326">
            <v>149.54500000000002</v>
          </cell>
          <cell r="O326">
            <v>83</v>
          </cell>
          <cell r="P326">
            <v>22</v>
          </cell>
          <cell r="Q326">
            <v>95</v>
          </cell>
          <cell r="R326">
            <v>25</v>
          </cell>
          <cell r="S326">
            <v>225</v>
          </cell>
          <cell r="T326">
            <v>91.44</v>
          </cell>
          <cell r="U326">
            <v>24.73</v>
          </cell>
          <cell r="V326">
            <v>93.47</v>
          </cell>
          <cell r="W326">
            <v>29</v>
          </cell>
          <cell r="X326">
            <v>238.64</v>
          </cell>
          <cell r="Y326">
            <v>104.401</v>
          </cell>
          <cell r="Z326">
            <v>52.994999999999997</v>
          </cell>
          <cell r="AA326">
            <v>103.06699999999999</v>
          </cell>
          <cell r="AB326">
            <v>58.484999999999999</v>
          </cell>
          <cell r="AC326">
            <v>318.94799999999998</v>
          </cell>
          <cell r="AD326">
            <v>92</v>
          </cell>
          <cell r="AE326">
            <v>36</v>
          </cell>
          <cell r="AF326">
            <v>103</v>
          </cell>
          <cell r="AG326">
            <v>58</v>
          </cell>
          <cell r="AH326">
            <v>289</v>
          </cell>
          <cell r="AI326">
            <v>92</v>
          </cell>
          <cell r="AJ326">
            <v>35.799999999999997</v>
          </cell>
          <cell r="AK326">
            <v>83.69</v>
          </cell>
          <cell r="AL326">
            <v>52</v>
          </cell>
          <cell r="AM326">
            <v>263.49</v>
          </cell>
          <cell r="AN326">
            <v>354.63</v>
          </cell>
          <cell r="AO326">
            <v>354.63</v>
          </cell>
          <cell r="AP326">
            <v>252.68100000000001</v>
          </cell>
          <cell r="AQ326">
            <v>417.19500000000005</v>
          </cell>
          <cell r="AR326">
            <v>274.73500000000001</v>
          </cell>
          <cell r="AS326">
            <v>576.10200000000009</v>
          </cell>
          <cell r="AT326">
            <v>616.38735000000008</v>
          </cell>
        </row>
        <row r="327">
          <cell r="J327">
            <v>31</v>
          </cell>
          <cell r="K327">
            <v>1.093</v>
          </cell>
          <cell r="L327">
            <v>35.082000000000001</v>
          </cell>
          <cell r="M327">
            <v>1.0309999999999999</v>
          </cell>
          <cell r="N327">
            <v>68.206000000000017</v>
          </cell>
          <cell r="O327">
            <v>25</v>
          </cell>
          <cell r="P327">
            <v>1</v>
          </cell>
          <cell r="Q327">
            <v>25</v>
          </cell>
          <cell r="R327">
            <v>1</v>
          </cell>
          <cell r="S327">
            <v>52</v>
          </cell>
          <cell r="T327">
            <v>24.27</v>
          </cell>
          <cell r="U327">
            <v>0</v>
          </cell>
          <cell r="V327">
            <v>24.6</v>
          </cell>
          <cell r="W327">
            <v>2</v>
          </cell>
          <cell r="X327">
            <v>50.870000000000005</v>
          </cell>
          <cell r="Y327">
            <v>20.94</v>
          </cell>
          <cell r="Z327">
            <v>18</v>
          </cell>
          <cell r="AA327">
            <v>20.94</v>
          </cell>
          <cell r="AB327">
            <v>3.56</v>
          </cell>
          <cell r="AC327">
            <v>63.44</v>
          </cell>
          <cell r="AD327">
            <v>24</v>
          </cell>
          <cell r="AE327">
            <v>4</v>
          </cell>
          <cell r="AF327">
            <v>21</v>
          </cell>
          <cell r="AG327">
            <v>4</v>
          </cell>
          <cell r="AH327">
            <v>53</v>
          </cell>
          <cell r="AI327">
            <v>24.29</v>
          </cell>
          <cell r="AJ327">
            <v>3</v>
          </cell>
          <cell r="AK327">
            <v>20.97</v>
          </cell>
          <cell r="AL327">
            <v>0</v>
          </cell>
          <cell r="AM327">
            <v>48.26</v>
          </cell>
          <cell r="AN327">
            <v>45.088999999999999</v>
          </cell>
          <cell r="AO327">
            <v>45.088999999999999</v>
          </cell>
          <cell r="AP327">
            <v>56.007571428571424</v>
          </cell>
          <cell r="AQ327">
            <v>63.578999999999994</v>
          </cell>
          <cell r="AR327">
            <v>116.57899999999999</v>
          </cell>
          <cell r="AS327">
            <v>116.57899999999999</v>
          </cell>
          <cell r="AT327">
            <v>116.57899999999999</v>
          </cell>
        </row>
        <row r="328">
          <cell r="D328">
            <v>137</v>
          </cell>
          <cell r="E328">
            <v>183</v>
          </cell>
          <cell r="F328">
            <v>257</v>
          </cell>
          <cell r="G328">
            <v>300</v>
          </cell>
          <cell r="H328">
            <v>267</v>
          </cell>
          <cell r="I328">
            <v>361.88220000000001</v>
          </cell>
          <cell r="J328">
            <v>114</v>
          </cell>
          <cell r="K328">
            <v>99.800000000000011</v>
          </cell>
          <cell r="L328">
            <v>101.39999999999999</v>
          </cell>
          <cell r="M328">
            <v>117.262</v>
          </cell>
          <cell r="N328">
            <v>432.46199999999999</v>
          </cell>
          <cell r="O328">
            <v>101</v>
          </cell>
          <cell r="P328">
            <v>115</v>
          </cell>
          <cell r="Q328">
            <v>106</v>
          </cell>
          <cell r="R328">
            <v>115</v>
          </cell>
          <cell r="S328">
            <v>437</v>
          </cell>
          <cell r="T328">
            <v>97.789999999999992</v>
          </cell>
          <cell r="U328">
            <v>107.94</v>
          </cell>
          <cell r="V328">
            <v>77.86</v>
          </cell>
          <cell r="W328">
            <v>108.32</v>
          </cell>
          <cell r="X328">
            <v>391.90999999999997</v>
          </cell>
          <cell r="Y328">
            <v>121.845</v>
          </cell>
          <cell r="Z328">
            <v>87.334999999999994</v>
          </cell>
          <cell r="AA328">
            <v>74.174999999999997</v>
          </cell>
          <cell r="AB328">
            <v>62.731000000000002</v>
          </cell>
          <cell r="AC328">
            <v>346.08600000000001</v>
          </cell>
          <cell r="AD328">
            <v>98</v>
          </cell>
          <cell r="AE328">
            <v>99</v>
          </cell>
          <cell r="AF328">
            <v>74</v>
          </cell>
          <cell r="AG328">
            <v>63</v>
          </cell>
          <cell r="AH328">
            <v>334</v>
          </cell>
          <cell r="AI328">
            <v>97.52000000000001</v>
          </cell>
          <cell r="AJ328">
            <v>99.4</v>
          </cell>
          <cell r="AK328">
            <v>91.95</v>
          </cell>
          <cell r="AL328">
            <v>92</v>
          </cell>
          <cell r="AM328">
            <v>380.87</v>
          </cell>
          <cell r="AN328">
            <v>375.41199999999998</v>
          </cell>
          <cell r="AO328">
            <v>375.41199999999998</v>
          </cell>
          <cell r="AP328">
            <v>331.84960000000001</v>
          </cell>
          <cell r="AQ328">
            <v>360.71932000000004</v>
          </cell>
          <cell r="AR328">
            <v>377.45077000000003</v>
          </cell>
          <cell r="AS328">
            <v>423.02403310000005</v>
          </cell>
          <cell r="AT328">
            <v>486.75449409300006</v>
          </cell>
        </row>
        <row r="329">
          <cell r="J329">
            <v>19</v>
          </cell>
          <cell r="K329">
            <v>24.427</v>
          </cell>
          <cell r="L329">
            <v>29.946000000000002</v>
          </cell>
          <cell r="M329">
            <v>23.817</v>
          </cell>
          <cell r="N329">
            <v>97.19</v>
          </cell>
          <cell r="O329">
            <v>34</v>
          </cell>
          <cell r="P329">
            <v>26</v>
          </cell>
          <cell r="Q329">
            <v>37</v>
          </cell>
          <cell r="R329">
            <v>28</v>
          </cell>
          <cell r="S329">
            <v>125</v>
          </cell>
          <cell r="T329">
            <v>39.15</v>
          </cell>
          <cell r="U329">
            <v>11.82</v>
          </cell>
          <cell r="V329">
            <v>44.05</v>
          </cell>
          <cell r="W329">
            <v>10.050000000000001</v>
          </cell>
          <cell r="X329">
            <v>105.07</v>
          </cell>
          <cell r="Y329">
            <v>49.695</v>
          </cell>
          <cell r="Z329">
            <v>23.795000000000002</v>
          </cell>
          <cell r="AA329">
            <v>52.015000000000001</v>
          </cell>
          <cell r="AB329">
            <v>29.170999999999999</v>
          </cell>
          <cell r="AC329">
            <v>154.67600000000002</v>
          </cell>
          <cell r="AD329">
            <v>47</v>
          </cell>
          <cell r="AE329">
            <v>16</v>
          </cell>
          <cell r="AF329">
            <v>52</v>
          </cell>
          <cell r="AG329">
            <v>29</v>
          </cell>
          <cell r="AH329">
            <v>144</v>
          </cell>
          <cell r="AI329">
            <v>46.6</v>
          </cell>
          <cell r="AJ329">
            <v>16.399999999999999</v>
          </cell>
          <cell r="AK329">
            <v>47.6</v>
          </cell>
          <cell r="AL329">
            <v>92</v>
          </cell>
          <cell r="AM329">
            <v>202.6</v>
          </cell>
          <cell r="AN329">
            <v>189.63</v>
          </cell>
          <cell r="AO329">
            <v>189.63</v>
          </cell>
          <cell r="AP329">
            <v>206.642</v>
          </cell>
          <cell r="AQ329">
            <v>243.00100000000003</v>
          </cell>
          <cell r="AR329">
            <v>280.45077000000003</v>
          </cell>
          <cell r="AS329">
            <v>319.02403310000005</v>
          </cell>
          <cell r="AT329">
            <v>358.75449409300006</v>
          </cell>
        </row>
        <row r="330">
          <cell r="J330">
            <v>95</v>
          </cell>
          <cell r="K330">
            <v>75.373000000000005</v>
          </cell>
          <cell r="L330">
            <v>71.453999999999994</v>
          </cell>
          <cell r="M330">
            <v>93.444999999999993</v>
          </cell>
          <cell r="N330">
            <v>335.27199999999999</v>
          </cell>
          <cell r="O330">
            <v>67</v>
          </cell>
          <cell r="P330">
            <v>89</v>
          </cell>
          <cell r="Q330">
            <v>69</v>
          </cell>
          <cell r="R330">
            <v>87</v>
          </cell>
          <cell r="S330">
            <v>312</v>
          </cell>
          <cell r="T330">
            <v>58.64</v>
          </cell>
          <cell r="U330">
            <v>96.12</v>
          </cell>
          <cell r="V330">
            <v>33.81</v>
          </cell>
          <cell r="W330">
            <v>98.27</v>
          </cell>
          <cell r="X330">
            <v>286.83999999999997</v>
          </cell>
          <cell r="Y330">
            <v>72.150000000000006</v>
          </cell>
          <cell r="Z330">
            <v>63.54</v>
          </cell>
          <cell r="AA330">
            <v>22.16</v>
          </cell>
          <cell r="AB330">
            <v>33.56</v>
          </cell>
          <cell r="AC330">
            <v>191.41</v>
          </cell>
          <cell r="AD330">
            <v>51</v>
          </cell>
          <cell r="AE330">
            <v>83</v>
          </cell>
          <cell r="AF330">
            <v>22</v>
          </cell>
          <cell r="AG330">
            <v>34</v>
          </cell>
          <cell r="AH330">
            <v>190</v>
          </cell>
          <cell r="AI330">
            <v>50.92</v>
          </cell>
          <cell r="AJ330">
            <v>83</v>
          </cell>
          <cell r="AK330">
            <v>44.35</v>
          </cell>
          <cell r="AL330">
            <v>0</v>
          </cell>
          <cell r="AM330">
            <v>178.27</v>
          </cell>
          <cell r="AN330">
            <v>185.78199999999998</v>
          </cell>
          <cell r="AO330">
            <v>185.78199999999998</v>
          </cell>
          <cell r="AP330">
            <v>125.20760000000001</v>
          </cell>
          <cell r="AQ330">
            <v>117.71832000000001</v>
          </cell>
          <cell r="AR330">
            <v>97</v>
          </cell>
          <cell r="AS330">
            <v>104</v>
          </cell>
          <cell r="AT330">
            <v>128</v>
          </cell>
        </row>
        <row r="331">
          <cell r="D331">
            <v>311</v>
          </cell>
          <cell r="E331">
            <v>397</v>
          </cell>
          <cell r="F331">
            <v>507</v>
          </cell>
          <cell r="G331">
            <v>403</v>
          </cell>
          <cell r="H331">
            <v>401</v>
          </cell>
          <cell r="I331">
            <v>461.4</v>
          </cell>
          <cell r="J331">
            <v>76</v>
          </cell>
          <cell r="K331">
            <v>83.114999999999995</v>
          </cell>
          <cell r="L331">
            <v>33.388999999999996</v>
          </cell>
          <cell r="M331">
            <v>40.471000000000004</v>
          </cell>
          <cell r="N331">
            <v>232.97500000000002</v>
          </cell>
          <cell r="O331">
            <v>9</v>
          </cell>
          <cell r="P331">
            <v>28</v>
          </cell>
          <cell r="Q331">
            <v>8</v>
          </cell>
          <cell r="R331">
            <v>4</v>
          </cell>
          <cell r="S331">
            <v>49</v>
          </cell>
          <cell r="T331">
            <v>1.39</v>
          </cell>
          <cell r="U331">
            <v>24.95</v>
          </cell>
          <cell r="V331">
            <v>24.15</v>
          </cell>
          <cell r="W331">
            <v>20</v>
          </cell>
          <cell r="X331">
            <v>70.489999999999995</v>
          </cell>
          <cell r="Y331">
            <v>3</v>
          </cell>
          <cell r="Z331">
            <v>46.072000000000003</v>
          </cell>
          <cell r="AA331">
            <v>6.2469999999999999</v>
          </cell>
          <cell r="AB331">
            <v>35.443000000000005</v>
          </cell>
          <cell r="AC331">
            <v>90.762</v>
          </cell>
          <cell r="AD331">
            <v>16</v>
          </cell>
          <cell r="AE331">
            <v>28</v>
          </cell>
          <cell r="AF331">
            <v>6</v>
          </cell>
          <cell r="AG331">
            <v>35</v>
          </cell>
          <cell r="AH331">
            <v>85</v>
          </cell>
          <cell r="AI331">
            <v>16.32</v>
          </cell>
          <cell r="AJ331">
            <v>27.580000000000002</v>
          </cell>
          <cell r="AK331">
            <v>25.81</v>
          </cell>
          <cell r="AL331">
            <v>43</v>
          </cell>
          <cell r="AM331">
            <v>112.71</v>
          </cell>
          <cell r="AN331">
            <v>114.27800000000001</v>
          </cell>
          <cell r="AO331">
            <v>114.27800000000001</v>
          </cell>
          <cell r="AP331">
            <v>14.855999999999998</v>
          </cell>
          <cell r="AQ331">
            <v>13</v>
          </cell>
          <cell r="AR331">
            <v>10</v>
          </cell>
          <cell r="AS331">
            <v>3</v>
          </cell>
          <cell r="AT331">
            <v>3</v>
          </cell>
        </row>
        <row r="332">
          <cell r="J332">
            <v>71</v>
          </cell>
          <cell r="K332">
            <v>74.668999999999997</v>
          </cell>
          <cell r="L332">
            <v>28.337</v>
          </cell>
          <cell r="M332">
            <v>31.516999999999999</v>
          </cell>
          <cell r="N332">
            <v>205.52299999999997</v>
          </cell>
          <cell r="O332">
            <v>4</v>
          </cell>
          <cell r="P332">
            <v>19</v>
          </cell>
          <cell r="Q332">
            <v>2</v>
          </cell>
          <cell r="R332">
            <v>1</v>
          </cell>
          <cell r="S332">
            <v>26</v>
          </cell>
          <cell r="T332">
            <v>0.95</v>
          </cell>
          <cell r="U332">
            <v>22</v>
          </cell>
          <cell r="V332">
            <v>24.15</v>
          </cell>
          <cell r="W332">
            <v>17</v>
          </cell>
          <cell r="X332">
            <v>64.099999999999994</v>
          </cell>
          <cell r="Y332">
            <v>1.93</v>
          </cell>
          <cell r="Z332">
            <v>42.981999999999999</v>
          </cell>
          <cell r="AA332">
            <v>5.4969999999999999</v>
          </cell>
          <cell r="AB332">
            <v>32.773000000000003</v>
          </cell>
          <cell r="AC332">
            <v>83.182000000000002</v>
          </cell>
          <cell r="AD332">
            <v>16</v>
          </cell>
          <cell r="AE332">
            <v>25</v>
          </cell>
          <cell r="AF332">
            <v>5</v>
          </cell>
          <cell r="AG332">
            <v>32</v>
          </cell>
          <cell r="AH332">
            <v>78</v>
          </cell>
          <cell r="AI332">
            <v>16.32</v>
          </cell>
          <cell r="AJ332">
            <v>24.73</v>
          </cell>
          <cell r="AK332">
            <v>25.81</v>
          </cell>
          <cell r="AL332">
            <v>43</v>
          </cell>
          <cell r="AM332">
            <v>109.86</v>
          </cell>
          <cell r="AN332">
            <v>100.54</v>
          </cell>
          <cell r="AO332">
            <v>100.54</v>
          </cell>
          <cell r="AP332">
            <v>0</v>
          </cell>
          <cell r="AQ332">
            <v>0</v>
          </cell>
          <cell r="AR332">
            <v>0</v>
          </cell>
          <cell r="AS332">
            <v>0</v>
          </cell>
          <cell r="AT332">
            <v>0</v>
          </cell>
        </row>
        <row r="333">
          <cell r="J333">
            <v>5</v>
          </cell>
          <cell r="K333">
            <v>8.4459999999999997</v>
          </cell>
          <cell r="L333">
            <v>5.0519999999999996</v>
          </cell>
          <cell r="M333">
            <v>8.9540000000000006</v>
          </cell>
          <cell r="N333">
            <v>27.451999999999998</v>
          </cell>
          <cell r="O333">
            <v>5</v>
          </cell>
          <cell r="P333">
            <v>9</v>
          </cell>
          <cell r="Q333">
            <v>6</v>
          </cell>
          <cell r="R333">
            <v>3</v>
          </cell>
          <cell r="S333">
            <v>23</v>
          </cell>
          <cell r="T333">
            <v>0.44</v>
          </cell>
          <cell r="U333">
            <v>2.95</v>
          </cell>
          <cell r="V333">
            <v>0</v>
          </cell>
          <cell r="W333">
            <v>3</v>
          </cell>
          <cell r="X333">
            <v>6.3900000000000006</v>
          </cell>
          <cell r="Y333">
            <v>1.07</v>
          </cell>
          <cell r="Z333">
            <v>3.09</v>
          </cell>
          <cell r="AA333">
            <v>0.75</v>
          </cell>
          <cell r="AB333">
            <v>2.67</v>
          </cell>
          <cell r="AC333">
            <v>7.58</v>
          </cell>
          <cell r="AD333">
            <v>0</v>
          </cell>
          <cell r="AE333">
            <v>3</v>
          </cell>
          <cell r="AF333">
            <v>1</v>
          </cell>
          <cell r="AG333">
            <v>3</v>
          </cell>
          <cell r="AH333">
            <v>7</v>
          </cell>
          <cell r="AI333">
            <v>0</v>
          </cell>
          <cell r="AJ333">
            <v>2.85</v>
          </cell>
          <cell r="AK333">
            <v>0</v>
          </cell>
          <cell r="AL333">
            <v>0</v>
          </cell>
          <cell r="AM333">
            <v>2.85</v>
          </cell>
          <cell r="AN333">
            <v>13.738</v>
          </cell>
          <cell r="AO333">
            <v>13.738</v>
          </cell>
          <cell r="AP333">
            <v>14.855999999999998</v>
          </cell>
          <cell r="AQ333">
            <v>13</v>
          </cell>
          <cell r="AR333">
            <v>10</v>
          </cell>
          <cell r="AS333">
            <v>3</v>
          </cell>
          <cell r="AT333">
            <v>3</v>
          </cell>
        </row>
        <row r="334">
          <cell r="D334">
            <v>1467</v>
          </cell>
          <cell r="E334">
            <v>1382</v>
          </cell>
          <cell r="F334">
            <v>143</v>
          </cell>
          <cell r="G334">
            <v>109</v>
          </cell>
          <cell r="H334">
            <v>115</v>
          </cell>
          <cell r="I334">
            <v>74.5184</v>
          </cell>
          <cell r="J334">
            <v>10</v>
          </cell>
          <cell r="K334">
            <v>24.812000000000001</v>
          </cell>
          <cell r="L334">
            <v>6.7349999999999994</v>
          </cell>
          <cell r="M334">
            <v>25.628</v>
          </cell>
          <cell r="N334">
            <v>67.174999999999997</v>
          </cell>
          <cell r="O334">
            <v>5</v>
          </cell>
          <cell r="P334">
            <v>27</v>
          </cell>
          <cell r="Q334">
            <v>6</v>
          </cell>
          <cell r="R334">
            <v>28</v>
          </cell>
          <cell r="S334">
            <v>66</v>
          </cell>
          <cell r="T334">
            <v>2</v>
          </cell>
          <cell r="U334">
            <v>25</v>
          </cell>
          <cell r="V334">
            <v>10.649999999999999</v>
          </cell>
          <cell r="W334">
            <v>17</v>
          </cell>
          <cell r="X334">
            <v>54.649999999999991</v>
          </cell>
          <cell r="Y334">
            <v>8.2409999999999997</v>
          </cell>
          <cell r="Z334">
            <v>30.807000000000002</v>
          </cell>
          <cell r="AA334">
            <v>3.2229999999999999</v>
          </cell>
          <cell r="AB334">
            <v>37.878</v>
          </cell>
          <cell r="AC334">
            <v>80.149000000000001</v>
          </cell>
          <cell r="AD334">
            <v>8</v>
          </cell>
          <cell r="AE334">
            <v>21</v>
          </cell>
          <cell r="AF334">
            <v>3</v>
          </cell>
          <cell r="AG334">
            <v>38</v>
          </cell>
          <cell r="AH334">
            <v>70</v>
          </cell>
          <cell r="AI334">
            <v>8.24</v>
          </cell>
          <cell r="AJ334">
            <v>22.4</v>
          </cell>
          <cell r="AK334">
            <v>11.89</v>
          </cell>
          <cell r="AL334">
            <v>29</v>
          </cell>
          <cell r="AM334">
            <v>71.53</v>
          </cell>
          <cell r="AN334">
            <v>62.05</v>
          </cell>
          <cell r="AO334">
            <v>62.05</v>
          </cell>
          <cell r="AP334">
            <v>51.412000000000006</v>
          </cell>
          <cell r="AQ334">
            <v>7</v>
          </cell>
          <cell r="AR334">
            <v>0</v>
          </cell>
          <cell r="AS334">
            <v>0</v>
          </cell>
          <cell r="AT334">
            <v>0</v>
          </cell>
        </row>
        <row r="335">
          <cell r="J335">
            <v>3</v>
          </cell>
          <cell r="K335">
            <v>5.6520000000000001</v>
          </cell>
          <cell r="L335">
            <v>2.5539999999999998</v>
          </cell>
          <cell r="M335">
            <v>6.016</v>
          </cell>
          <cell r="N335">
            <v>17.222000000000001</v>
          </cell>
          <cell r="O335">
            <v>4</v>
          </cell>
          <cell r="P335">
            <v>10</v>
          </cell>
          <cell r="Q335">
            <v>5</v>
          </cell>
          <cell r="R335">
            <v>10</v>
          </cell>
          <cell r="S335">
            <v>29</v>
          </cell>
          <cell r="T335">
            <v>1</v>
          </cell>
          <cell r="U335">
            <v>10</v>
          </cell>
          <cell r="V335">
            <v>4.13</v>
          </cell>
          <cell r="W335">
            <v>0</v>
          </cell>
          <cell r="X335">
            <v>15.129999999999999</v>
          </cell>
          <cell r="Y335">
            <v>7.7210000000000001</v>
          </cell>
          <cell r="Z335">
            <v>16.337</v>
          </cell>
          <cell r="AA335">
            <v>2.7029999999999998</v>
          </cell>
          <cell r="AB335">
            <v>23.408000000000001</v>
          </cell>
          <cell r="AC335">
            <v>50.168999999999997</v>
          </cell>
          <cell r="AD335">
            <v>4</v>
          </cell>
          <cell r="AE335">
            <v>9</v>
          </cell>
          <cell r="AF335">
            <v>2</v>
          </cell>
          <cell r="AG335">
            <v>24</v>
          </cell>
          <cell r="AH335">
            <v>39</v>
          </cell>
          <cell r="AI335">
            <v>3.8</v>
          </cell>
          <cell r="AJ335">
            <v>10.4</v>
          </cell>
          <cell r="AK335">
            <v>8.89</v>
          </cell>
          <cell r="AL335">
            <v>29</v>
          </cell>
          <cell r="AM335">
            <v>52.09</v>
          </cell>
          <cell r="AN335">
            <v>46.98</v>
          </cell>
          <cell r="AO335">
            <v>46.98</v>
          </cell>
          <cell r="AP335">
            <v>47.412000000000006</v>
          </cell>
          <cell r="AQ335">
            <v>7</v>
          </cell>
          <cell r="AR335">
            <v>0</v>
          </cell>
          <cell r="AS335">
            <v>0</v>
          </cell>
          <cell r="AT335">
            <v>0</v>
          </cell>
        </row>
        <row r="336">
          <cell r="J336">
            <v>7</v>
          </cell>
          <cell r="K336">
            <v>19.16</v>
          </cell>
          <cell r="L336">
            <v>4.181</v>
          </cell>
          <cell r="M336">
            <v>19.611999999999998</v>
          </cell>
          <cell r="N336">
            <v>49.953000000000003</v>
          </cell>
          <cell r="O336">
            <v>1</v>
          </cell>
          <cell r="P336">
            <v>17</v>
          </cell>
          <cell r="Q336">
            <v>1</v>
          </cell>
          <cell r="R336">
            <v>18</v>
          </cell>
          <cell r="S336">
            <v>37</v>
          </cell>
          <cell r="T336">
            <v>1</v>
          </cell>
          <cell r="U336">
            <v>15</v>
          </cell>
          <cell r="V336">
            <v>6.52</v>
          </cell>
          <cell r="W336">
            <v>17</v>
          </cell>
          <cell r="X336">
            <v>39.519999999999996</v>
          </cell>
          <cell r="Y336">
            <v>0.52</v>
          </cell>
          <cell r="Z336">
            <v>14.47</v>
          </cell>
          <cell r="AA336">
            <v>0.52</v>
          </cell>
          <cell r="AB336">
            <v>14.47</v>
          </cell>
          <cell r="AC336">
            <v>29.98</v>
          </cell>
          <cell r="AD336">
            <v>4</v>
          </cell>
          <cell r="AE336">
            <v>12</v>
          </cell>
          <cell r="AF336">
            <v>1</v>
          </cell>
          <cell r="AG336">
            <v>14</v>
          </cell>
          <cell r="AH336">
            <v>31</v>
          </cell>
          <cell r="AI336">
            <v>4.4400000000000004</v>
          </cell>
          <cell r="AJ336">
            <v>12</v>
          </cell>
          <cell r="AK336">
            <v>3</v>
          </cell>
          <cell r="AL336">
            <v>0</v>
          </cell>
          <cell r="AM336">
            <v>19.440000000000001</v>
          </cell>
          <cell r="AN336">
            <v>15.069999999999999</v>
          </cell>
          <cell r="AO336">
            <v>15.069999999999999</v>
          </cell>
          <cell r="AP336">
            <v>4</v>
          </cell>
          <cell r="AQ336">
            <v>0</v>
          </cell>
          <cell r="AR336">
            <v>0</v>
          </cell>
          <cell r="AS336">
            <v>0</v>
          </cell>
          <cell r="AT336">
            <v>0</v>
          </cell>
        </row>
        <row r="337">
          <cell r="T337">
            <v>141</v>
          </cell>
          <cell r="U337">
            <v>0</v>
          </cell>
          <cell r="V337">
            <v>3421</v>
          </cell>
          <cell r="W337">
            <v>300</v>
          </cell>
          <cell r="X337">
            <v>3862</v>
          </cell>
          <cell r="Y337">
            <v>140.03035</v>
          </cell>
          <cell r="Z337">
            <v>299.65800000000002</v>
          </cell>
          <cell r="AA337">
            <v>140.154</v>
          </cell>
          <cell r="AB337">
            <v>299.65699999999998</v>
          </cell>
          <cell r="AC337">
            <v>879.49935000000005</v>
          </cell>
          <cell r="AD337">
            <v>140</v>
          </cell>
          <cell r="AE337">
            <v>300</v>
          </cell>
          <cell r="AF337">
            <v>140</v>
          </cell>
          <cell r="AG337">
            <v>300</v>
          </cell>
          <cell r="AH337">
            <v>880</v>
          </cell>
          <cell r="AI337">
            <v>139.76</v>
          </cell>
          <cell r="AJ337">
            <v>299.7</v>
          </cell>
          <cell r="AK337">
            <v>140.97999999999999</v>
          </cell>
          <cell r="AL337">
            <v>298</v>
          </cell>
          <cell r="AM337">
            <v>878.44</v>
          </cell>
          <cell r="AN337">
            <v>879.62300000000005</v>
          </cell>
          <cell r="AO337">
            <v>879.62300000000005</v>
          </cell>
          <cell r="AP337">
            <v>887.93899999999996</v>
          </cell>
          <cell r="AQ337">
            <v>887.93899999999996</v>
          </cell>
          <cell r="AR337">
            <v>887.93899999999996</v>
          </cell>
          <cell r="AS337">
            <v>887.93899999999996</v>
          </cell>
          <cell r="AT337">
            <v>887.93899999999996</v>
          </cell>
        </row>
        <row r="340">
          <cell r="AC340">
            <v>294.5</v>
          </cell>
          <cell r="AH340">
            <v>294.5</v>
          </cell>
          <cell r="AN340">
            <v>294.5</v>
          </cell>
          <cell r="AP340">
            <v>294.5</v>
          </cell>
          <cell r="AQ340">
            <v>294.5</v>
          </cell>
          <cell r="AR340">
            <v>294.5</v>
          </cell>
          <cell r="AS340">
            <v>294.5</v>
          </cell>
          <cell r="AT340">
            <v>294.5</v>
          </cell>
        </row>
        <row r="341">
          <cell r="AC341">
            <v>575.29999999999995</v>
          </cell>
          <cell r="AH341">
            <v>575.29999999999995</v>
          </cell>
          <cell r="AN341">
            <v>575.29999999999995</v>
          </cell>
          <cell r="AP341">
            <v>575.29999999999995</v>
          </cell>
          <cell r="AQ341">
            <v>575.29999999999995</v>
          </cell>
          <cell r="AR341">
            <v>575.29999999999995</v>
          </cell>
          <cell r="AS341">
            <v>575.29999999999995</v>
          </cell>
          <cell r="AT341">
            <v>575.29999999999995</v>
          </cell>
        </row>
        <row r="342">
          <cell r="AC342">
            <v>9.699350000000095</v>
          </cell>
          <cell r="AH342">
            <v>10.200000000000045</v>
          </cell>
          <cell r="AN342">
            <v>9.8230000000000928</v>
          </cell>
          <cell r="AP342">
            <v>18.13900000000001</v>
          </cell>
          <cell r="AQ342">
            <v>18.13900000000001</v>
          </cell>
          <cell r="AR342">
            <v>18.13900000000001</v>
          </cell>
          <cell r="AS342">
            <v>18.13900000000001</v>
          </cell>
          <cell r="AT342">
            <v>18.13900000000001</v>
          </cell>
        </row>
        <row r="343">
          <cell r="D343">
            <v>158</v>
          </cell>
          <cell r="E343">
            <v>206</v>
          </cell>
          <cell r="F343">
            <v>56</v>
          </cell>
          <cell r="G343">
            <v>50</v>
          </cell>
          <cell r="H343">
            <v>432</v>
          </cell>
          <cell r="I343">
            <v>241.31440000000001</v>
          </cell>
          <cell r="J343">
            <v>2</v>
          </cell>
          <cell r="K343">
            <v>37.6</v>
          </cell>
          <cell r="L343">
            <v>300</v>
          </cell>
          <cell r="M343">
            <v>146.32599999999999</v>
          </cell>
          <cell r="N343">
            <v>485.92600000000004</v>
          </cell>
          <cell r="O343">
            <v>150</v>
          </cell>
          <cell r="P343">
            <v>150</v>
          </cell>
          <cell r="Q343">
            <v>150</v>
          </cell>
          <cell r="R343">
            <v>132</v>
          </cell>
          <cell r="S343">
            <v>582</v>
          </cell>
          <cell r="T343">
            <v>0</v>
          </cell>
          <cell r="U343">
            <v>0</v>
          </cell>
          <cell r="V343">
            <v>0</v>
          </cell>
          <cell r="W343">
            <v>0</v>
          </cell>
          <cell r="X343">
            <v>0</v>
          </cell>
          <cell r="Y343">
            <v>0</v>
          </cell>
          <cell r="Z343">
            <v>140.607</v>
          </cell>
          <cell r="AA343">
            <v>0</v>
          </cell>
          <cell r="AB343">
            <v>616.94399999999996</v>
          </cell>
          <cell r="AC343">
            <v>757.55099999999993</v>
          </cell>
          <cell r="AD343">
            <v>0</v>
          </cell>
          <cell r="AE343">
            <v>140</v>
          </cell>
          <cell r="AF343">
            <v>0</v>
          </cell>
          <cell r="AG343">
            <v>617</v>
          </cell>
          <cell r="AH343">
            <v>757</v>
          </cell>
          <cell r="AI343">
            <v>0</v>
          </cell>
          <cell r="AJ343">
            <v>139.5</v>
          </cell>
          <cell r="AK343">
            <v>0</v>
          </cell>
          <cell r="AL343">
            <v>470</v>
          </cell>
          <cell r="AM343">
            <v>609.5</v>
          </cell>
          <cell r="AN343">
            <v>0</v>
          </cell>
          <cell r="AO343">
            <v>0</v>
          </cell>
          <cell r="AP343">
            <v>527</v>
          </cell>
          <cell r="AQ343">
            <v>65</v>
          </cell>
          <cell r="AR343">
            <v>75</v>
          </cell>
          <cell r="AS343">
            <v>146</v>
          </cell>
          <cell r="AT343">
            <v>77</v>
          </cell>
        </row>
        <row r="345">
          <cell r="D345">
            <v>0</v>
          </cell>
          <cell r="E345">
            <v>0</v>
          </cell>
          <cell r="F345">
            <v>0</v>
          </cell>
          <cell r="G345">
            <v>0</v>
          </cell>
          <cell r="H345">
            <v>1213</v>
          </cell>
          <cell r="I345">
            <v>713</v>
          </cell>
          <cell r="J345">
            <v>373</v>
          </cell>
          <cell r="K345">
            <v>237</v>
          </cell>
          <cell r="L345">
            <v>163</v>
          </cell>
          <cell r="M345">
            <v>97</v>
          </cell>
          <cell r="N345">
            <v>870</v>
          </cell>
          <cell r="O345">
            <v>271</v>
          </cell>
          <cell r="P345">
            <v>394</v>
          </cell>
          <cell r="Q345">
            <v>77</v>
          </cell>
          <cell r="R345">
            <v>35</v>
          </cell>
          <cell r="S345">
            <v>777</v>
          </cell>
          <cell r="T345">
            <v>643</v>
          </cell>
          <cell r="U345">
            <v>20</v>
          </cell>
          <cell r="V345">
            <v>150</v>
          </cell>
          <cell r="W345">
            <v>60</v>
          </cell>
          <cell r="X345">
            <v>873</v>
          </cell>
          <cell r="Y345">
            <v>458</v>
          </cell>
          <cell r="Z345">
            <v>792</v>
          </cell>
          <cell r="AA345">
            <v>0</v>
          </cell>
          <cell r="AB345">
            <v>0</v>
          </cell>
          <cell r="AC345">
            <v>1250</v>
          </cell>
          <cell r="AD345">
            <v>392</v>
          </cell>
          <cell r="AE345">
            <v>363</v>
          </cell>
          <cell r="AF345">
            <v>304</v>
          </cell>
          <cell r="AG345">
            <v>196</v>
          </cell>
          <cell r="AH345">
            <v>1255</v>
          </cell>
          <cell r="AI345">
            <v>392</v>
          </cell>
          <cell r="AJ345">
            <v>363</v>
          </cell>
          <cell r="AK345">
            <v>304</v>
          </cell>
          <cell r="AL345">
            <v>196</v>
          </cell>
          <cell r="AM345">
            <v>1255</v>
          </cell>
          <cell r="AN345">
            <v>955</v>
          </cell>
          <cell r="AO345">
            <v>955</v>
          </cell>
          <cell r="AP345">
            <v>1266</v>
          </cell>
          <cell r="AQ345">
            <v>1701</v>
          </cell>
          <cell r="AR345">
            <v>1900</v>
          </cell>
          <cell r="AS345">
            <v>1352</v>
          </cell>
          <cell r="AT345">
            <v>2148</v>
          </cell>
        </row>
        <row r="347">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N347">
            <v>0</v>
          </cell>
          <cell r="AO347">
            <v>0</v>
          </cell>
          <cell r="AP347">
            <v>0</v>
          </cell>
          <cell r="AQ347">
            <v>0</v>
          </cell>
          <cell r="AR347">
            <v>0</v>
          </cell>
          <cell r="AS347">
            <v>0</v>
          </cell>
          <cell r="AT347">
            <v>0</v>
          </cell>
        </row>
        <row r="349">
          <cell r="D349">
            <v>0</v>
          </cell>
          <cell r="E349">
            <v>0</v>
          </cell>
          <cell r="F349">
            <v>0</v>
          </cell>
          <cell r="G349">
            <v>0</v>
          </cell>
          <cell r="H349">
            <v>32</v>
          </cell>
          <cell r="I349">
            <v>0</v>
          </cell>
          <cell r="J349">
            <v>0</v>
          </cell>
          <cell r="K349">
            <v>0</v>
          </cell>
          <cell r="L349">
            <v>0</v>
          </cell>
          <cell r="M349">
            <v>0</v>
          </cell>
          <cell r="N349">
            <v>0</v>
          </cell>
          <cell r="O349">
            <v>19</v>
          </cell>
          <cell r="P349">
            <v>61</v>
          </cell>
          <cell r="Q349">
            <v>22</v>
          </cell>
          <cell r="R349">
            <v>40</v>
          </cell>
          <cell r="S349">
            <v>142</v>
          </cell>
          <cell r="T349">
            <v>0</v>
          </cell>
          <cell r="U349">
            <v>0</v>
          </cell>
          <cell r="V349">
            <v>-1</v>
          </cell>
          <cell r="W349">
            <v>-79</v>
          </cell>
          <cell r="X349">
            <v>-80</v>
          </cell>
          <cell r="Y349">
            <v>0</v>
          </cell>
          <cell r="Z349">
            <v>14</v>
          </cell>
          <cell r="AA349">
            <v>0</v>
          </cell>
          <cell r="AB349">
            <v>14</v>
          </cell>
          <cell r="AC349">
            <v>28</v>
          </cell>
          <cell r="AD349">
            <v>0</v>
          </cell>
          <cell r="AE349">
            <v>7</v>
          </cell>
          <cell r="AF349">
            <v>0</v>
          </cell>
          <cell r="AG349">
            <v>7</v>
          </cell>
          <cell r="AH349">
            <v>14</v>
          </cell>
          <cell r="AI349">
            <v>0</v>
          </cell>
          <cell r="AJ349">
            <v>7</v>
          </cell>
          <cell r="AK349">
            <v>0</v>
          </cell>
          <cell r="AL349">
            <v>7</v>
          </cell>
          <cell r="AM349">
            <v>14</v>
          </cell>
          <cell r="AN349">
            <v>0</v>
          </cell>
          <cell r="AO349">
            <v>0</v>
          </cell>
          <cell r="AP349">
            <v>0</v>
          </cell>
          <cell r="AQ349">
            <v>0</v>
          </cell>
          <cell r="AR349">
            <v>0</v>
          </cell>
          <cell r="AS349">
            <v>0</v>
          </cell>
          <cell r="AT349">
            <v>0</v>
          </cell>
        </row>
        <row r="351">
          <cell r="B351">
            <v>942</v>
          </cell>
          <cell r="C351">
            <v>726</v>
          </cell>
          <cell r="D351">
            <v>190</v>
          </cell>
          <cell r="E351">
            <v>206</v>
          </cell>
          <cell r="F351">
            <v>627</v>
          </cell>
          <cell r="G351">
            <v>607</v>
          </cell>
          <cell r="H351">
            <v>728</v>
          </cell>
          <cell r="I351">
            <v>821</v>
          </cell>
          <cell r="J351">
            <v>206</v>
          </cell>
          <cell r="K351">
            <v>208</v>
          </cell>
          <cell r="L351">
            <v>224</v>
          </cell>
          <cell r="M351">
            <v>211</v>
          </cell>
          <cell r="N351">
            <v>849</v>
          </cell>
          <cell r="O351">
            <v>208</v>
          </cell>
          <cell r="P351">
            <v>210</v>
          </cell>
          <cell r="Q351">
            <v>211</v>
          </cell>
          <cell r="R351">
            <v>226</v>
          </cell>
          <cell r="S351">
            <v>855</v>
          </cell>
          <cell r="T351">
            <v>346</v>
          </cell>
          <cell r="U351">
            <v>210</v>
          </cell>
          <cell r="V351">
            <v>223</v>
          </cell>
          <cell r="W351">
            <v>221</v>
          </cell>
          <cell r="X351">
            <v>1000</v>
          </cell>
          <cell r="Y351">
            <v>254</v>
          </cell>
          <cell r="Z351">
            <v>272</v>
          </cell>
          <cell r="AA351">
            <v>271</v>
          </cell>
          <cell r="AB351">
            <v>270</v>
          </cell>
          <cell r="AC351">
            <v>1067</v>
          </cell>
          <cell r="AD351">
            <v>162</v>
          </cell>
          <cell r="AE351">
            <v>185</v>
          </cell>
          <cell r="AF351">
            <v>271</v>
          </cell>
          <cell r="AG351">
            <v>270</v>
          </cell>
          <cell r="AH351">
            <v>888</v>
          </cell>
          <cell r="AI351">
            <v>162</v>
          </cell>
          <cell r="AJ351">
            <v>185</v>
          </cell>
          <cell r="AK351">
            <v>58</v>
          </cell>
          <cell r="AL351">
            <v>223</v>
          </cell>
          <cell r="AM351">
            <v>628</v>
          </cell>
          <cell r="AN351">
            <v>720</v>
          </cell>
          <cell r="AO351">
            <v>720</v>
          </cell>
          <cell r="AP351">
            <v>678</v>
          </cell>
          <cell r="AQ351">
            <v>837</v>
          </cell>
          <cell r="AR351">
            <v>1394</v>
          </cell>
          <cell r="AS351">
            <v>1744</v>
          </cell>
          <cell r="AT351">
            <v>1829</v>
          </cell>
        </row>
        <row r="353">
          <cell r="E353">
            <v>18</v>
          </cell>
          <cell r="F353">
            <v>57</v>
          </cell>
          <cell r="G353">
            <v>1</v>
          </cell>
          <cell r="H353">
            <v>8</v>
          </cell>
          <cell r="I353">
            <v>19</v>
          </cell>
          <cell r="J353">
            <v>0</v>
          </cell>
          <cell r="K353">
            <v>0</v>
          </cell>
          <cell r="L353">
            <v>15</v>
          </cell>
          <cell r="M353">
            <v>0</v>
          </cell>
          <cell r="N353">
            <v>15</v>
          </cell>
          <cell r="O353">
            <v>0</v>
          </cell>
          <cell r="P353">
            <v>0</v>
          </cell>
          <cell r="Q353">
            <v>0</v>
          </cell>
          <cell r="R353">
            <v>13</v>
          </cell>
          <cell r="S353">
            <v>13</v>
          </cell>
          <cell r="T353">
            <v>172</v>
          </cell>
          <cell r="U353">
            <v>34</v>
          </cell>
          <cell r="V353">
            <v>46</v>
          </cell>
          <cell r="W353">
            <v>41</v>
          </cell>
          <cell r="X353">
            <v>293</v>
          </cell>
          <cell r="AD353">
            <v>1</v>
          </cell>
          <cell r="AE353">
            <v>20</v>
          </cell>
          <cell r="AF353">
            <v>0</v>
          </cell>
          <cell r="AG353">
            <v>0</v>
          </cell>
          <cell r="AH353">
            <v>21</v>
          </cell>
          <cell r="AI353">
            <v>1</v>
          </cell>
          <cell r="AJ353">
            <v>20</v>
          </cell>
          <cell r="AK353">
            <v>-109</v>
          </cell>
          <cell r="AL353">
            <v>55</v>
          </cell>
          <cell r="AM353">
            <v>-33</v>
          </cell>
        </row>
        <row r="354">
          <cell r="B354">
            <v>942</v>
          </cell>
          <cell r="C354">
            <v>726</v>
          </cell>
          <cell r="D354">
            <v>190</v>
          </cell>
          <cell r="E354">
            <v>188</v>
          </cell>
          <cell r="F354">
            <v>570</v>
          </cell>
          <cell r="G354">
            <v>606</v>
          </cell>
          <cell r="H354">
            <v>720</v>
          </cell>
          <cell r="I354">
            <v>802</v>
          </cell>
          <cell r="J354">
            <v>206</v>
          </cell>
          <cell r="K354">
            <v>208</v>
          </cell>
          <cell r="L354">
            <v>209</v>
          </cell>
          <cell r="M354">
            <v>211</v>
          </cell>
          <cell r="N354">
            <v>834</v>
          </cell>
          <cell r="O354">
            <v>208</v>
          </cell>
          <cell r="P354">
            <v>210</v>
          </cell>
          <cell r="Q354">
            <v>211</v>
          </cell>
          <cell r="R354">
            <v>213</v>
          </cell>
          <cell r="S354">
            <v>842</v>
          </cell>
          <cell r="T354">
            <v>174</v>
          </cell>
          <cell r="U354">
            <v>176</v>
          </cell>
          <cell r="V354">
            <v>177</v>
          </cell>
          <cell r="W354">
            <v>180</v>
          </cell>
          <cell r="X354">
            <v>707</v>
          </cell>
          <cell r="Y354">
            <v>250</v>
          </cell>
          <cell r="Z354">
            <v>250</v>
          </cell>
          <cell r="AA354">
            <v>250</v>
          </cell>
          <cell r="AB354">
            <v>250</v>
          </cell>
          <cell r="AC354">
            <v>1000</v>
          </cell>
          <cell r="AD354">
            <v>161</v>
          </cell>
          <cell r="AE354">
            <v>165</v>
          </cell>
          <cell r="AF354">
            <v>250</v>
          </cell>
          <cell r="AG354">
            <v>250</v>
          </cell>
          <cell r="AH354">
            <v>826</v>
          </cell>
          <cell r="AI354">
            <v>161</v>
          </cell>
          <cell r="AJ354">
            <v>165</v>
          </cell>
          <cell r="AK354">
            <v>167</v>
          </cell>
          <cell r="AL354">
            <v>168</v>
          </cell>
          <cell r="AM354">
            <v>661</v>
          </cell>
          <cell r="AN354">
            <v>720</v>
          </cell>
          <cell r="AO354">
            <v>720</v>
          </cell>
          <cell r="AP354">
            <v>678</v>
          </cell>
          <cell r="AQ354">
            <v>837</v>
          </cell>
          <cell r="AR354">
            <v>1394</v>
          </cell>
          <cell r="AS354">
            <v>1744</v>
          </cell>
          <cell r="AT354">
            <v>1829</v>
          </cell>
        </row>
        <row r="355">
          <cell r="B355">
            <v>942</v>
          </cell>
          <cell r="C355">
            <v>726</v>
          </cell>
          <cell r="D355">
            <v>190</v>
          </cell>
          <cell r="E355">
            <v>188</v>
          </cell>
          <cell r="F355">
            <v>570</v>
          </cell>
          <cell r="G355">
            <v>606</v>
          </cell>
          <cell r="H355">
            <v>720</v>
          </cell>
          <cell r="I355">
            <v>802</v>
          </cell>
          <cell r="Y355">
            <v>250</v>
          </cell>
          <cell r="Z355">
            <v>250</v>
          </cell>
          <cell r="AA355">
            <v>250</v>
          </cell>
          <cell r="AB355">
            <v>250</v>
          </cell>
          <cell r="AC355">
            <v>1000</v>
          </cell>
          <cell r="AD355">
            <v>0</v>
          </cell>
          <cell r="AE355">
            <v>0</v>
          </cell>
          <cell r="AF355">
            <v>250</v>
          </cell>
          <cell r="AG355">
            <v>250</v>
          </cell>
          <cell r="AH355">
            <v>500</v>
          </cell>
          <cell r="AN355">
            <v>702</v>
          </cell>
          <cell r="AO355">
            <v>702</v>
          </cell>
          <cell r="AP355">
            <v>500</v>
          </cell>
          <cell r="AQ355">
            <v>300</v>
          </cell>
          <cell r="AR355">
            <v>300</v>
          </cell>
          <cell r="AS355">
            <v>500</v>
          </cell>
          <cell r="AT355">
            <v>500</v>
          </cell>
        </row>
        <row r="356">
          <cell r="G356">
            <v>0</v>
          </cell>
          <cell r="H356">
            <v>0</v>
          </cell>
          <cell r="I356">
            <v>0</v>
          </cell>
          <cell r="Y356">
            <v>0</v>
          </cell>
          <cell r="Z356">
            <v>0</v>
          </cell>
          <cell r="AA356">
            <v>0</v>
          </cell>
          <cell r="AB356">
            <v>0</v>
          </cell>
          <cell r="AC356">
            <v>0</v>
          </cell>
          <cell r="AD356">
            <v>0</v>
          </cell>
          <cell r="AE356">
            <v>0</v>
          </cell>
          <cell r="AF356">
            <v>0</v>
          </cell>
          <cell r="AG356">
            <v>0</v>
          </cell>
          <cell r="AH356">
            <v>0</v>
          </cell>
          <cell r="AN356">
            <v>18</v>
          </cell>
          <cell r="AO356">
            <v>18</v>
          </cell>
          <cell r="AP356">
            <v>178</v>
          </cell>
          <cell r="AQ356">
            <v>537</v>
          </cell>
          <cell r="AR356">
            <v>1094</v>
          </cell>
          <cell r="AS356">
            <v>1244</v>
          </cell>
          <cell r="AT356">
            <v>1329</v>
          </cell>
        </row>
        <row r="357">
          <cell r="Y357">
            <v>4</v>
          </cell>
          <cell r="Z357">
            <v>22</v>
          </cell>
          <cell r="AA357">
            <v>21</v>
          </cell>
          <cell r="AB357">
            <v>20</v>
          </cell>
          <cell r="AC357">
            <v>67</v>
          </cell>
          <cell r="AD357">
            <v>0</v>
          </cell>
          <cell r="AE357">
            <v>0</v>
          </cell>
          <cell r="AF357">
            <v>21</v>
          </cell>
          <cell r="AG357">
            <v>20</v>
          </cell>
          <cell r="AH357">
            <v>41</v>
          </cell>
        </row>
        <row r="359">
          <cell r="B359">
            <v>2026</v>
          </cell>
          <cell r="C359">
            <v>1333</v>
          </cell>
          <cell r="D359">
            <v>-1960</v>
          </cell>
          <cell r="E359">
            <v>-4243</v>
          </cell>
          <cell r="F359">
            <v>-1301</v>
          </cell>
          <cell r="G359">
            <v>-380</v>
          </cell>
          <cell r="H359">
            <v>-389.23279999999977</v>
          </cell>
          <cell r="I359">
            <v>-2666.0018</v>
          </cell>
          <cell r="J359">
            <v>-1285.2159999999999</v>
          </cell>
          <cell r="K359">
            <v>-548.03099999999995</v>
          </cell>
          <cell r="L359">
            <v>-390.63100000000009</v>
          </cell>
          <cell r="M359">
            <v>-324.75</v>
          </cell>
          <cell r="N359">
            <v>-2548.6279999999997</v>
          </cell>
          <cell r="O359">
            <v>-1326.8400000000001</v>
          </cell>
          <cell r="P359">
            <v>679.98</v>
          </cell>
          <cell r="Q359">
            <v>-1076.32</v>
          </cell>
          <cell r="R359">
            <v>-498.98</v>
          </cell>
          <cell r="S359">
            <v>-2222.16</v>
          </cell>
          <cell r="T359">
            <v>-1399.5</v>
          </cell>
          <cell r="U359">
            <v>-1678.8</v>
          </cell>
          <cell r="V359">
            <v>-1410.9299999999998</v>
          </cell>
          <cell r="W359">
            <v>-859.75</v>
          </cell>
          <cell r="X359">
            <v>-5348.9800000000005</v>
          </cell>
          <cell r="Y359">
            <v>-2881.1785514869362</v>
          </cell>
          <cell r="Z359">
            <v>-990.16045246314934</v>
          </cell>
          <cell r="AA359">
            <v>819.39258760663836</v>
          </cell>
          <cell r="AB359">
            <v>-163.22317648661567</v>
          </cell>
          <cell r="AC359">
            <v>-3215.1695928300628</v>
          </cell>
          <cell r="AD359">
            <v>-2154.0948463223735</v>
          </cell>
          <cell r="AE359">
            <v>-923.52059291374826</v>
          </cell>
          <cell r="AF359">
            <v>-2671.0366004692401</v>
          </cell>
          <cell r="AG359">
            <v>164.8111819882588</v>
          </cell>
          <cell r="AH359">
            <v>-5585.8408577171031</v>
          </cell>
          <cell r="AI359">
            <v>-2207.79288</v>
          </cell>
          <cell r="AJ359">
            <v>-2012.677297</v>
          </cell>
          <cell r="AK359">
            <v>-2746.1094000000007</v>
          </cell>
          <cell r="AL359">
            <v>297.05319999999983</v>
          </cell>
          <cell r="AM359">
            <v>-6528.5263770000029</v>
          </cell>
          <cell r="AN359">
            <v>-2835.2294377421213</v>
          </cell>
          <cell r="AO359">
            <v>-4004.5503415991661</v>
          </cell>
          <cell r="AP359">
            <v>-2461.9513475713038</v>
          </cell>
          <cell r="AQ359">
            <v>-1952.7550472637113</v>
          </cell>
          <cell r="AR359">
            <v>-1434.793136308444</v>
          </cell>
          <cell r="AS359">
            <v>-1371.2071626717611</v>
          </cell>
          <cell r="AT359">
            <v>-1423.665258470432</v>
          </cell>
        </row>
        <row r="361">
          <cell r="B361">
            <v>706</v>
          </cell>
          <cell r="C361">
            <v>-410</v>
          </cell>
          <cell r="D361">
            <v>180</v>
          </cell>
          <cell r="E361">
            <v>-916</v>
          </cell>
          <cell r="F361">
            <v>718</v>
          </cell>
          <cell r="G361">
            <v>925</v>
          </cell>
          <cell r="H361">
            <v>-921</v>
          </cell>
          <cell r="I361">
            <v>-535</v>
          </cell>
          <cell r="J361">
            <v>-186</v>
          </cell>
          <cell r="K361">
            <v>264</v>
          </cell>
          <cell r="L361">
            <v>85</v>
          </cell>
          <cell r="M361">
            <v>414</v>
          </cell>
          <cell r="N361">
            <v>577</v>
          </cell>
          <cell r="O361">
            <v>-352</v>
          </cell>
          <cell r="P361">
            <v>-47</v>
          </cell>
          <cell r="Q361">
            <v>-645</v>
          </cell>
          <cell r="R361">
            <v>-699</v>
          </cell>
          <cell r="S361">
            <v>-1743</v>
          </cell>
          <cell r="T361">
            <v>554</v>
          </cell>
          <cell r="U361">
            <v>3.1999999999999886</v>
          </cell>
          <cell r="V361">
            <v>-597</v>
          </cell>
          <cell r="W361">
            <v>1291</v>
          </cell>
          <cell r="X361">
            <v>1251.2</v>
          </cell>
          <cell r="Y361">
            <v>-812.30533980582527</v>
          </cell>
          <cell r="Z361">
            <v>-656.86962616822427</v>
          </cell>
          <cell r="AA361">
            <v>550.56410071942446</v>
          </cell>
          <cell r="AB361">
            <v>558.48948096885806</v>
          </cell>
          <cell r="AC361">
            <v>-360.12138428576679</v>
          </cell>
          <cell r="AD361">
            <v>-89</v>
          </cell>
          <cell r="AE361">
            <v>-65</v>
          </cell>
          <cell r="AF361">
            <v>-617</v>
          </cell>
          <cell r="AG361">
            <v>1556</v>
          </cell>
          <cell r="AH361">
            <v>785</v>
          </cell>
          <cell r="AI361">
            <v>61</v>
          </cell>
          <cell r="AJ361">
            <v>-1310</v>
          </cell>
          <cell r="AK361">
            <v>376</v>
          </cell>
          <cell r="AL361">
            <v>1596</v>
          </cell>
          <cell r="AM361">
            <v>723</v>
          </cell>
          <cell r="AN361">
            <v>203.83999999999997</v>
          </cell>
          <cell r="AO361">
            <v>203.83999999999997</v>
          </cell>
          <cell r="AP361">
            <v>300.16794044665016</v>
          </cell>
          <cell r="AQ361">
            <v>-362</v>
          </cell>
          <cell r="AR361">
            <v>-356</v>
          </cell>
          <cell r="AS361">
            <v>-327</v>
          </cell>
          <cell r="AT361">
            <v>-327</v>
          </cell>
        </row>
        <row r="363">
          <cell r="B363">
            <v>278</v>
          </cell>
          <cell r="C363">
            <v>-520</v>
          </cell>
          <cell r="D363">
            <v>247</v>
          </cell>
          <cell r="E363">
            <v>-713</v>
          </cell>
          <cell r="F363">
            <v>124</v>
          </cell>
          <cell r="G363">
            <v>144</v>
          </cell>
          <cell r="H363">
            <v>-24</v>
          </cell>
          <cell r="I363">
            <v>-179</v>
          </cell>
          <cell r="J363">
            <v>1</v>
          </cell>
          <cell r="K363">
            <v>71</v>
          </cell>
          <cell r="L363">
            <v>50</v>
          </cell>
          <cell r="M363">
            <v>70</v>
          </cell>
          <cell r="N363">
            <v>192</v>
          </cell>
          <cell r="O363">
            <v>-16</v>
          </cell>
          <cell r="P363">
            <v>-74</v>
          </cell>
          <cell r="Q363">
            <v>10</v>
          </cell>
          <cell r="R363">
            <v>-596</v>
          </cell>
          <cell r="S363">
            <v>-676</v>
          </cell>
          <cell r="T363">
            <v>21</v>
          </cell>
          <cell r="U363">
            <v>-214</v>
          </cell>
          <cell r="V363">
            <v>-54</v>
          </cell>
          <cell r="W363">
            <v>-43</v>
          </cell>
          <cell r="X363">
            <v>-290</v>
          </cell>
          <cell r="Y363">
            <v>-778.05533980582527</v>
          </cell>
          <cell r="Z363">
            <v>-516.61962616822427</v>
          </cell>
          <cell r="AA363">
            <v>427.37410071942446</v>
          </cell>
          <cell r="AB363">
            <v>-39.150519031141869</v>
          </cell>
          <cell r="AC363">
            <v>-906.45138428576684</v>
          </cell>
          <cell r="AD363">
            <v>-22</v>
          </cell>
          <cell r="AE363">
            <v>2</v>
          </cell>
          <cell r="AF363">
            <v>-701</v>
          </cell>
          <cell r="AG363">
            <v>709</v>
          </cell>
          <cell r="AH363">
            <v>-12</v>
          </cell>
          <cell r="AI363">
            <v>-108</v>
          </cell>
          <cell r="AJ363">
            <v>-1062</v>
          </cell>
          <cell r="AK363">
            <v>307</v>
          </cell>
          <cell r="AL363">
            <v>185</v>
          </cell>
          <cell r="AM363">
            <v>-678</v>
          </cell>
          <cell r="AN363">
            <v>-38</v>
          </cell>
          <cell r="AO363">
            <v>-38</v>
          </cell>
          <cell r="AP363">
            <v>0</v>
          </cell>
          <cell r="AQ363">
            <v>0</v>
          </cell>
          <cell r="AR363">
            <v>0</v>
          </cell>
          <cell r="AS363">
            <v>0</v>
          </cell>
          <cell r="AT363">
            <v>0</v>
          </cell>
        </row>
        <row r="364">
          <cell r="Y364">
            <v>-804</v>
          </cell>
          <cell r="Z364">
            <v>-55</v>
          </cell>
          <cell r="AA364">
            <v>-631</v>
          </cell>
          <cell r="AB364">
            <v>-64</v>
          </cell>
          <cell r="AC364">
            <v>-1554</v>
          </cell>
          <cell r="AD364">
            <v>-804</v>
          </cell>
          <cell r="AE364">
            <v>-55</v>
          </cell>
          <cell r="AF364">
            <v>-631</v>
          </cell>
          <cell r="AG364">
            <v>-64</v>
          </cell>
          <cell r="AH364">
            <v>-1554</v>
          </cell>
        </row>
        <row r="365">
          <cell r="B365">
            <v>428</v>
          </cell>
          <cell r="C365">
            <v>110</v>
          </cell>
          <cell r="D365">
            <v>-67</v>
          </cell>
          <cell r="E365">
            <v>-203</v>
          </cell>
          <cell r="F365">
            <v>594</v>
          </cell>
          <cell r="G365">
            <v>781</v>
          </cell>
          <cell r="H365">
            <v>-897</v>
          </cell>
          <cell r="I365">
            <v>-356</v>
          </cell>
          <cell r="J365">
            <v>-187</v>
          </cell>
          <cell r="K365">
            <v>193</v>
          </cell>
          <cell r="L365">
            <v>35</v>
          </cell>
          <cell r="M365">
            <v>344</v>
          </cell>
          <cell r="N365">
            <v>385</v>
          </cell>
          <cell r="O365">
            <v>-336</v>
          </cell>
          <cell r="P365">
            <v>27</v>
          </cell>
          <cell r="Q365">
            <v>-655</v>
          </cell>
          <cell r="R365">
            <v>-103</v>
          </cell>
          <cell r="S365">
            <v>-1067</v>
          </cell>
          <cell r="T365">
            <v>533</v>
          </cell>
          <cell r="U365">
            <v>217.2</v>
          </cell>
          <cell r="V365">
            <v>-543</v>
          </cell>
          <cell r="W365">
            <v>1334</v>
          </cell>
          <cell r="X365">
            <v>1541.2</v>
          </cell>
          <cell r="Y365">
            <v>-34.25</v>
          </cell>
          <cell r="Z365">
            <v>-140.25</v>
          </cell>
          <cell r="AA365">
            <v>123.19</v>
          </cell>
          <cell r="AB365">
            <v>597.64</v>
          </cell>
          <cell r="AC365">
            <v>546.33000000000004</v>
          </cell>
          <cell r="AD365">
            <v>-67</v>
          </cell>
          <cell r="AE365">
            <v>-67</v>
          </cell>
          <cell r="AF365">
            <v>84</v>
          </cell>
          <cell r="AG365">
            <v>847</v>
          </cell>
          <cell r="AH365">
            <v>797</v>
          </cell>
          <cell r="AI365">
            <v>169</v>
          </cell>
          <cell r="AJ365">
            <v>-248</v>
          </cell>
          <cell r="AK365">
            <v>69</v>
          </cell>
          <cell r="AL365">
            <v>1411</v>
          </cell>
          <cell r="AM365">
            <v>1401</v>
          </cell>
          <cell r="AN365">
            <v>241.83999999999997</v>
          </cell>
          <cell r="AO365">
            <v>241.83999999999997</v>
          </cell>
          <cell r="AP365">
            <v>300.16794044665016</v>
          </cell>
          <cell r="AQ365">
            <v>-362</v>
          </cell>
          <cell r="AR365">
            <v>-356</v>
          </cell>
          <cell r="AS365">
            <v>-327</v>
          </cell>
          <cell r="AT365">
            <v>-327</v>
          </cell>
        </row>
        <row r="366">
          <cell r="B366">
            <v>428</v>
          </cell>
          <cell r="C366">
            <v>-172</v>
          </cell>
          <cell r="D366">
            <v>-26</v>
          </cell>
          <cell r="E366">
            <v>-461</v>
          </cell>
          <cell r="F366">
            <v>166</v>
          </cell>
          <cell r="G366">
            <v>300</v>
          </cell>
          <cell r="H366">
            <v>295</v>
          </cell>
          <cell r="I366">
            <v>-371</v>
          </cell>
          <cell r="J366">
            <v>21</v>
          </cell>
          <cell r="K366">
            <v>73</v>
          </cell>
          <cell r="L366">
            <v>110</v>
          </cell>
          <cell r="M366">
            <v>-201</v>
          </cell>
          <cell r="N366">
            <v>3</v>
          </cell>
          <cell r="O366">
            <v>27</v>
          </cell>
          <cell r="P366">
            <v>62</v>
          </cell>
          <cell r="Q366">
            <v>-390</v>
          </cell>
          <cell r="R366">
            <v>-172</v>
          </cell>
          <cell r="S366">
            <v>-473</v>
          </cell>
          <cell r="T366">
            <v>391</v>
          </cell>
          <cell r="U366">
            <v>93.2</v>
          </cell>
          <cell r="V366">
            <v>-182</v>
          </cell>
          <cell r="W366">
            <v>394</v>
          </cell>
          <cell r="X366">
            <v>696.2</v>
          </cell>
          <cell r="Y366">
            <v>302.39</v>
          </cell>
          <cell r="Z366">
            <v>-201.01</v>
          </cell>
          <cell r="AA366">
            <v>193.38</v>
          </cell>
          <cell r="AB366">
            <v>105.23</v>
          </cell>
          <cell r="AC366">
            <v>399.99</v>
          </cell>
          <cell r="AD366">
            <v>453</v>
          </cell>
          <cell r="AE366">
            <v>-126</v>
          </cell>
          <cell r="AF366">
            <v>155</v>
          </cell>
          <cell r="AG366">
            <v>586</v>
          </cell>
          <cell r="AH366">
            <v>1068</v>
          </cell>
          <cell r="AI366">
            <v>453</v>
          </cell>
          <cell r="AJ366">
            <v>-126</v>
          </cell>
          <cell r="AK366">
            <v>155</v>
          </cell>
          <cell r="AL366">
            <v>622</v>
          </cell>
          <cell r="AM366">
            <v>1104</v>
          </cell>
          <cell r="AN366">
            <v>387.57</v>
          </cell>
          <cell r="AO366">
            <v>387.57</v>
          </cell>
          <cell r="AP366">
            <v>398.62968982630281</v>
          </cell>
          <cell r="AQ366">
            <v>-206</v>
          </cell>
          <cell r="AR366">
            <v>-192</v>
          </cell>
          <cell r="AS366">
            <v>-279</v>
          </cell>
          <cell r="AT366">
            <v>-279</v>
          </cell>
        </row>
        <row r="367">
          <cell r="B367">
            <v>0</v>
          </cell>
          <cell r="C367">
            <v>282</v>
          </cell>
          <cell r="D367">
            <v>-41</v>
          </cell>
          <cell r="E367">
            <v>258</v>
          </cell>
          <cell r="F367">
            <v>428</v>
          </cell>
          <cell r="G367">
            <v>481</v>
          </cell>
          <cell r="H367">
            <v>-1192</v>
          </cell>
          <cell r="I367">
            <v>15</v>
          </cell>
          <cell r="J367">
            <v>-208</v>
          </cell>
          <cell r="K367">
            <v>120</v>
          </cell>
          <cell r="L367">
            <v>-75</v>
          </cell>
          <cell r="M367">
            <v>545</v>
          </cell>
          <cell r="N367">
            <v>382</v>
          </cell>
          <cell r="O367">
            <v>-363</v>
          </cell>
          <cell r="P367">
            <v>-35</v>
          </cell>
          <cell r="Q367">
            <v>-265</v>
          </cell>
          <cell r="R367">
            <v>69</v>
          </cell>
          <cell r="S367">
            <v>-594</v>
          </cell>
          <cell r="T367">
            <v>142</v>
          </cell>
          <cell r="U367">
            <v>123.99999999999999</v>
          </cell>
          <cell r="V367">
            <v>-361</v>
          </cell>
          <cell r="W367">
            <v>940</v>
          </cell>
          <cell r="X367">
            <v>845</v>
          </cell>
          <cell r="Y367">
            <v>-336.64</v>
          </cell>
          <cell r="Z367">
            <v>60.76</v>
          </cell>
          <cell r="AA367">
            <v>-70.19</v>
          </cell>
          <cell r="AB367">
            <v>492.41</v>
          </cell>
          <cell r="AC367">
            <v>146.34</v>
          </cell>
          <cell r="AD367">
            <v>-520</v>
          </cell>
          <cell r="AE367">
            <v>59</v>
          </cell>
          <cell r="AF367">
            <v>-71</v>
          </cell>
          <cell r="AG367">
            <v>261</v>
          </cell>
          <cell r="AH367">
            <v>-271</v>
          </cell>
          <cell r="AI367">
            <v>-284</v>
          </cell>
          <cell r="AJ367">
            <v>-122</v>
          </cell>
          <cell r="AK367">
            <v>-86</v>
          </cell>
          <cell r="AL367">
            <v>789</v>
          </cell>
          <cell r="AM367">
            <v>297</v>
          </cell>
          <cell r="AN367">
            <v>-145.73000000000002</v>
          </cell>
          <cell r="AO367">
            <v>-145.73000000000002</v>
          </cell>
          <cell r="AP367">
            <v>-98.461749379652645</v>
          </cell>
          <cell r="AQ367">
            <v>-156</v>
          </cell>
          <cell r="AR367">
            <v>-164</v>
          </cell>
          <cell r="AS367">
            <v>-48</v>
          </cell>
          <cell r="AT367">
            <v>-48</v>
          </cell>
        </row>
        <row r="368">
          <cell r="G368">
            <v>69</v>
          </cell>
          <cell r="H368">
            <v>-195</v>
          </cell>
          <cell r="I368">
            <v>21</v>
          </cell>
          <cell r="J368">
            <v>-191</v>
          </cell>
          <cell r="K368">
            <v>100</v>
          </cell>
          <cell r="L368">
            <v>-117</v>
          </cell>
          <cell r="M368">
            <v>247</v>
          </cell>
          <cell r="N368">
            <v>39</v>
          </cell>
          <cell r="O368">
            <v>-148</v>
          </cell>
          <cell r="P368">
            <v>32</v>
          </cell>
          <cell r="Q368">
            <v>-213</v>
          </cell>
          <cell r="R368">
            <v>-266</v>
          </cell>
          <cell r="S368">
            <v>-595</v>
          </cell>
          <cell r="T368">
            <v>140</v>
          </cell>
          <cell r="U368">
            <v>193</v>
          </cell>
          <cell r="V368">
            <v>-334</v>
          </cell>
          <cell r="W368">
            <v>726</v>
          </cell>
          <cell r="X368">
            <v>725</v>
          </cell>
          <cell r="Y368">
            <v>-381</v>
          </cell>
          <cell r="Z368">
            <v>14</v>
          </cell>
          <cell r="AA368">
            <v>-128.75</v>
          </cell>
          <cell r="AB368">
            <v>416.65</v>
          </cell>
          <cell r="AC368">
            <v>-79.099999999999994</v>
          </cell>
          <cell r="AD368">
            <v>-422</v>
          </cell>
          <cell r="AE368">
            <v>89</v>
          </cell>
          <cell r="AF368">
            <v>35</v>
          </cell>
          <cell r="AG368">
            <v>141</v>
          </cell>
          <cell r="AH368">
            <v>-157</v>
          </cell>
          <cell r="AI368">
            <v>-422</v>
          </cell>
          <cell r="AJ368">
            <v>89</v>
          </cell>
          <cell r="AK368">
            <v>35</v>
          </cell>
          <cell r="AL368">
            <v>141</v>
          </cell>
          <cell r="AM368">
            <v>-157</v>
          </cell>
          <cell r="AN368">
            <v>-50</v>
          </cell>
          <cell r="AO368">
            <v>-50</v>
          </cell>
          <cell r="AP368">
            <v>0</v>
          </cell>
          <cell r="AQ368">
            <v>0</v>
          </cell>
          <cell r="AR368">
            <v>0</v>
          </cell>
          <cell r="AS368">
            <v>0</v>
          </cell>
          <cell r="AT368">
            <v>0</v>
          </cell>
        </row>
        <row r="369">
          <cell r="J369">
            <v>-56</v>
          </cell>
          <cell r="K369">
            <v>25</v>
          </cell>
          <cell r="L369">
            <v>33</v>
          </cell>
          <cell r="M369">
            <v>146</v>
          </cell>
          <cell r="N369">
            <v>148</v>
          </cell>
          <cell r="O369">
            <v>-18</v>
          </cell>
          <cell r="P369">
            <v>-32</v>
          </cell>
          <cell r="Q369">
            <v>-108</v>
          </cell>
          <cell r="R369">
            <v>298</v>
          </cell>
          <cell r="S369">
            <v>140</v>
          </cell>
          <cell r="T369">
            <v>83</v>
          </cell>
          <cell r="U369">
            <v>-74</v>
          </cell>
          <cell r="V369">
            <v>-28</v>
          </cell>
          <cell r="W369">
            <v>195</v>
          </cell>
          <cell r="X369">
            <v>176</v>
          </cell>
          <cell r="Y369">
            <v>38</v>
          </cell>
          <cell r="Z369">
            <v>40.4</v>
          </cell>
          <cell r="AA369">
            <v>52.2</v>
          </cell>
          <cell r="AB369">
            <v>69.400000000000006</v>
          </cell>
          <cell r="AC369">
            <v>200</v>
          </cell>
          <cell r="AD369">
            <v>-84</v>
          </cell>
          <cell r="AE369">
            <v>13</v>
          </cell>
          <cell r="AF369">
            <v>-137</v>
          </cell>
          <cell r="AG369">
            <v>109</v>
          </cell>
          <cell r="AH369">
            <v>-99</v>
          </cell>
          <cell r="AI369">
            <v>-48</v>
          </cell>
          <cell r="AJ369">
            <v>32</v>
          </cell>
          <cell r="AK369">
            <v>-152</v>
          </cell>
          <cell r="AL369">
            <v>109</v>
          </cell>
          <cell r="AM369">
            <v>-59</v>
          </cell>
          <cell r="AN369">
            <v>216.84</v>
          </cell>
          <cell r="AO369">
            <v>216.84</v>
          </cell>
          <cell r="AP369">
            <v>223.02774193548393</v>
          </cell>
          <cell r="AQ369">
            <v>-155</v>
          </cell>
          <cell r="AR369">
            <v>-169</v>
          </cell>
          <cell r="AS369">
            <v>-56</v>
          </cell>
          <cell r="AT369">
            <v>-56</v>
          </cell>
        </row>
        <row r="370">
          <cell r="J370">
            <v>0</v>
          </cell>
          <cell r="K370">
            <v>0</v>
          </cell>
          <cell r="L370">
            <v>0</v>
          </cell>
          <cell r="M370">
            <v>135</v>
          </cell>
          <cell r="N370">
            <v>135</v>
          </cell>
          <cell r="O370">
            <v>-135</v>
          </cell>
          <cell r="P370">
            <v>0</v>
          </cell>
          <cell r="Q370">
            <v>0</v>
          </cell>
          <cell r="R370">
            <v>0</v>
          </cell>
          <cell r="S370">
            <v>-135</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200</v>
          </cell>
          <cell r="AJ370">
            <v>-200</v>
          </cell>
          <cell r="AK370">
            <v>0</v>
          </cell>
          <cell r="AL370">
            <v>528</v>
          </cell>
          <cell r="AM370">
            <v>528</v>
          </cell>
          <cell r="AN370">
            <v>0</v>
          </cell>
          <cell r="AO370">
            <v>0</v>
          </cell>
          <cell r="AP370">
            <v>0</v>
          </cell>
          <cell r="AQ370">
            <v>11</v>
          </cell>
          <cell r="AR370">
            <v>10</v>
          </cell>
          <cell r="AS370">
            <v>9</v>
          </cell>
          <cell r="AT370">
            <v>9</v>
          </cell>
        </row>
        <row r="371">
          <cell r="J371">
            <v>39</v>
          </cell>
          <cell r="K371">
            <v>-5</v>
          </cell>
          <cell r="L371">
            <v>9</v>
          </cell>
          <cell r="M371">
            <v>17</v>
          </cell>
          <cell r="N371">
            <v>60</v>
          </cell>
          <cell r="O371">
            <v>-62</v>
          </cell>
          <cell r="P371">
            <v>-35</v>
          </cell>
          <cell r="Q371">
            <v>56</v>
          </cell>
          <cell r="R371">
            <v>37</v>
          </cell>
          <cell r="S371">
            <v>-4</v>
          </cell>
          <cell r="T371">
            <v>-81</v>
          </cell>
          <cell r="U371">
            <v>5</v>
          </cell>
          <cell r="V371">
            <v>1</v>
          </cell>
          <cell r="W371">
            <v>19</v>
          </cell>
          <cell r="X371">
            <v>-56</v>
          </cell>
          <cell r="Y371">
            <v>6.36</v>
          </cell>
          <cell r="Z371">
            <v>6.36</v>
          </cell>
          <cell r="AA371">
            <v>6.36</v>
          </cell>
          <cell r="AB371">
            <v>6.36</v>
          </cell>
          <cell r="AC371">
            <v>25.44</v>
          </cell>
          <cell r="AD371">
            <v>-14</v>
          </cell>
          <cell r="AE371">
            <v>-43</v>
          </cell>
          <cell r="AF371">
            <v>31</v>
          </cell>
          <cell r="AG371">
            <v>11</v>
          </cell>
          <cell r="AH371">
            <v>-15</v>
          </cell>
          <cell r="AI371">
            <v>-14</v>
          </cell>
          <cell r="AJ371">
            <v>-43</v>
          </cell>
          <cell r="AK371">
            <v>31</v>
          </cell>
          <cell r="AL371">
            <v>11</v>
          </cell>
          <cell r="AM371">
            <v>-15</v>
          </cell>
          <cell r="AN371">
            <v>20.73</v>
          </cell>
          <cell r="AO371">
            <v>20.73</v>
          </cell>
          <cell r="AP371">
            <v>21.321550868486359</v>
          </cell>
          <cell r="AQ371">
            <v>-12</v>
          </cell>
          <cell r="AR371">
            <v>-5</v>
          </cell>
          <cell r="AS371">
            <v>-1</v>
          </cell>
          <cell r="AT371">
            <v>-1</v>
          </cell>
        </row>
        <row r="372">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AI372">
            <v>0</v>
          </cell>
          <cell r="AJ372">
            <v>0</v>
          </cell>
          <cell r="AK372">
            <v>0</v>
          </cell>
          <cell r="AL372">
            <v>0</v>
          </cell>
          <cell r="AM372">
            <v>0</v>
          </cell>
          <cell r="AN372">
            <v>-333.3</v>
          </cell>
          <cell r="AO372">
            <v>-333.3</v>
          </cell>
          <cell r="AP372">
            <v>-342.81104218362293</v>
          </cell>
        </row>
        <row r="374">
          <cell r="B374">
            <v>1320</v>
          </cell>
          <cell r="C374">
            <v>1743</v>
          </cell>
          <cell r="D374">
            <v>-2140</v>
          </cell>
          <cell r="E374">
            <v>-3327</v>
          </cell>
          <cell r="F374">
            <v>-2019</v>
          </cell>
          <cell r="G374">
            <v>-1305</v>
          </cell>
          <cell r="H374">
            <v>531.76720000000023</v>
          </cell>
          <cell r="I374">
            <v>-2131.0018</v>
          </cell>
          <cell r="J374">
            <v>-1099.2159999999999</v>
          </cell>
          <cell r="K374">
            <v>-812.03099999999995</v>
          </cell>
          <cell r="L374">
            <v>-475.63100000000009</v>
          </cell>
          <cell r="M374">
            <v>-738.75</v>
          </cell>
          <cell r="N374">
            <v>-3125.6279999999997</v>
          </cell>
          <cell r="O374">
            <v>-974.84000000000015</v>
          </cell>
          <cell r="P374">
            <v>726.98</v>
          </cell>
          <cell r="Q374">
            <v>-431.31999999999994</v>
          </cell>
          <cell r="R374">
            <v>200.01999999999998</v>
          </cell>
          <cell r="S374">
            <v>-479.16000000000008</v>
          </cell>
          <cell r="T374">
            <v>-1953.5</v>
          </cell>
          <cell r="U374">
            <v>-1682</v>
          </cell>
          <cell r="V374">
            <v>-813.92999999999984</v>
          </cell>
          <cell r="W374">
            <v>-2150.75</v>
          </cell>
          <cell r="X374">
            <v>-6600.18</v>
          </cell>
          <cell r="Y374">
            <v>-2068.8732116811107</v>
          </cell>
          <cell r="Z374">
            <v>-333.29082629492501</v>
          </cell>
          <cell r="AA374">
            <v>268.8284868872139</v>
          </cell>
          <cell r="AB374">
            <v>-721.71265745547373</v>
          </cell>
          <cell r="AC374">
            <v>-2855.0482085442959</v>
          </cell>
          <cell r="AD374">
            <v>-2065.0948463223735</v>
          </cell>
          <cell r="AE374">
            <v>-858.52059291374826</v>
          </cell>
          <cell r="AF374">
            <v>-2054.0366004692401</v>
          </cell>
          <cell r="AG374">
            <v>-1391.1888180117412</v>
          </cell>
          <cell r="AH374">
            <v>-6370.8408577171031</v>
          </cell>
          <cell r="AI374">
            <v>-2268.79288</v>
          </cell>
          <cell r="AJ374">
            <v>-702.67729699999995</v>
          </cell>
          <cell r="AK374">
            <v>-3122.1094000000007</v>
          </cell>
          <cell r="AL374">
            <v>-1298.9468000000002</v>
          </cell>
          <cell r="AM374">
            <v>-7251.5263770000029</v>
          </cell>
          <cell r="AN374">
            <v>-3039.0694377421214</v>
          </cell>
          <cell r="AO374">
            <v>-4208.3903415991663</v>
          </cell>
          <cell r="AP374">
            <v>-2762.1192880179542</v>
          </cell>
          <cell r="AQ374">
            <v>-1590.7550472637113</v>
          </cell>
          <cell r="AR374">
            <v>-1078.793136308444</v>
          </cell>
          <cell r="AS374">
            <v>-1044.2071626717611</v>
          </cell>
          <cell r="AT374">
            <v>-1096.665258470432</v>
          </cell>
        </row>
        <row r="376">
          <cell r="B376">
            <v>-903</v>
          </cell>
          <cell r="C376">
            <v>-1094</v>
          </cell>
          <cell r="D376">
            <v>-1106</v>
          </cell>
          <cell r="E376">
            <v>-1334</v>
          </cell>
          <cell r="F376">
            <v>-975</v>
          </cell>
          <cell r="G376">
            <v>-681</v>
          </cell>
          <cell r="H376">
            <v>-652</v>
          </cell>
          <cell r="I376">
            <v>-793</v>
          </cell>
          <cell r="J376">
            <v>-214</v>
          </cell>
          <cell r="K376">
            <v>-206</v>
          </cell>
          <cell r="L376">
            <v>-204</v>
          </cell>
          <cell r="M376">
            <v>-205</v>
          </cell>
          <cell r="N376">
            <v>-829</v>
          </cell>
          <cell r="O376">
            <v>-190</v>
          </cell>
          <cell r="P376">
            <v>-195</v>
          </cell>
          <cell r="Q376">
            <v>-201</v>
          </cell>
          <cell r="R376">
            <v>-195</v>
          </cell>
          <cell r="S376">
            <v>-781</v>
          </cell>
          <cell r="T376">
            <v>-184</v>
          </cell>
          <cell r="U376">
            <v>-197</v>
          </cell>
          <cell r="V376">
            <v>-201</v>
          </cell>
          <cell r="W376">
            <v>-208</v>
          </cell>
          <cell r="X376">
            <v>-790</v>
          </cell>
          <cell r="Y376">
            <v>-295.29624999999999</v>
          </cell>
          <cell r="Z376">
            <v>-327.93175859375003</v>
          </cell>
          <cell r="AA376">
            <v>-335.42224698173959</v>
          </cell>
          <cell r="AB376">
            <v>-333.76787024273585</v>
          </cell>
          <cell r="AC376">
            <v>-1292.4181258182255</v>
          </cell>
          <cell r="AD376">
            <v>-241</v>
          </cell>
          <cell r="AE376">
            <v>-247</v>
          </cell>
          <cell r="AF376">
            <v>-308.31937500000004</v>
          </cell>
          <cell r="AG376">
            <v>-336.38481679687504</v>
          </cell>
          <cell r="AH376">
            <v>-1134.704191796875</v>
          </cell>
          <cell r="AI376">
            <v>-204</v>
          </cell>
          <cell r="AJ376">
            <v>-209</v>
          </cell>
          <cell r="AK376">
            <v>-209</v>
          </cell>
          <cell r="AL376">
            <v>-216</v>
          </cell>
          <cell r="AM376">
            <v>-838</v>
          </cell>
          <cell r="AN376">
            <v>-1326.4079999999999</v>
          </cell>
          <cell r="AO376">
            <v>-1326.4079999999999</v>
          </cell>
          <cell r="AP376">
            <v>-1530.4279074215574</v>
          </cell>
          <cell r="AQ376">
            <v>-1701.2790515013487</v>
          </cell>
          <cell r="AR376">
            <v>-1183.9792316265687</v>
          </cell>
          <cell r="AS376">
            <v>-1157.5969408129549</v>
          </cell>
          <cell r="AT376">
            <v>-1219.3384439814606</v>
          </cell>
        </row>
        <row r="377">
          <cell r="B377">
            <v>504</v>
          </cell>
          <cell r="C377">
            <v>-735</v>
          </cell>
          <cell r="D377">
            <v>16</v>
          </cell>
          <cell r="E377">
            <v>775</v>
          </cell>
          <cell r="F377">
            <v>0</v>
          </cell>
          <cell r="G377">
            <v>-9</v>
          </cell>
          <cell r="H377">
            <v>1943</v>
          </cell>
          <cell r="I377">
            <v>-1742</v>
          </cell>
          <cell r="J377">
            <v>-63</v>
          </cell>
          <cell r="K377">
            <v>-335</v>
          </cell>
          <cell r="L377">
            <v>-162</v>
          </cell>
          <cell r="M377">
            <v>150</v>
          </cell>
          <cell r="N377">
            <v>-410</v>
          </cell>
          <cell r="O377">
            <v>-907</v>
          </cell>
          <cell r="P377">
            <v>492</v>
          </cell>
          <cell r="Q377">
            <v>-96</v>
          </cell>
          <cell r="R377">
            <v>1016</v>
          </cell>
          <cell r="S377">
            <v>505</v>
          </cell>
          <cell r="T377">
            <v>-689</v>
          </cell>
          <cell r="U377">
            <v>-803</v>
          </cell>
          <cell r="V377">
            <v>-722</v>
          </cell>
          <cell r="W377">
            <v>-887</v>
          </cell>
          <cell r="X377">
            <v>-3101</v>
          </cell>
          <cell r="Y377">
            <v>-1975</v>
          </cell>
          <cell r="Z377">
            <v>-54.015259701175012</v>
          </cell>
          <cell r="AA377">
            <v>520.07454186895336</v>
          </cell>
          <cell r="AB377">
            <v>-329.04859521273772</v>
          </cell>
          <cell r="AC377">
            <v>-1837.9893130449595</v>
          </cell>
          <cell r="AD377">
            <v>-994</v>
          </cell>
          <cell r="AE377">
            <v>-493</v>
          </cell>
          <cell r="AF377">
            <v>-1830</v>
          </cell>
          <cell r="AG377">
            <v>-970.52122668410607</v>
          </cell>
          <cell r="AH377">
            <v>-4287.5212266841063</v>
          </cell>
          <cell r="AI377">
            <v>-1326</v>
          </cell>
          <cell r="AJ377">
            <v>-641</v>
          </cell>
          <cell r="AK377">
            <v>-1541</v>
          </cell>
          <cell r="AL377">
            <v>-134</v>
          </cell>
          <cell r="AM377">
            <v>-3642</v>
          </cell>
          <cell r="AN377">
            <v>-1504.6614377421215</v>
          </cell>
          <cell r="AO377">
            <v>-2673.9823415991664</v>
          </cell>
          <cell r="AP377">
            <v>-1819.5945255155268</v>
          </cell>
          <cell r="AQ377">
            <v>0</v>
          </cell>
          <cell r="AR377">
            <v>0</v>
          </cell>
          <cell r="AS377">
            <v>0</v>
          </cell>
          <cell r="AT377">
            <v>0</v>
          </cell>
        </row>
        <row r="378">
          <cell r="E378">
            <v>-338</v>
          </cell>
          <cell r="F378">
            <v>90</v>
          </cell>
          <cell r="G378">
            <v>-37</v>
          </cell>
          <cell r="H378">
            <v>-363</v>
          </cell>
          <cell r="I378">
            <v>-1055</v>
          </cell>
          <cell r="J378">
            <v>26</v>
          </cell>
          <cell r="K378">
            <v>100</v>
          </cell>
          <cell r="L378">
            <v>71</v>
          </cell>
          <cell r="M378">
            <v>24</v>
          </cell>
          <cell r="N378">
            <v>221</v>
          </cell>
          <cell r="O378">
            <v>-42</v>
          </cell>
          <cell r="P378">
            <v>42</v>
          </cell>
          <cell r="Q378">
            <v>33</v>
          </cell>
          <cell r="R378">
            <v>29</v>
          </cell>
          <cell r="S378">
            <v>62</v>
          </cell>
          <cell r="T378">
            <v>0</v>
          </cell>
          <cell r="U378">
            <v>42</v>
          </cell>
          <cell r="V378">
            <v>-59</v>
          </cell>
          <cell r="W378">
            <v>115</v>
          </cell>
          <cell r="X378">
            <v>98</v>
          </cell>
          <cell r="Y378">
            <v>0</v>
          </cell>
          <cell r="Z378">
            <v>0</v>
          </cell>
          <cell r="AA378">
            <v>0</v>
          </cell>
          <cell r="AB378">
            <v>0</v>
          </cell>
          <cell r="AC378">
            <v>0</v>
          </cell>
          <cell r="AD378">
            <v>-168</v>
          </cell>
          <cell r="AE378">
            <v>160</v>
          </cell>
          <cell r="AF378">
            <v>0</v>
          </cell>
          <cell r="AG378">
            <v>0</v>
          </cell>
          <cell r="AH378">
            <v>-8</v>
          </cell>
          <cell r="AI378">
            <v>-166</v>
          </cell>
          <cell r="AJ378">
            <v>174</v>
          </cell>
          <cell r="AK378">
            <v>-195</v>
          </cell>
          <cell r="AL378">
            <v>26</v>
          </cell>
          <cell r="AM378">
            <v>-161</v>
          </cell>
          <cell r="AN378">
            <v>0</v>
          </cell>
          <cell r="AO378">
            <v>0</v>
          </cell>
          <cell r="AP378">
            <v>0</v>
          </cell>
          <cell r="AQ378">
            <v>0</v>
          </cell>
          <cell r="AR378">
            <v>0</v>
          </cell>
          <cell r="AS378">
            <v>0</v>
          </cell>
          <cell r="AT378">
            <v>0</v>
          </cell>
        </row>
        <row r="379">
          <cell r="B379">
            <v>2195</v>
          </cell>
          <cell r="C379">
            <v>730</v>
          </cell>
          <cell r="D379">
            <v>-3279</v>
          </cell>
          <cell r="E379">
            <v>-883</v>
          </cell>
          <cell r="F379">
            <v>267</v>
          </cell>
          <cell r="G379">
            <v>-7</v>
          </cell>
          <cell r="H379">
            <v>304</v>
          </cell>
          <cell r="I379">
            <v>959</v>
          </cell>
          <cell r="J379">
            <v>-398</v>
          </cell>
          <cell r="K379">
            <v>-62</v>
          </cell>
          <cell r="L379">
            <v>-293</v>
          </cell>
          <cell r="M379">
            <v>-197</v>
          </cell>
          <cell r="N379">
            <v>-950</v>
          </cell>
          <cell r="O379">
            <v>-367</v>
          </cell>
          <cell r="P379">
            <v>329</v>
          </cell>
          <cell r="Q379">
            <v>2</v>
          </cell>
          <cell r="R379">
            <v>-89</v>
          </cell>
          <cell r="S379">
            <v>-125</v>
          </cell>
          <cell r="T379">
            <v>-97</v>
          </cell>
          <cell r="U379">
            <v>370</v>
          </cell>
          <cell r="V379">
            <v>174</v>
          </cell>
          <cell r="W379">
            <v>-263</v>
          </cell>
          <cell r="X379">
            <v>184</v>
          </cell>
          <cell r="Y379">
            <v>-5.6142719999999144</v>
          </cell>
          <cell r="Z379">
            <v>48.656192000000033</v>
          </cell>
          <cell r="AA379">
            <v>84.176192000000128</v>
          </cell>
          <cell r="AB379">
            <v>-58.896192000000156</v>
          </cell>
          <cell r="AC379">
            <v>68.321920000000091</v>
          </cell>
          <cell r="AD379">
            <v>-135</v>
          </cell>
          <cell r="AE379">
            <v>-25</v>
          </cell>
          <cell r="AF379">
            <v>84.28277453075998</v>
          </cell>
          <cell r="AG379">
            <v>-84.28277453075998</v>
          </cell>
          <cell r="AH379">
            <v>-160</v>
          </cell>
          <cell r="AI379">
            <v>59</v>
          </cell>
          <cell r="AJ379">
            <v>-56</v>
          </cell>
          <cell r="AK379">
            <v>-61</v>
          </cell>
          <cell r="AL379">
            <v>-310</v>
          </cell>
          <cell r="AM379">
            <v>-368</v>
          </cell>
          <cell r="AN379">
            <v>-208</v>
          </cell>
          <cell r="AO379">
            <v>-208</v>
          </cell>
          <cell r="AP379">
            <v>587.90314491913</v>
          </cell>
          <cell r="AQ379">
            <v>110.52400423763743</v>
          </cell>
          <cell r="AR379">
            <v>105.18609531812467</v>
          </cell>
          <cell r="AS379">
            <v>113.3897781411938</v>
          </cell>
          <cell r="AT379">
            <v>122.67318551102858</v>
          </cell>
        </row>
        <row r="380">
          <cell r="G380">
            <v>0</v>
          </cell>
          <cell r="H380">
            <v>0</v>
          </cell>
          <cell r="I380">
            <v>0</v>
          </cell>
          <cell r="J380">
            <v>-132</v>
          </cell>
          <cell r="K380">
            <v>-3</v>
          </cell>
          <cell r="L380">
            <v>-37</v>
          </cell>
          <cell r="M380">
            <v>-54</v>
          </cell>
          <cell r="N380">
            <v>-226</v>
          </cell>
          <cell r="O380">
            <v>-9</v>
          </cell>
          <cell r="P380">
            <v>-103</v>
          </cell>
          <cell r="Q380">
            <v>0</v>
          </cell>
          <cell r="R380">
            <v>0</v>
          </cell>
          <cell r="S380">
            <v>-112</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row>
        <row r="381">
          <cell r="G381">
            <v>0</v>
          </cell>
          <cell r="H381">
            <v>0</v>
          </cell>
          <cell r="I381">
            <v>577</v>
          </cell>
          <cell r="J381">
            <v>73</v>
          </cell>
          <cell r="K381">
            <v>17</v>
          </cell>
          <cell r="L381">
            <v>158</v>
          </cell>
          <cell r="M381">
            <v>22</v>
          </cell>
          <cell r="N381">
            <v>270</v>
          </cell>
          <cell r="O381">
            <v>61</v>
          </cell>
          <cell r="P381">
            <v>212</v>
          </cell>
          <cell r="Q381">
            <v>-8</v>
          </cell>
          <cell r="R381">
            <v>251</v>
          </cell>
          <cell r="S381">
            <v>516</v>
          </cell>
          <cell r="T381">
            <v>-82</v>
          </cell>
          <cell r="U381">
            <v>-1016</v>
          </cell>
          <cell r="V381">
            <v>267</v>
          </cell>
          <cell r="W381">
            <v>262</v>
          </cell>
          <cell r="X381">
            <v>-569</v>
          </cell>
          <cell r="Y381">
            <v>0</v>
          </cell>
          <cell r="Z381">
            <v>0</v>
          </cell>
          <cell r="AA381">
            <v>0</v>
          </cell>
          <cell r="AB381">
            <v>0</v>
          </cell>
          <cell r="AC381">
            <v>0</v>
          </cell>
          <cell r="AD381">
            <v>2</v>
          </cell>
          <cell r="AE381">
            <v>124</v>
          </cell>
          <cell r="AF381">
            <v>0</v>
          </cell>
          <cell r="AG381">
            <v>0</v>
          </cell>
          <cell r="AH381">
            <v>126</v>
          </cell>
          <cell r="AI381">
            <v>34</v>
          </cell>
          <cell r="AJ381">
            <v>586</v>
          </cell>
          <cell r="AK381">
            <v>102</v>
          </cell>
          <cell r="AL381">
            <v>14</v>
          </cell>
          <cell r="AM381">
            <v>736</v>
          </cell>
          <cell r="AN381">
            <v>0</v>
          </cell>
          <cell r="AO381">
            <v>0</v>
          </cell>
          <cell r="AP381">
            <v>0</v>
          </cell>
          <cell r="AQ381">
            <v>0</v>
          </cell>
          <cell r="AR381">
            <v>0</v>
          </cell>
          <cell r="AS381">
            <v>0</v>
          </cell>
          <cell r="AT381">
            <v>0</v>
          </cell>
        </row>
        <row r="382">
          <cell r="B382">
            <v>-476</v>
          </cell>
          <cell r="C382">
            <v>2842</v>
          </cell>
          <cell r="D382">
            <v>2229</v>
          </cell>
          <cell r="E382">
            <v>-1885</v>
          </cell>
          <cell r="F382">
            <v>-1311</v>
          </cell>
          <cell r="G382">
            <v>-608</v>
          </cell>
          <cell r="H382">
            <v>-700.23279999999977</v>
          </cell>
          <cell r="I382">
            <v>-77.001800000000003</v>
          </cell>
          <cell r="J382">
            <v>-391.21599999999989</v>
          </cell>
          <cell r="K382">
            <v>-323.03099999999995</v>
          </cell>
          <cell r="L382">
            <v>-8.6310000000000855</v>
          </cell>
          <cell r="M382">
            <v>-478.75</v>
          </cell>
          <cell r="N382">
            <v>-1201.6279999999999</v>
          </cell>
          <cell r="O382">
            <v>479.15999999999985</v>
          </cell>
          <cell r="P382">
            <v>-50.019999999999982</v>
          </cell>
          <cell r="Q382">
            <v>-161.31999999999994</v>
          </cell>
          <cell r="R382">
            <v>-811.98</v>
          </cell>
          <cell r="S382">
            <v>-544.16000000000008</v>
          </cell>
          <cell r="T382">
            <v>-901.5</v>
          </cell>
          <cell r="U382">
            <v>-78</v>
          </cell>
          <cell r="V382">
            <v>-272.92999999999984</v>
          </cell>
          <cell r="W382">
            <v>-1169.75</v>
          </cell>
          <cell r="X382">
            <v>-2422.1799999999998</v>
          </cell>
          <cell r="Y382">
            <v>207.03731031888901</v>
          </cell>
          <cell r="Z382">
            <v>0</v>
          </cell>
          <cell r="AA382">
            <v>0</v>
          </cell>
          <cell r="AB382">
            <v>0</v>
          </cell>
          <cell r="AC382">
            <v>207.03731031888901</v>
          </cell>
          <cell r="AD382">
            <v>-529.09484632237354</v>
          </cell>
          <cell r="AE382">
            <v>-377.52059291374826</v>
          </cell>
          <cell r="AF382">
            <v>0</v>
          </cell>
          <cell r="AG382">
            <v>0</v>
          </cell>
          <cell r="AH382">
            <v>-906.6154392361218</v>
          </cell>
          <cell r="AI382">
            <v>-665.79287999999997</v>
          </cell>
          <cell r="AJ382">
            <v>-556.67729699999995</v>
          </cell>
          <cell r="AK382">
            <v>-1218.1094000000007</v>
          </cell>
          <cell r="AL382">
            <v>-678.94680000000017</v>
          </cell>
          <cell r="AM382">
            <v>-2978.5263770000029</v>
          </cell>
          <cell r="AN382">
            <v>0</v>
          </cell>
          <cell r="AO382">
            <v>0</v>
          </cell>
          <cell r="AP382">
            <v>0</v>
          </cell>
          <cell r="AQ382">
            <v>0</v>
          </cell>
          <cell r="AR382">
            <v>0</v>
          </cell>
          <cell r="AS382">
            <v>0</v>
          </cell>
          <cell r="AT382">
            <v>0</v>
          </cell>
        </row>
        <row r="387">
          <cell r="B387">
            <v>10719</v>
          </cell>
          <cell r="C387">
            <v>5556</v>
          </cell>
          <cell r="D387">
            <v>5623</v>
          </cell>
          <cell r="E387">
            <v>7835</v>
          </cell>
          <cell r="F387">
            <v>11053</v>
          </cell>
          <cell r="G387">
            <v>9908</v>
          </cell>
          <cell r="H387">
            <v>9205</v>
          </cell>
          <cell r="I387">
            <v>8246</v>
          </cell>
          <cell r="J387">
            <v>7681</v>
          </cell>
          <cell r="K387">
            <v>7455</v>
          </cell>
          <cell r="L387">
            <v>6225</v>
          </cell>
          <cell r="M387">
            <v>7100</v>
          </cell>
          <cell r="N387">
            <v>7100</v>
          </cell>
          <cell r="O387">
            <v>7614</v>
          </cell>
          <cell r="P387">
            <v>8680</v>
          </cell>
          <cell r="Q387">
            <v>10040</v>
          </cell>
          <cell r="R387">
            <v>13625</v>
          </cell>
          <cell r="S387">
            <v>13625</v>
          </cell>
          <cell r="T387">
            <v>14681</v>
          </cell>
          <cell r="U387">
            <v>15360</v>
          </cell>
          <cell r="V387">
            <v>16968</v>
          </cell>
          <cell r="W387">
            <v>16881</v>
          </cell>
          <cell r="X387">
            <v>16881</v>
          </cell>
          <cell r="Y387">
            <v>15686</v>
          </cell>
          <cell r="Z387">
            <v>16520</v>
          </cell>
          <cell r="AA387">
            <v>17009</v>
          </cell>
          <cell r="AB387">
            <v>17523</v>
          </cell>
          <cell r="AC387">
            <v>17523</v>
          </cell>
          <cell r="AD387">
            <v>16487</v>
          </cell>
          <cell r="AE387">
            <v>16594</v>
          </cell>
          <cell r="AF387">
            <v>13870.072198626121</v>
          </cell>
          <cell r="AG387">
            <v>13782.561629350095</v>
          </cell>
          <cell r="AH387">
            <v>13782.561629350095</v>
          </cell>
          <cell r="AI387">
            <v>16489</v>
          </cell>
          <cell r="AJ387">
            <v>15433</v>
          </cell>
          <cell r="AK387">
            <v>12839</v>
          </cell>
          <cell r="AL387">
            <v>14169</v>
          </cell>
          <cell r="AM387">
            <v>14169</v>
          </cell>
          <cell r="AN387">
            <v>14940.755326592</v>
          </cell>
          <cell r="AO387">
            <v>13801.755326592</v>
          </cell>
          <cell r="AP387">
            <v>13801.667413839999</v>
          </cell>
          <cell r="AQ387">
            <v>11742.507229204452</v>
          </cell>
          <cell r="AR387">
            <v>9308.1844124789768</v>
          </cell>
          <cell r="AS387">
            <v>4058.5437869220627</v>
          </cell>
          <cell r="AT387">
            <v>-903.81691283608006</v>
          </cell>
        </row>
        <row r="389">
          <cell r="B389">
            <v>9091</v>
          </cell>
          <cell r="C389">
            <v>5413</v>
          </cell>
          <cell r="D389">
            <v>5344</v>
          </cell>
          <cell r="E389">
            <v>7397</v>
          </cell>
          <cell r="F389">
            <v>10264</v>
          </cell>
          <cell r="G389">
            <v>9180</v>
          </cell>
          <cell r="H389">
            <v>8324</v>
          </cell>
          <cell r="I389">
            <v>7262</v>
          </cell>
          <cell r="J389">
            <v>6810</v>
          </cell>
          <cell r="K389">
            <v>6544</v>
          </cell>
          <cell r="L389">
            <v>5399</v>
          </cell>
          <cell r="M389">
            <v>6194</v>
          </cell>
          <cell r="N389">
            <v>6194</v>
          </cell>
          <cell r="O389">
            <v>6561</v>
          </cell>
          <cell r="P389">
            <v>7679</v>
          </cell>
          <cell r="Q389">
            <v>9193</v>
          </cell>
          <cell r="R389">
            <v>12038</v>
          </cell>
          <cell r="S389">
            <v>12038</v>
          </cell>
          <cell r="T389">
            <v>13044</v>
          </cell>
          <cell r="U389">
            <v>14008</v>
          </cell>
          <cell r="V389">
            <v>15795</v>
          </cell>
          <cell r="W389">
            <v>15659</v>
          </cell>
          <cell r="X389">
            <v>15659</v>
          </cell>
          <cell r="Y389">
            <v>13889</v>
          </cell>
          <cell r="Z389">
            <v>14033</v>
          </cell>
          <cell r="AA389">
            <v>14579</v>
          </cell>
          <cell r="AB389">
            <v>15204</v>
          </cell>
          <cell r="AC389">
            <v>15204</v>
          </cell>
          <cell r="AD389">
            <v>13924</v>
          </cell>
          <cell r="AE389">
            <v>14100</v>
          </cell>
          <cell r="AF389">
            <v>11707.072198626121</v>
          </cell>
          <cell r="AG389">
            <v>12205.561629350095</v>
          </cell>
          <cell r="AH389">
            <v>12205.561629350095</v>
          </cell>
          <cell r="AI389">
            <v>13924</v>
          </cell>
          <cell r="AJ389">
            <v>14100</v>
          </cell>
          <cell r="AK389">
            <v>11609</v>
          </cell>
          <cell r="AL389">
            <v>13599</v>
          </cell>
          <cell r="AM389">
            <v>13599</v>
          </cell>
          <cell r="AN389">
            <v>14737.755326592</v>
          </cell>
          <cell r="AO389">
            <v>13598.755326592</v>
          </cell>
          <cell r="AP389">
            <v>13598.667413839999</v>
          </cell>
          <cell r="AQ389">
            <v>11216.507229204452</v>
          </cell>
          <cell r="AR389">
            <v>8439.1844124789768</v>
          </cell>
          <cell r="AS389">
            <v>2825.5437869220627</v>
          </cell>
          <cell r="AT389">
            <v>-2500.8169128360801</v>
          </cell>
        </row>
        <row r="390">
          <cell r="Y390">
            <v>-1767</v>
          </cell>
          <cell r="Z390">
            <v>144</v>
          </cell>
          <cell r="AA390">
            <v>546</v>
          </cell>
          <cell r="AB390">
            <v>625</v>
          </cell>
          <cell r="AC390">
            <v>-452</v>
          </cell>
          <cell r="AD390">
            <v>-1735</v>
          </cell>
          <cell r="AE390">
            <v>176</v>
          </cell>
          <cell r="AF390">
            <v>-2392.9278013738785</v>
          </cell>
          <cell r="AG390">
            <v>498.48943072397378</v>
          </cell>
          <cell r="AH390">
            <v>-3453.4383706499048</v>
          </cell>
          <cell r="AN390">
            <v>1138.7553265919996</v>
          </cell>
          <cell r="AO390">
            <v>-0.24467340800038073</v>
          </cell>
          <cell r="AP390">
            <v>-8.7912752000192995E-2</v>
          </cell>
          <cell r="AQ390">
            <v>-2382.1601846355479</v>
          </cell>
          <cell r="AR390">
            <v>-2777.3228167254747</v>
          </cell>
          <cell r="AS390">
            <v>-5613.6406255569145</v>
          </cell>
          <cell r="AT390">
            <v>-5326.3606997581428</v>
          </cell>
        </row>
        <row r="391">
          <cell r="B391">
            <v>9402</v>
          </cell>
          <cell r="C391">
            <v>6607</v>
          </cell>
          <cell r="D391">
            <v>7546</v>
          </cell>
          <cell r="E391">
            <v>11759</v>
          </cell>
          <cell r="F391">
            <v>14105</v>
          </cell>
          <cell r="G391">
            <v>13001</v>
          </cell>
          <cell r="H391">
            <v>12656</v>
          </cell>
          <cell r="I391">
            <v>11507</v>
          </cell>
          <cell r="J391">
            <v>11188</v>
          </cell>
          <cell r="K391">
            <v>10548</v>
          </cell>
          <cell r="L391">
            <v>9207</v>
          </cell>
          <cell r="M391">
            <v>9723</v>
          </cell>
          <cell r="N391">
            <v>9723</v>
          </cell>
          <cell r="O391">
            <v>9982</v>
          </cell>
          <cell r="P391">
            <v>10708</v>
          </cell>
          <cell r="Q391">
            <v>12684</v>
          </cell>
          <cell r="R391">
            <v>15229</v>
          </cell>
          <cell r="S391">
            <v>15229</v>
          </cell>
          <cell r="T391">
            <v>15976</v>
          </cell>
          <cell r="U391">
            <v>16655</v>
          </cell>
          <cell r="V391">
            <v>18330</v>
          </cell>
          <cell r="W391">
            <v>17818</v>
          </cell>
          <cell r="X391">
            <v>17818</v>
          </cell>
          <cell r="Y391">
            <v>15764</v>
          </cell>
          <cell r="Z391">
            <v>15725.054313912</v>
          </cell>
          <cell r="AA391">
            <v>16232.75346136</v>
          </cell>
          <cell r="AB391">
            <v>16674.507529126</v>
          </cell>
          <cell r="AC391">
            <v>16674.507529126</v>
          </cell>
          <cell r="AD391">
            <v>15796</v>
          </cell>
          <cell r="AE391">
            <v>15499</v>
          </cell>
          <cell r="AF391">
            <v>13064.159296965434</v>
          </cell>
          <cell r="AG391">
            <v>13416.830994935679</v>
          </cell>
          <cell r="AH391">
            <v>13416.830994935679</v>
          </cell>
          <cell r="AI391">
            <v>15796</v>
          </cell>
          <cell r="AJ391">
            <v>15499</v>
          </cell>
          <cell r="AK391">
            <v>13006</v>
          </cell>
          <cell r="AL391">
            <v>14849</v>
          </cell>
          <cell r="AM391">
            <v>14849</v>
          </cell>
          <cell r="AN391">
            <v>15522</v>
          </cell>
          <cell r="AO391">
            <v>14383</v>
          </cell>
          <cell r="AP391">
            <v>13841</v>
          </cell>
          <cell r="AQ391">
            <v>11240.404022925053</v>
          </cell>
          <cell r="AR391">
            <v>8463.0829157836779</v>
          </cell>
          <cell r="AS391">
            <v>2849.4439714920627</v>
          </cell>
          <cell r="AT391">
            <v>-2476.9167282660801</v>
          </cell>
        </row>
        <row r="392">
          <cell r="B392">
            <v>3439</v>
          </cell>
          <cell r="C392">
            <v>3439</v>
          </cell>
          <cell r="D392">
            <v>3439</v>
          </cell>
          <cell r="E392">
            <v>3439</v>
          </cell>
          <cell r="F392">
            <v>3439</v>
          </cell>
          <cell r="G392">
            <v>3440</v>
          </cell>
          <cell r="H392">
            <v>3440</v>
          </cell>
          <cell r="I392">
            <v>3440</v>
          </cell>
          <cell r="J392">
            <v>3440</v>
          </cell>
          <cell r="K392">
            <v>3440</v>
          </cell>
          <cell r="L392">
            <v>3440</v>
          </cell>
          <cell r="M392">
            <v>3440</v>
          </cell>
          <cell r="N392">
            <v>3440</v>
          </cell>
          <cell r="O392">
            <v>3440</v>
          </cell>
          <cell r="P392">
            <v>3440</v>
          </cell>
          <cell r="Q392">
            <v>3440</v>
          </cell>
          <cell r="R392">
            <v>3440</v>
          </cell>
          <cell r="S392">
            <v>3440</v>
          </cell>
          <cell r="T392">
            <v>3440</v>
          </cell>
          <cell r="U392">
            <v>3440</v>
          </cell>
          <cell r="V392">
            <v>3440</v>
          </cell>
          <cell r="W392">
            <v>3440</v>
          </cell>
          <cell r="X392">
            <v>3440</v>
          </cell>
          <cell r="Y392">
            <v>3440</v>
          </cell>
          <cell r="Z392">
            <v>3440</v>
          </cell>
          <cell r="AA392">
            <v>3440</v>
          </cell>
          <cell r="AB392">
            <v>3440</v>
          </cell>
          <cell r="AC392">
            <v>3440</v>
          </cell>
          <cell r="AD392">
            <v>3198</v>
          </cell>
          <cell r="AE392">
            <v>2942</v>
          </cell>
          <cell r="AF392">
            <v>2942</v>
          </cell>
          <cell r="AG392">
            <v>2942</v>
          </cell>
          <cell r="AH392">
            <v>2942</v>
          </cell>
          <cell r="AI392">
            <v>3198</v>
          </cell>
          <cell r="AJ392">
            <v>2942</v>
          </cell>
          <cell r="AK392">
            <v>2942</v>
          </cell>
          <cell r="AL392">
            <v>2942</v>
          </cell>
          <cell r="AM392">
            <v>2942</v>
          </cell>
          <cell r="AN392">
            <v>2942</v>
          </cell>
          <cell r="AO392">
            <v>3198</v>
          </cell>
          <cell r="AP392">
            <v>3198</v>
          </cell>
          <cell r="AQ392">
            <v>3198</v>
          </cell>
          <cell r="AR392">
            <v>3198</v>
          </cell>
          <cell r="AS392">
            <v>3198</v>
          </cell>
          <cell r="AT392">
            <v>3198</v>
          </cell>
        </row>
        <row r="393">
          <cell r="B393">
            <v>757.56443999999999</v>
          </cell>
          <cell r="C393">
            <v>75.900000000000006</v>
          </cell>
          <cell r="D393">
            <v>47.3</v>
          </cell>
          <cell r="E393">
            <v>10</v>
          </cell>
          <cell r="F393">
            <v>269</v>
          </cell>
          <cell r="G393">
            <v>75</v>
          </cell>
          <cell r="H393">
            <v>486</v>
          </cell>
          <cell r="I393">
            <v>463</v>
          </cell>
          <cell r="J393">
            <v>495</v>
          </cell>
          <cell r="K393">
            <v>541</v>
          </cell>
          <cell r="L393">
            <v>540</v>
          </cell>
          <cell r="M393">
            <v>380</v>
          </cell>
          <cell r="N393">
            <v>380</v>
          </cell>
          <cell r="O393">
            <v>459</v>
          </cell>
          <cell r="P393">
            <v>476</v>
          </cell>
          <cell r="Q393">
            <v>628</v>
          </cell>
          <cell r="R393">
            <v>456</v>
          </cell>
          <cell r="S393">
            <v>456</v>
          </cell>
          <cell r="T393">
            <v>445</v>
          </cell>
          <cell r="U393">
            <v>254</v>
          </cell>
          <cell r="V393">
            <v>189</v>
          </cell>
          <cell r="W393">
            <v>183</v>
          </cell>
          <cell r="X393">
            <v>183</v>
          </cell>
          <cell r="Y393">
            <v>183</v>
          </cell>
          <cell r="Z393">
            <v>183</v>
          </cell>
          <cell r="AA393">
            <v>183</v>
          </cell>
          <cell r="AB393">
            <v>183</v>
          </cell>
          <cell r="AC393">
            <v>183</v>
          </cell>
          <cell r="AD393">
            <v>124</v>
          </cell>
          <cell r="AE393">
            <v>42</v>
          </cell>
          <cell r="AF393">
            <v>42</v>
          </cell>
          <cell r="AG393">
            <v>42</v>
          </cell>
          <cell r="AH393">
            <v>42</v>
          </cell>
          <cell r="AI393">
            <v>124</v>
          </cell>
          <cell r="AJ393">
            <v>42</v>
          </cell>
          <cell r="AK393">
            <v>42</v>
          </cell>
          <cell r="AL393">
            <v>42</v>
          </cell>
          <cell r="AM393">
            <v>42</v>
          </cell>
          <cell r="AN393">
            <v>42</v>
          </cell>
          <cell r="AO393">
            <v>124</v>
          </cell>
          <cell r="AP393">
            <v>124</v>
          </cell>
          <cell r="AQ393">
            <v>124</v>
          </cell>
          <cell r="AR393">
            <v>124</v>
          </cell>
          <cell r="AS393">
            <v>124</v>
          </cell>
          <cell r="AT393">
            <v>124</v>
          </cell>
        </row>
        <row r="394">
          <cell r="B394">
            <v>671.02618000000007</v>
          </cell>
          <cell r="C394">
            <v>40.9</v>
          </cell>
          <cell r="G394">
            <v>199</v>
          </cell>
          <cell r="H394">
            <v>199</v>
          </cell>
          <cell r="I394">
            <v>212</v>
          </cell>
          <cell r="J394">
            <v>226</v>
          </cell>
          <cell r="K394">
            <v>227</v>
          </cell>
          <cell r="L394">
            <v>218</v>
          </cell>
          <cell r="M394">
            <v>215</v>
          </cell>
          <cell r="N394">
            <v>215</v>
          </cell>
          <cell r="O394">
            <v>212</v>
          </cell>
          <cell r="P394">
            <v>209</v>
          </cell>
          <cell r="Q394">
            <v>209</v>
          </cell>
          <cell r="R394">
            <v>208</v>
          </cell>
          <cell r="S394">
            <v>208</v>
          </cell>
          <cell r="T394">
            <v>201</v>
          </cell>
          <cell r="U394">
            <v>201</v>
          </cell>
          <cell r="V394">
            <v>198</v>
          </cell>
          <cell r="W394">
            <v>196</v>
          </cell>
          <cell r="X394">
            <v>196</v>
          </cell>
          <cell r="Y394">
            <v>196</v>
          </cell>
          <cell r="Z394">
            <v>196</v>
          </cell>
          <cell r="AA394">
            <v>196</v>
          </cell>
          <cell r="AB394">
            <v>196</v>
          </cell>
          <cell r="AC394">
            <v>196</v>
          </cell>
          <cell r="AD394">
            <v>197</v>
          </cell>
          <cell r="AE394">
            <v>193</v>
          </cell>
          <cell r="AF394">
            <v>193</v>
          </cell>
          <cell r="AG394">
            <v>193</v>
          </cell>
          <cell r="AH394">
            <v>193</v>
          </cell>
          <cell r="AI394">
            <v>197</v>
          </cell>
          <cell r="AJ394">
            <v>193</v>
          </cell>
          <cell r="AK394">
            <v>193</v>
          </cell>
          <cell r="AL394">
            <v>193</v>
          </cell>
          <cell r="AM394">
            <v>193</v>
          </cell>
          <cell r="AN394">
            <v>193</v>
          </cell>
          <cell r="AO394">
            <v>197</v>
          </cell>
          <cell r="AP394">
            <v>197</v>
          </cell>
          <cell r="AQ394">
            <v>197</v>
          </cell>
          <cell r="AR394">
            <v>197</v>
          </cell>
          <cell r="AS394">
            <v>197</v>
          </cell>
          <cell r="AT394">
            <v>197</v>
          </cell>
        </row>
        <row r="395">
          <cell r="B395">
            <v>4534.4093800000001</v>
          </cell>
          <cell r="C395">
            <v>3051.2</v>
          </cell>
          <cell r="D395">
            <v>4059.7</v>
          </cell>
          <cell r="E395">
            <v>8310</v>
          </cell>
          <cell r="F395">
            <v>10397</v>
          </cell>
          <cell r="G395">
            <v>9287</v>
          </cell>
          <cell r="H395">
            <v>8531</v>
          </cell>
          <cell r="I395">
            <v>7392</v>
          </cell>
          <cell r="J395">
            <v>7027</v>
          </cell>
          <cell r="K395">
            <v>6340</v>
          </cell>
          <cell r="L395">
            <v>5009</v>
          </cell>
          <cell r="M395">
            <v>5688</v>
          </cell>
          <cell r="N395">
            <v>5688</v>
          </cell>
          <cell r="O395">
            <v>5871</v>
          </cell>
          <cell r="P395">
            <v>6583</v>
          </cell>
          <cell r="Q395">
            <v>8407</v>
          </cell>
          <cell r="R395">
            <v>11125</v>
          </cell>
          <cell r="S395">
            <v>11125</v>
          </cell>
          <cell r="T395">
            <v>11890</v>
          </cell>
          <cell r="U395">
            <v>12760</v>
          </cell>
          <cell r="V395">
            <v>14503</v>
          </cell>
          <cell r="W395">
            <v>13999</v>
          </cell>
          <cell r="X395">
            <v>13999</v>
          </cell>
          <cell r="Y395">
            <v>11945</v>
          </cell>
          <cell r="Z395">
            <v>11906.054313912</v>
          </cell>
          <cell r="AA395">
            <v>12413.75346136</v>
          </cell>
          <cell r="AB395">
            <v>12855.507529126</v>
          </cell>
          <cell r="AC395">
            <v>12855.507529126</v>
          </cell>
          <cell r="AD395">
            <v>12277</v>
          </cell>
          <cell r="AE395">
            <v>12322</v>
          </cell>
          <cell r="AF395">
            <v>9887.1592969654339</v>
          </cell>
          <cell r="AG395">
            <v>10239.830994935679</v>
          </cell>
          <cell r="AH395">
            <v>10239.830994935679</v>
          </cell>
          <cell r="AI395">
            <v>12277</v>
          </cell>
          <cell r="AJ395">
            <v>12322</v>
          </cell>
          <cell r="AK395">
            <v>9829</v>
          </cell>
          <cell r="AL395">
            <v>11672</v>
          </cell>
          <cell r="AM395">
            <v>11672</v>
          </cell>
          <cell r="AN395">
            <v>12345</v>
          </cell>
          <cell r="AO395">
            <v>10864</v>
          </cell>
          <cell r="AP395">
            <v>10322</v>
          </cell>
          <cell r="AQ395">
            <v>7721.4040229250531</v>
          </cell>
          <cell r="AR395">
            <v>4944.0829157836779</v>
          </cell>
          <cell r="AS395">
            <v>-669.5560285079373</v>
          </cell>
          <cell r="AT395">
            <v>-5995.9167282660801</v>
          </cell>
        </row>
        <row r="396">
          <cell r="C396">
            <v>2044.3</v>
          </cell>
          <cell r="D396">
            <v>3184</v>
          </cell>
          <cell r="E396">
            <v>7360</v>
          </cell>
          <cell r="F396">
            <v>9743</v>
          </cell>
          <cell r="G396">
            <v>8613</v>
          </cell>
          <cell r="H396">
            <v>8324</v>
          </cell>
          <cell r="I396">
            <v>7230</v>
          </cell>
          <cell r="J396">
            <v>6983</v>
          </cell>
          <cell r="K396">
            <v>6261</v>
          </cell>
          <cell r="L396">
            <v>4934</v>
          </cell>
          <cell r="M396">
            <v>5464</v>
          </cell>
          <cell r="N396">
            <v>5464</v>
          </cell>
          <cell r="O396">
            <v>5752</v>
          </cell>
          <cell r="P396">
            <v>6451</v>
          </cell>
          <cell r="Q396">
            <v>8427</v>
          </cell>
          <cell r="R396">
            <v>10965</v>
          </cell>
          <cell r="S396">
            <v>10965</v>
          </cell>
          <cell r="T396">
            <v>11722</v>
          </cell>
          <cell r="U396">
            <v>12404</v>
          </cell>
          <cell r="V396">
            <v>14082</v>
          </cell>
          <cell r="W396">
            <v>13720</v>
          </cell>
          <cell r="X396">
            <v>13720</v>
          </cell>
          <cell r="Y396">
            <v>11777</v>
          </cell>
          <cell r="Z396">
            <v>11738.054313912</v>
          </cell>
          <cell r="AA396">
            <v>12245.75346136</v>
          </cell>
          <cell r="AB396">
            <v>12687.507529126</v>
          </cell>
          <cell r="AC396">
            <v>12687.507529126</v>
          </cell>
          <cell r="AD396">
            <v>11956</v>
          </cell>
          <cell r="AE396">
            <v>11908</v>
          </cell>
          <cell r="AF396">
            <v>9473.1592969654339</v>
          </cell>
          <cell r="AG396">
            <v>9825.830994935679</v>
          </cell>
          <cell r="AH396">
            <v>9960.830994935679</v>
          </cell>
          <cell r="AI396">
            <v>11956</v>
          </cell>
          <cell r="AJ396">
            <v>11908</v>
          </cell>
          <cell r="AK396">
            <v>9415</v>
          </cell>
          <cell r="AL396">
            <v>11258</v>
          </cell>
          <cell r="AM396">
            <v>11504</v>
          </cell>
          <cell r="AN396">
            <v>12177</v>
          </cell>
          <cell r="AO396">
            <v>10696</v>
          </cell>
          <cell r="AP396">
            <v>8673</v>
          </cell>
          <cell r="AQ396">
            <v>6072.4040229250531</v>
          </cell>
          <cell r="AR396">
            <v>3295.0829157836779</v>
          </cell>
          <cell r="AS396">
            <v>-2318.5560285079373</v>
          </cell>
          <cell r="AT396">
            <v>-7644.9167282660801</v>
          </cell>
        </row>
        <row r="398">
          <cell r="B398">
            <v>311</v>
          </cell>
          <cell r="C398">
            <v>1194</v>
          </cell>
          <cell r="D398">
            <v>2202</v>
          </cell>
          <cell r="E398">
            <v>4362</v>
          </cell>
          <cell r="F398">
            <v>3841</v>
          </cell>
          <cell r="G398">
            <v>3821</v>
          </cell>
          <cell r="H398">
            <v>4332</v>
          </cell>
          <cell r="I398">
            <v>4245</v>
          </cell>
          <cell r="J398">
            <v>4378</v>
          </cell>
          <cell r="K398">
            <v>4004</v>
          </cell>
          <cell r="L398">
            <v>3808</v>
          </cell>
          <cell r="M398">
            <v>3529</v>
          </cell>
          <cell r="N398">
            <v>3529</v>
          </cell>
          <cell r="O398">
            <v>3421</v>
          </cell>
          <cell r="P398">
            <v>3029</v>
          </cell>
          <cell r="Q398">
            <v>3491</v>
          </cell>
          <cell r="R398">
            <v>3191</v>
          </cell>
          <cell r="S398">
            <v>3191</v>
          </cell>
          <cell r="T398">
            <v>2932</v>
          </cell>
          <cell r="U398">
            <v>2647</v>
          </cell>
          <cell r="V398">
            <v>2535</v>
          </cell>
          <cell r="W398">
            <v>2159</v>
          </cell>
          <cell r="X398">
            <v>2159</v>
          </cell>
          <cell r="Y398">
            <v>1875</v>
          </cell>
          <cell r="Z398">
            <v>1692.0543139120002</v>
          </cell>
          <cell r="AA398">
            <v>1653.7534613600001</v>
          </cell>
          <cell r="AB398">
            <v>1470.507529126</v>
          </cell>
          <cell r="AC398">
            <v>1470.5075291260002</v>
          </cell>
          <cell r="AD398">
            <v>1872</v>
          </cell>
          <cell r="AE398">
            <v>1399</v>
          </cell>
          <cell r="AF398">
            <v>1357.0870983393127</v>
          </cell>
          <cell r="AG398">
            <v>1211.2693655855844</v>
          </cell>
          <cell r="AH398">
            <v>1211.2693655855844</v>
          </cell>
          <cell r="AI398">
            <v>1872</v>
          </cell>
          <cell r="AJ398">
            <v>1399</v>
          </cell>
          <cell r="AK398">
            <v>1397</v>
          </cell>
          <cell r="AL398">
            <v>1250</v>
          </cell>
          <cell r="AM398">
            <v>1250</v>
          </cell>
          <cell r="AN398">
            <v>784.24467340799993</v>
          </cell>
          <cell r="AO398">
            <v>784.24467340799993</v>
          </cell>
          <cell r="AP398">
            <v>242.33258616000001</v>
          </cell>
          <cell r="AQ398">
            <v>23.89679372060241</v>
          </cell>
          <cell r="AR398">
            <v>23.89850330470026</v>
          </cell>
          <cell r="AS398">
            <v>23.900184570000022</v>
          </cell>
          <cell r="AT398">
            <v>23.900184570000022</v>
          </cell>
        </row>
        <row r="399">
          <cell r="D399">
            <v>998.10451999999998</v>
          </cell>
          <cell r="E399">
            <v>3011.7427668</v>
          </cell>
          <cell r="F399">
            <v>3248.9785719000001</v>
          </cell>
          <cell r="G399">
            <v>2946.28125</v>
          </cell>
          <cell r="H399">
            <v>2679.4815199999998</v>
          </cell>
          <cell r="I399">
            <v>2642.4189999999999</v>
          </cell>
          <cell r="J399">
            <v>2780.8110000000001</v>
          </cell>
          <cell r="K399">
            <v>2601.0704000000001</v>
          </cell>
          <cell r="L399">
            <v>2455.2689999999998</v>
          </cell>
          <cell r="M399">
            <v>2238.6689999999999</v>
          </cell>
          <cell r="N399">
            <v>2238.6689999999999</v>
          </cell>
          <cell r="O399">
            <v>2159.6536000000001</v>
          </cell>
          <cell r="P399">
            <v>1936.9086</v>
          </cell>
          <cell r="Q399">
            <v>2393.7222000000002</v>
          </cell>
          <cell r="R399">
            <v>2195.826</v>
          </cell>
          <cell r="S399">
            <v>2195.826</v>
          </cell>
          <cell r="T399">
            <v>2078.9630999999999</v>
          </cell>
          <cell r="U399">
            <v>1891.9802999999999</v>
          </cell>
          <cell r="V399">
            <v>1822.5419999999999</v>
          </cell>
          <cell r="W399">
            <v>1617.8107</v>
          </cell>
          <cell r="X399">
            <v>1617.8107</v>
          </cell>
          <cell r="Y399">
            <v>1583.7250307339998</v>
          </cell>
          <cell r="Z399">
            <v>1400.779344646</v>
          </cell>
          <cell r="AA399">
            <v>1362.4784920939999</v>
          </cell>
          <cell r="AB399">
            <v>1179.2325598599998</v>
          </cell>
          <cell r="AC399">
            <v>1179.23255986</v>
          </cell>
          <cell r="AD399">
            <v>1591</v>
          </cell>
          <cell r="AE399">
            <v>1378</v>
          </cell>
          <cell r="AF399">
            <v>1336.0870983393127</v>
          </cell>
          <cell r="AG399">
            <v>1190.2693655855844</v>
          </cell>
          <cell r="AH399">
            <v>1190.2693655855844</v>
          </cell>
          <cell r="AI399">
            <v>1591</v>
          </cell>
          <cell r="AJ399">
            <v>1378</v>
          </cell>
          <cell r="AK399">
            <v>1380</v>
          </cell>
          <cell r="AL399">
            <v>1226</v>
          </cell>
          <cell r="AM399">
            <v>1226</v>
          </cell>
          <cell r="AN399">
            <v>760.24467340799993</v>
          </cell>
          <cell r="AO399">
            <v>760.24467340799993</v>
          </cell>
          <cell r="AP399">
            <v>218.33258616000001</v>
          </cell>
          <cell r="AQ399">
            <v>-0.10320627939758796</v>
          </cell>
          <cell r="AR399">
            <v>-0.10149669529973945</v>
          </cell>
          <cell r="AS399">
            <v>-9.9815429999978389E-2</v>
          </cell>
          <cell r="AT399">
            <v>-9.9815429999978389E-2</v>
          </cell>
        </row>
        <row r="400">
          <cell r="B400">
            <v>311</v>
          </cell>
          <cell r="C400">
            <v>1194</v>
          </cell>
          <cell r="D400">
            <v>1203.8954800000001</v>
          </cell>
          <cell r="E400">
            <v>1350.2572332</v>
          </cell>
          <cell r="F400">
            <v>592.02142809999987</v>
          </cell>
          <cell r="G400">
            <v>874.71875</v>
          </cell>
          <cell r="H400">
            <v>1652.5184800000002</v>
          </cell>
          <cell r="I400">
            <v>1602.5810000000001</v>
          </cell>
          <cell r="J400">
            <v>1597.1889999999999</v>
          </cell>
          <cell r="K400">
            <v>1402.9295999999999</v>
          </cell>
          <cell r="L400">
            <v>1352.7310000000002</v>
          </cell>
          <cell r="M400">
            <v>1290.3310000000001</v>
          </cell>
          <cell r="N400">
            <v>1290.3310000000001</v>
          </cell>
          <cell r="O400">
            <v>1261.3463999999999</v>
          </cell>
          <cell r="P400">
            <v>1092.0914</v>
          </cell>
          <cell r="Q400">
            <v>1097.2777999999998</v>
          </cell>
          <cell r="R400">
            <v>995.17399999999998</v>
          </cell>
          <cell r="S400">
            <v>995.17399999999998</v>
          </cell>
          <cell r="T400">
            <v>853.03690000000006</v>
          </cell>
          <cell r="U400">
            <v>755.01970000000006</v>
          </cell>
          <cell r="V400">
            <v>712.45800000000008</v>
          </cell>
          <cell r="W400">
            <v>541.1893</v>
          </cell>
          <cell r="X400">
            <v>541.1893</v>
          </cell>
          <cell r="Y400">
            <v>291.2749692660002</v>
          </cell>
          <cell r="Z400">
            <v>291.2749692660002</v>
          </cell>
          <cell r="AA400">
            <v>291.2749692660002</v>
          </cell>
          <cell r="AB400">
            <v>291.2749692660002</v>
          </cell>
          <cell r="AC400">
            <v>291.2749692660002</v>
          </cell>
          <cell r="AD400">
            <v>281</v>
          </cell>
          <cell r="AE400">
            <v>21</v>
          </cell>
          <cell r="AF400">
            <v>21</v>
          </cell>
          <cell r="AG400">
            <v>21</v>
          </cell>
          <cell r="AH400">
            <v>21</v>
          </cell>
          <cell r="AI400">
            <v>281</v>
          </cell>
          <cell r="AJ400">
            <v>21</v>
          </cell>
          <cell r="AK400">
            <v>17</v>
          </cell>
          <cell r="AL400">
            <v>24</v>
          </cell>
          <cell r="AM400">
            <v>24</v>
          </cell>
          <cell r="AN400">
            <v>24</v>
          </cell>
          <cell r="AO400">
            <v>24</v>
          </cell>
          <cell r="AP400">
            <v>24</v>
          </cell>
          <cell r="AQ400">
            <v>24</v>
          </cell>
          <cell r="AR400">
            <v>24</v>
          </cell>
          <cell r="AS400">
            <v>24</v>
          </cell>
          <cell r="AT400">
            <v>24</v>
          </cell>
        </row>
        <row r="401">
          <cell r="G401" t="str">
            <v xml:space="preserve"> </v>
          </cell>
        </row>
        <row r="402">
          <cell r="B402">
            <v>1628</v>
          </cell>
          <cell r="C402">
            <v>143</v>
          </cell>
          <cell r="D402">
            <v>279</v>
          </cell>
          <cell r="E402">
            <v>438</v>
          </cell>
          <cell r="F402">
            <v>789</v>
          </cell>
          <cell r="G402">
            <v>728</v>
          </cell>
          <cell r="H402">
            <v>881</v>
          </cell>
          <cell r="I402">
            <v>984</v>
          </cell>
          <cell r="J402">
            <v>871</v>
          </cell>
          <cell r="K402">
            <v>911</v>
          </cell>
          <cell r="L402">
            <v>826</v>
          </cell>
          <cell r="M402">
            <v>906</v>
          </cell>
          <cell r="N402">
            <v>906</v>
          </cell>
          <cell r="O402">
            <v>1053</v>
          </cell>
          <cell r="P402">
            <v>1001</v>
          </cell>
          <cell r="Q402">
            <v>847</v>
          </cell>
          <cell r="R402">
            <v>1587</v>
          </cell>
          <cell r="S402">
            <v>1587</v>
          </cell>
          <cell r="T402">
            <v>1637</v>
          </cell>
          <cell r="U402">
            <v>1352</v>
          </cell>
          <cell r="V402">
            <v>1173</v>
          </cell>
          <cell r="W402">
            <v>1222</v>
          </cell>
          <cell r="X402">
            <v>1222</v>
          </cell>
          <cell r="Y402">
            <v>1797</v>
          </cell>
          <cell r="Z402">
            <v>2487</v>
          </cell>
          <cell r="AA402">
            <v>2430</v>
          </cell>
          <cell r="AB402">
            <v>2319</v>
          </cell>
          <cell r="AC402">
            <v>2319</v>
          </cell>
          <cell r="AD402">
            <v>2563</v>
          </cell>
          <cell r="AE402">
            <v>2494</v>
          </cell>
          <cell r="AF402">
            <v>2163</v>
          </cell>
          <cell r="AG402">
            <v>1577</v>
          </cell>
          <cell r="AH402">
            <v>1577</v>
          </cell>
          <cell r="AI402">
            <v>2565</v>
          </cell>
          <cell r="AJ402">
            <v>1333</v>
          </cell>
          <cell r="AK402">
            <v>1230</v>
          </cell>
          <cell r="AL402">
            <v>570</v>
          </cell>
          <cell r="AM402">
            <v>570</v>
          </cell>
          <cell r="AN402">
            <v>203</v>
          </cell>
          <cell r="AO402">
            <v>203</v>
          </cell>
          <cell r="AP402">
            <v>203</v>
          </cell>
          <cell r="AQ402">
            <v>526</v>
          </cell>
          <cell r="AR402">
            <v>869</v>
          </cell>
          <cell r="AS402">
            <v>1233</v>
          </cell>
          <cell r="AT402">
            <v>1597</v>
          </cell>
        </row>
        <row r="403">
          <cell r="Y403">
            <v>578</v>
          </cell>
          <cell r="Z403">
            <v>690</v>
          </cell>
          <cell r="AA403">
            <v>-57</v>
          </cell>
          <cell r="AB403">
            <v>-111</v>
          </cell>
          <cell r="AC403">
            <v>1100</v>
          </cell>
          <cell r="AD403">
            <v>1341</v>
          </cell>
          <cell r="AE403">
            <v>-69</v>
          </cell>
          <cell r="AF403">
            <v>-331</v>
          </cell>
          <cell r="AG403">
            <v>-586</v>
          </cell>
          <cell r="AH403">
            <v>355</v>
          </cell>
        </row>
        <row r="404">
          <cell r="Y404">
            <v>515</v>
          </cell>
          <cell r="Z404">
            <v>0</v>
          </cell>
          <cell r="AA404">
            <v>736</v>
          </cell>
          <cell r="AB404">
            <v>-151</v>
          </cell>
          <cell r="AC404">
            <v>1100</v>
          </cell>
        </row>
        <row r="405">
          <cell r="D405">
            <v>998.06263115000002</v>
          </cell>
          <cell r="E405">
            <v>1930.6908190050001</v>
          </cell>
          <cell r="F405">
            <v>225.50298321875002</v>
          </cell>
          <cell r="G405">
            <v>-178.58512000000002</v>
          </cell>
          <cell r="H405">
            <v>-268.10356300000001</v>
          </cell>
          <cell r="I405">
            <v>-201.32135889999998</v>
          </cell>
          <cell r="N405">
            <v>-461.47443399999997</v>
          </cell>
          <cell r="O405">
            <v>-41.448941099999999</v>
          </cell>
          <cell r="P405">
            <v>-196.6392319</v>
          </cell>
          <cell r="Q405">
            <v>462.71444730000002</v>
          </cell>
          <cell r="R405">
            <v>-196.2992844</v>
          </cell>
          <cell r="S405">
            <v>28.326989900000001</v>
          </cell>
          <cell r="T405">
            <v>-39.392738008800002</v>
          </cell>
          <cell r="U405">
            <v>-187.9644338217</v>
          </cell>
          <cell r="V405">
            <v>-38.569580838</v>
          </cell>
          <cell r="W405">
            <v>-185.74796831400002</v>
          </cell>
          <cell r="X405">
            <v>-452.09472091739997</v>
          </cell>
          <cell r="Y405">
            <v>-38.272565364000002</v>
          </cell>
          <cell r="Z405">
            <v>-184.116214566</v>
          </cell>
          <cell r="AA405">
            <v>-38.300852552000002</v>
          </cell>
          <cell r="AB405">
            <v>-184.25219404499998</v>
          </cell>
          <cell r="AC405">
            <v>-444.83413423600001</v>
          </cell>
          <cell r="AD405">
            <v>-38.522301577487774</v>
          </cell>
          <cell r="AE405">
            <v>-182.22931579450974</v>
          </cell>
          <cell r="AF405">
            <v>-37.570532105544245</v>
          </cell>
          <cell r="AG405">
            <v>-180.49422928615706</v>
          </cell>
          <cell r="AH405">
            <v>-445.65546757099997</v>
          </cell>
          <cell r="AI405">
            <v>-37.995580000000004</v>
          </cell>
          <cell r="AJ405">
            <v>-181.38319999999999</v>
          </cell>
          <cell r="AK405">
            <v>-38.244619999999998</v>
          </cell>
          <cell r="AL405">
            <v>-188.9924</v>
          </cell>
          <cell r="AM405">
            <v>-445.65546757099997</v>
          </cell>
          <cell r="AN405">
            <v>-465.11285004799993</v>
          </cell>
          <cell r="AO405">
            <v>-465.11285004799993</v>
          </cell>
          <cell r="AP405">
            <v>-540.52117916600002</v>
          </cell>
          <cell r="AQ405">
            <v>-219.52807862999998</v>
          </cell>
          <cell r="AR405">
            <v>0</v>
          </cell>
          <cell r="AS405">
            <v>0</v>
          </cell>
          <cell r="AT405">
            <v>0</v>
          </cell>
        </row>
        <row r="407">
          <cell r="D407">
            <v>998.06263115000002</v>
          </cell>
          <cell r="E407">
            <v>1930.6908190050001</v>
          </cell>
          <cell r="F407">
            <v>331.05961321875003</v>
          </cell>
          <cell r="G407">
            <v>0</v>
          </cell>
          <cell r="H407">
            <v>0</v>
          </cell>
          <cell r="I407">
            <v>0</v>
          </cell>
          <cell r="N407">
            <v>0</v>
          </cell>
          <cell r="O407">
            <v>0</v>
          </cell>
          <cell r="P407">
            <v>0</v>
          </cell>
          <cell r="Q407">
            <v>503.79</v>
          </cell>
          <cell r="R407">
            <v>0</v>
          </cell>
          <cell r="S407">
            <v>503.79</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row>
        <row r="409">
          <cell r="F409">
            <v>105.55663000000001</v>
          </cell>
          <cell r="G409">
            <v>178.58512000000002</v>
          </cell>
          <cell r="H409">
            <v>268.10356300000001</v>
          </cell>
          <cell r="I409">
            <v>201.32135889999998</v>
          </cell>
          <cell r="N409">
            <v>461.47443399999997</v>
          </cell>
          <cell r="O409">
            <v>41.448941099999999</v>
          </cell>
          <cell r="P409">
            <v>196.6392319</v>
          </cell>
          <cell r="Q409">
            <v>41.075552699999996</v>
          </cell>
          <cell r="R409">
            <v>196.2992844</v>
          </cell>
          <cell r="S409">
            <v>475.46301010000002</v>
          </cell>
          <cell r="T409">
            <v>39.392738008800002</v>
          </cell>
          <cell r="U409">
            <v>187.9644338217</v>
          </cell>
          <cell r="V409">
            <v>38.569580838</v>
          </cell>
          <cell r="W409">
            <v>185.74796831400002</v>
          </cell>
          <cell r="X409">
            <v>452.09472091739997</v>
          </cell>
          <cell r="Y409">
            <v>38.272565364000002</v>
          </cell>
          <cell r="Z409">
            <v>184.116214566</v>
          </cell>
          <cell r="AA409">
            <v>38.300852552000002</v>
          </cell>
          <cell r="AB409">
            <v>184.25219404499998</v>
          </cell>
          <cell r="AC409">
            <v>444.83413423600001</v>
          </cell>
          <cell r="AD409">
            <v>38.522301577487774</v>
          </cell>
          <cell r="AE409">
            <v>182.22931579450974</v>
          </cell>
          <cell r="AF409">
            <v>37.570532105544245</v>
          </cell>
          <cell r="AG409">
            <v>180.49422928615706</v>
          </cell>
          <cell r="AH409">
            <v>445.65546757099997</v>
          </cell>
          <cell r="AI409">
            <v>37.995580000000004</v>
          </cell>
          <cell r="AJ409">
            <v>181.38319999999999</v>
          </cell>
          <cell r="AK409">
            <v>38.244619999999998</v>
          </cell>
          <cell r="AL409">
            <v>188.9924</v>
          </cell>
          <cell r="AM409">
            <v>445.65546757099997</v>
          </cell>
          <cell r="AN409">
            <v>465.11285004799993</v>
          </cell>
          <cell r="AO409">
            <v>465.11285004799993</v>
          </cell>
          <cell r="AP409">
            <v>540.52117916600002</v>
          </cell>
          <cell r="AQ409">
            <v>219.52807862999998</v>
          </cell>
          <cell r="AR409">
            <v>0</v>
          </cell>
          <cell r="AS409">
            <v>0</v>
          </cell>
          <cell r="AT409">
            <v>0</v>
          </cell>
        </row>
        <row r="411">
          <cell r="H411">
            <v>1950.7</v>
          </cell>
          <cell r="I411">
            <v>1810.0830000000001</v>
          </cell>
          <cell r="N411">
            <v>1505.8810000000001</v>
          </cell>
          <cell r="O411">
            <v>1477.5940000000001</v>
          </cell>
          <cell r="P411">
            <v>1341.615</v>
          </cell>
          <cell r="Q411">
            <v>1663.328</v>
          </cell>
          <cell r="R411">
            <v>1527.3489999999999</v>
          </cell>
          <cell r="S411">
            <v>1527.3489999999999</v>
          </cell>
          <cell r="T411">
            <v>1499.0618119999999</v>
          </cell>
          <cell r="U411">
            <v>1363.0823329999998</v>
          </cell>
          <cell r="V411">
            <v>1334.7951449999998</v>
          </cell>
          <cell r="W411">
            <v>1198.8156659999997</v>
          </cell>
          <cell r="X411">
            <v>1198.815666</v>
          </cell>
          <cell r="Y411">
            <v>1170.528478</v>
          </cell>
          <cell r="Z411">
            <v>1034.5489989999999</v>
          </cell>
          <cell r="AA411">
            <v>1006.2618109999999</v>
          </cell>
          <cell r="AB411">
            <v>870.28233199999988</v>
          </cell>
          <cell r="AC411">
            <v>870.282332</v>
          </cell>
          <cell r="AD411">
            <v>1170.528478</v>
          </cell>
          <cell r="AE411">
            <v>1034.5489989999999</v>
          </cell>
          <cell r="AF411">
            <v>1006.2618109999999</v>
          </cell>
          <cell r="AG411">
            <v>870.28233199999988</v>
          </cell>
          <cell r="AH411">
            <v>870.282332</v>
          </cell>
          <cell r="AI411">
            <v>1170.515666</v>
          </cell>
          <cell r="AJ411">
            <v>1034.528478</v>
          </cell>
          <cell r="AK411">
            <v>1006.2489989999999</v>
          </cell>
          <cell r="AL411">
            <v>870.26181099999985</v>
          </cell>
          <cell r="AM411">
            <v>870.26181099999985</v>
          </cell>
          <cell r="AN411">
            <v>539.94650100000001</v>
          </cell>
          <cell r="AO411">
            <v>539.94650100000001</v>
          </cell>
          <cell r="AP411">
            <v>155.50754000000001</v>
          </cell>
          <cell r="AQ411">
            <v>-7.5789999999983593E-2</v>
          </cell>
          <cell r="AR411">
            <v>-7.5789999999983593E-2</v>
          </cell>
          <cell r="AS411">
            <v>-7.5789999999983593E-2</v>
          </cell>
          <cell r="AT411">
            <v>-7.5789999999983593E-2</v>
          </cell>
        </row>
        <row r="414">
          <cell r="B414">
            <v>12950.154</v>
          </cell>
          <cell r="C414">
            <v>12647.018599999999</v>
          </cell>
          <cell r="D414">
            <v>15821.7862</v>
          </cell>
          <cell r="E414">
            <v>22081</v>
          </cell>
          <cell r="F414">
            <v>19114</v>
          </cell>
          <cell r="G414">
            <v>17657</v>
          </cell>
          <cell r="H414">
            <v>18170</v>
          </cell>
          <cell r="I414">
            <v>19913</v>
          </cell>
          <cell r="J414">
            <v>5493</v>
          </cell>
          <cell r="K414">
            <v>5983</v>
          </cell>
          <cell r="L414">
            <v>5717</v>
          </cell>
          <cell r="M414">
            <v>5838</v>
          </cell>
          <cell r="N414">
            <v>23031</v>
          </cell>
          <cell r="O414">
            <v>5827</v>
          </cell>
          <cell r="P414">
            <v>6446</v>
          </cell>
          <cell r="Q414">
            <v>6955</v>
          </cell>
          <cell r="R414">
            <v>8112</v>
          </cell>
          <cell r="S414">
            <v>27340.06</v>
          </cell>
          <cell r="T414">
            <v>6617</v>
          </cell>
          <cell r="U414">
            <v>6843</v>
          </cell>
          <cell r="V414">
            <v>7144</v>
          </cell>
          <cell r="W414">
            <v>7084</v>
          </cell>
          <cell r="X414">
            <v>27688</v>
          </cell>
          <cell r="Y414">
            <v>5604.1368750000001</v>
          </cell>
          <cell r="Z414">
            <v>5879.7352898437503</v>
          </cell>
          <cell r="AA414">
            <v>6153.2933018866152</v>
          </cell>
          <cell r="AB414">
            <v>7179.8442993264862</v>
          </cell>
          <cell r="AC414">
            <v>24817.009766056854</v>
          </cell>
          <cell r="AD414">
            <v>5582.5828799999999</v>
          </cell>
          <cell r="AE414">
            <v>5446.9072969999997</v>
          </cell>
          <cell r="AF414">
            <v>5617.4184000000005</v>
          </cell>
          <cell r="AG414">
            <v>5479.4922816907547</v>
          </cell>
          <cell r="AH414">
            <v>22133.900858690751</v>
          </cell>
          <cell r="AM414">
            <v>21647.496377000003</v>
          </cell>
          <cell r="AN414">
            <v>20335.241470000001</v>
          </cell>
          <cell r="AO414">
            <v>19788.866050000001</v>
          </cell>
          <cell r="AP414">
            <v>21772.964641321472</v>
          </cell>
          <cell r="AQ414">
            <v>24967.784542168076</v>
          </cell>
          <cell r="AR414">
            <v>26097.620908624245</v>
          </cell>
          <cell r="AS414">
            <v>27642.670770449797</v>
          </cell>
          <cell r="AT414">
            <v>28830.491075393365</v>
          </cell>
        </row>
        <row r="415">
          <cell r="B415">
            <v>11358.154</v>
          </cell>
          <cell r="C415">
            <v>10907.018599999999</v>
          </cell>
          <cell r="D415">
            <v>14042.7862</v>
          </cell>
          <cell r="E415">
            <v>18992</v>
          </cell>
          <cell r="F415">
            <v>16595</v>
          </cell>
          <cell r="G415">
            <v>15532</v>
          </cell>
          <cell r="H415">
            <v>16121</v>
          </cell>
          <cell r="I415">
            <v>17683</v>
          </cell>
          <cell r="J415">
            <v>4876</v>
          </cell>
          <cell r="K415">
            <v>5462</v>
          </cell>
          <cell r="L415">
            <v>5128</v>
          </cell>
          <cell r="M415">
            <v>5289</v>
          </cell>
          <cell r="N415">
            <v>20755</v>
          </cell>
          <cell r="O415">
            <v>5380</v>
          </cell>
          <cell r="P415">
            <v>5952</v>
          </cell>
          <cell r="Q415">
            <v>6397</v>
          </cell>
          <cell r="R415">
            <v>7531</v>
          </cell>
          <cell r="S415">
            <v>25260</v>
          </cell>
          <cell r="T415">
            <v>6101</v>
          </cell>
          <cell r="U415">
            <v>6186</v>
          </cell>
          <cell r="V415">
            <v>6453</v>
          </cell>
          <cell r="W415">
            <v>6384</v>
          </cell>
          <cell r="X415">
            <v>25124</v>
          </cell>
          <cell r="Y415">
            <v>4928.78</v>
          </cell>
          <cell r="Z415">
            <v>5199.3240000000005</v>
          </cell>
          <cell r="AA415">
            <v>5455.2188000000006</v>
          </cell>
          <cell r="AB415">
            <v>6476.3820000000005</v>
          </cell>
          <cell r="AC415">
            <v>22059.704800000003</v>
          </cell>
          <cell r="AD415">
            <v>4898.5828799999999</v>
          </cell>
          <cell r="AE415">
            <v>4727.9072969999997</v>
          </cell>
          <cell r="AF415">
            <v>4838.1094000000003</v>
          </cell>
          <cell r="AG415">
            <v>4654.8768000000009</v>
          </cell>
          <cell r="AH415">
            <v>19126.976376999999</v>
          </cell>
          <cell r="AM415">
            <v>19043.496377000003</v>
          </cell>
          <cell r="AN415">
            <v>17691.171470000001</v>
          </cell>
          <cell r="AO415">
            <v>17144.796050000001</v>
          </cell>
          <cell r="AP415">
            <v>18952.112102361454</v>
          </cell>
          <cell r="AQ415">
            <v>22016.582374436726</v>
          </cell>
          <cell r="AR415">
            <v>23765.851813273897</v>
          </cell>
          <cell r="AS415">
            <v>25447.169717206183</v>
          </cell>
          <cell r="AT415">
            <v>26828.470187465602</v>
          </cell>
        </row>
        <row r="416">
          <cell r="B416">
            <v>0.23649229322228604</v>
          </cell>
          <cell r="C416">
            <v>0.19371104830642388</v>
          </cell>
          <cell r="D416">
            <v>0.31555360409692795</v>
          </cell>
          <cell r="E416">
            <v>0.39245522748212169</v>
          </cell>
          <cell r="F416">
            <v>0.31076779026217227</v>
          </cell>
          <cell r="G416">
            <v>0.25711267457357784</v>
          </cell>
          <cell r="H416">
            <v>0.269258697692838</v>
          </cell>
          <cell r="I416">
            <v>0.30310802305475504</v>
          </cell>
          <cell r="N416">
            <v>0.2688884741222195</v>
          </cell>
          <cell r="S416">
            <v>0.35808085971724579</v>
          </cell>
          <cell r="X416">
            <v>0.28409853142645558</v>
          </cell>
          <cell r="AC416">
            <v>0.23110999479924238</v>
          </cell>
          <cell r="AH416">
            <v>0.2013056364413838</v>
          </cell>
          <cell r="AM416">
            <v>0.20042703471161258</v>
          </cell>
          <cell r="AN416">
            <v>0.18266547673772485</v>
          </cell>
          <cell r="AO416">
            <v>0.1790585087875512</v>
          </cell>
          <cell r="AP416">
            <v>0.18899302227077908</v>
          </cell>
          <cell r="AQ416">
            <v>0.20507479492930861</v>
          </cell>
          <cell r="AR416">
            <v>0.2129249965737629</v>
          </cell>
          <cell r="AS416">
            <v>0.21945873055050427</v>
          </cell>
          <cell r="AT416">
            <v>0.22268149030057369</v>
          </cell>
        </row>
        <row r="417">
          <cell r="I417">
            <v>7.6116017035061795E-2</v>
          </cell>
          <cell r="N417">
            <v>6.5717114878347804E-2</v>
          </cell>
          <cell r="S417">
            <v>6.3288417948054801E-2</v>
          </cell>
          <cell r="X417">
            <v>7.8795615391831733E-2</v>
          </cell>
          <cell r="AC417">
            <v>2.5189859831099396E-2</v>
          </cell>
          <cell r="AH417">
            <v>3.2914742909524286E-2</v>
          </cell>
          <cell r="AM417">
            <v>1.832901445824239E-2</v>
          </cell>
          <cell r="AN417">
            <v>5.0779198614457614E-2</v>
          </cell>
          <cell r="AO417">
            <v>3.3396162582237682E-2</v>
          </cell>
          <cell r="AP417">
            <v>-2.4982297033268056E-2</v>
          </cell>
          <cell r="AQ417">
            <v>9.9255344646580576E-2</v>
          </cell>
          <cell r="AR417">
            <v>6.7902871883240054E-2</v>
          </cell>
          <cell r="AS417">
            <v>5.9425384884800418E-2</v>
          </cell>
          <cell r="AT417">
            <v>4.3259011511616999E-2</v>
          </cell>
        </row>
        <row r="418">
          <cell r="B418">
            <v>2085.154</v>
          </cell>
          <cell r="C418">
            <v>2567.0185999999999</v>
          </cell>
          <cell r="D418">
            <v>3763.7862</v>
          </cell>
          <cell r="E418">
            <v>4457</v>
          </cell>
          <cell r="F418">
            <v>3883</v>
          </cell>
          <cell r="G418">
            <v>3952</v>
          </cell>
          <cell r="H418">
            <v>4796</v>
          </cell>
          <cell r="I418">
            <v>5835</v>
          </cell>
          <cell r="J418">
            <v>1716</v>
          </cell>
          <cell r="K418">
            <v>1683</v>
          </cell>
          <cell r="L418">
            <v>1665</v>
          </cell>
          <cell r="M418">
            <v>1548</v>
          </cell>
          <cell r="N418">
            <v>6612</v>
          </cell>
          <cell r="O418">
            <v>1535</v>
          </cell>
          <cell r="P418">
            <v>1499</v>
          </cell>
          <cell r="Q418">
            <v>1611</v>
          </cell>
          <cell r="R418">
            <v>1767</v>
          </cell>
          <cell r="S418">
            <v>6412</v>
          </cell>
          <cell r="T418">
            <v>1515</v>
          </cell>
          <cell r="U418">
            <v>1700</v>
          </cell>
          <cell r="V418">
            <v>1688</v>
          </cell>
          <cell r="W418">
            <v>1717</v>
          </cell>
          <cell r="X418">
            <v>6620</v>
          </cell>
          <cell r="Y418">
            <v>1700.22</v>
          </cell>
          <cell r="Z418">
            <v>1777.62</v>
          </cell>
          <cell r="AA418">
            <v>1794.39</v>
          </cell>
          <cell r="AB418">
            <v>2002.08</v>
          </cell>
          <cell r="AC418">
            <v>7274.31</v>
          </cell>
          <cell r="AD418">
            <v>1561</v>
          </cell>
          <cell r="AE418">
            <v>1576</v>
          </cell>
          <cell r="AF418">
            <v>1809.1599999999999</v>
          </cell>
          <cell r="AG418">
            <v>1882.3200000000002</v>
          </cell>
          <cell r="AH418">
            <v>6828.48</v>
          </cell>
          <cell r="AM418">
            <v>6463.74</v>
          </cell>
          <cell r="AN418">
            <v>7895.0554200000006</v>
          </cell>
          <cell r="AO418">
            <v>6826.68</v>
          </cell>
          <cell r="AP418">
            <v>6963.2136</v>
          </cell>
          <cell r="AQ418">
            <v>7381.0064160000011</v>
          </cell>
          <cell r="AR418">
            <v>7823.8668009600005</v>
          </cell>
          <cell r="AS418">
            <v>8293.2988090176004</v>
          </cell>
          <cell r="AT418">
            <v>8790.8967375586581</v>
          </cell>
        </row>
        <row r="419">
          <cell r="B419">
            <v>5.0483775254633496E-2</v>
          </cell>
          <cell r="C419">
            <v>5.2229382770562771E-2</v>
          </cell>
          <cell r="D419">
            <v>0.10806438002537855</v>
          </cell>
          <cell r="E419">
            <v>0.12833151974569018</v>
          </cell>
          <cell r="F419">
            <v>9.3146163575042143E-2</v>
          </cell>
          <cell r="G419">
            <v>8.0788045427375971E-2</v>
          </cell>
          <cell r="H419">
            <v>9.7438804638715418E-2</v>
          </cell>
          <cell r="I419">
            <v>0.12389543351610691</v>
          </cell>
          <cell r="N419">
            <v>0.10361342529061275</v>
          </cell>
          <cell r="S419">
            <v>0.12383924578605367</v>
          </cell>
          <cell r="X419">
            <v>9.4580968392737053E-2</v>
          </cell>
          <cell r="AC419">
            <v>9.0003386596606366E-2</v>
          </cell>
          <cell r="AH419">
            <v>8.3069170658017513E-2</v>
          </cell>
          <cell r="AM419">
            <v>7.8632070555827091E-2</v>
          </cell>
          <cell r="AN419">
            <v>9.1765829221584383E-2</v>
          </cell>
          <cell r="AO419">
            <v>8.0376171067695831E-2</v>
          </cell>
          <cell r="AP419">
            <v>7.928358542436445E-2</v>
          </cell>
          <cell r="AQ419">
            <v>7.8613524909074972E-2</v>
          </cell>
          <cell r="AR419">
            <v>8.033727105241735E-2</v>
          </cell>
          <cell r="AS419">
            <v>8.2171853884281776E-2</v>
          </cell>
          <cell r="AT419">
            <v>8.4037104025993375E-2</v>
          </cell>
        </row>
        <row r="420">
          <cell r="B420">
            <v>1510</v>
          </cell>
          <cell r="C420">
            <v>2059</v>
          </cell>
          <cell r="D420">
            <v>3053</v>
          </cell>
          <cell r="E420">
            <v>3532</v>
          </cell>
          <cell r="F420">
            <v>2849</v>
          </cell>
          <cell r="G420">
            <v>2974</v>
          </cell>
          <cell r="H420">
            <v>3731</v>
          </cell>
          <cell r="I420">
            <v>4554</v>
          </cell>
          <cell r="J420">
            <v>1341</v>
          </cell>
          <cell r="K420">
            <v>1394</v>
          </cell>
          <cell r="L420">
            <v>1279</v>
          </cell>
          <cell r="M420">
            <v>1198</v>
          </cell>
          <cell r="N420">
            <v>5212</v>
          </cell>
          <cell r="O420">
            <v>1114</v>
          </cell>
          <cell r="P420">
            <v>1210</v>
          </cell>
          <cell r="Q420">
            <v>1255</v>
          </cell>
          <cell r="R420">
            <v>1436</v>
          </cell>
          <cell r="S420">
            <v>5015</v>
          </cell>
          <cell r="T420">
            <v>1216</v>
          </cell>
          <cell r="U420">
            <v>1447</v>
          </cell>
          <cell r="V420">
            <v>1346</v>
          </cell>
          <cell r="W420">
            <v>1395</v>
          </cell>
          <cell r="X420">
            <v>5404</v>
          </cell>
          <cell r="Y420">
            <v>1318</v>
          </cell>
          <cell r="Z420">
            <v>1378</v>
          </cell>
          <cell r="AA420">
            <v>1391</v>
          </cell>
          <cell r="AB420">
            <v>1552</v>
          </cell>
          <cell r="AC420">
            <v>5639</v>
          </cell>
          <cell r="AD420">
            <v>1297</v>
          </cell>
          <cell r="AE420">
            <v>1309</v>
          </cell>
          <cell r="AF420">
            <v>1459</v>
          </cell>
          <cell r="AG420">
            <v>1518</v>
          </cell>
          <cell r="AH420">
            <v>5583</v>
          </cell>
          <cell r="AM420">
            <v>5292</v>
          </cell>
          <cell r="AN420">
            <v>6120.1980000000003</v>
          </cell>
          <cell r="AO420">
            <v>5292</v>
          </cell>
          <cell r="AP420">
            <v>5397.84</v>
          </cell>
          <cell r="AQ420">
            <v>5721.7104000000008</v>
          </cell>
          <cell r="AR420">
            <v>6065.0130240000008</v>
          </cell>
          <cell r="AS420">
            <v>6428.9138054400009</v>
          </cell>
          <cell r="AT420">
            <v>6814.648633766401</v>
          </cell>
        </row>
        <row r="421">
          <cell r="B421">
            <v>3.1440264215967836E-2</v>
          </cell>
          <cell r="C421">
            <v>3.6568292682926828E-2</v>
          </cell>
          <cell r="D421">
            <v>6.8603561970338983E-2</v>
          </cell>
          <cell r="E421">
            <v>7.2986092221296012E-2</v>
          </cell>
          <cell r="F421">
            <v>5.3352059925093634E-2</v>
          </cell>
          <cell r="G421">
            <v>4.9230819867487799E-2</v>
          </cell>
          <cell r="H421">
            <v>6.231649408175538E-2</v>
          </cell>
          <cell r="I421">
            <v>7.80610720461095E-2</v>
          </cell>
          <cell r="N421">
            <v>6.7523330625150965E-2</v>
          </cell>
          <cell r="S421">
            <v>7.1091667121218838E-2</v>
          </cell>
          <cell r="X421">
            <v>6.1107644635749324E-2</v>
          </cell>
          <cell r="AC421">
            <v>5.9077366287917307E-2</v>
          </cell>
          <cell r="AH421">
            <v>5.8759384970209494E-2</v>
          </cell>
          <cell r="AM421">
            <v>5.5696698058812222E-2</v>
          </cell>
          <cell r="AN421">
            <v>6.3192473562027493E-2</v>
          </cell>
          <cell r="AO421">
            <v>5.5269110565110559E-2</v>
          </cell>
          <cell r="AP421">
            <v>5.3827989715562616E-2</v>
          </cell>
          <cell r="AQ421">
            <v>5.3295219347363046E-2</v>
          </cell>
          <cell r="AR421">
            <v>5.4338169214441887E-2</v>
          </cell>
          <cell r="AS421">
            <v>5.5443543554727914E-2</v>
          </cell>
          <cell r="AT421">
            <v>5.6562901389392399E-2</v>
          </cell>
        </row>
        <row r="422">
          <cell r="B422">
            <v>0.14293828095418401</v>
          </cell>
          <cell r="C422">
            <v>0.20196174595389896</v>
          </cell>
          <cell r="D422">
            <v>0.23387467442929372</v>
          </cell>
          <cell r="E422">
            <v>0.2004881648407788</v>
          </cell>
          <cell r="F422">
            <v>0.18797835840591184</v>
          </cell>
          <cell r="G422">
            <v>0.21261080926508436</v>
          </cell>
          <cell r="H422">
            <v>0.25579322638146168</v>
          </cell>
          <cell r="I422">
            <v>0.28632505501414651</v>
          </cell>
          <cell r="N422">
            <v>0.27661607048084069</v>
          </cell>
          <cell r="S422">
            <v>0.2143162393162393</v>
          </cell>
          <cell r="X422">
            <v>0.23049690765621667</v>
          </cell>
          <cell r="AC422">
            <v>0.28184209810558231</v>
          </cell>
          <cell r="AH422">
            <v>0.32039039072944286</v>
          </cell>
          <cell r="AM422">
            <v>0.30393711634058934</v>
          </cell>
          <cell r="AN422">
            <v>0.39160013233990093</v>
          </cell>
          <cell r="AO422">
            <v>0.34561005809343992</v>
          </cell>
          <cell r="AP422">
            <v>0.31675722163482345</v>
          </cell>
          <cell r="AQ422">
            <v>0.28733156691075201</v>
          </cell>
          <cell r="AR422">
            <v>0.28206889951716874</v>
          </cell>
          <cell r="AS422">
            <v>0.27903426386202124</v>
          </cell>
          <cell r="AT422">
            <v>0.28087007201886455</v>
          </cell>
        </row>
        <row r="423">
          <cell r="B423">
            <v>15872</v>
          </cell>
          <cell r="C423">
            <v>18601</v>
          </cell>
          <cell r="D423">
            <v>13646</v>
          </cell>
          <cell r="E423">
            <v>13629</v>
          </cell>
          <cell r="F423">
            <v>17190</v>
          </cell>
          <cell r="G423">
            <v>21410</v>
          </cell>
          <cell r="H423">
            <v>20162.767200000002</v>
          </cell>
          <cell r="I423">
            <v>17372</v>
          </cell>
          <cell r="J423">
            <v>4435.4139999999998</v>
          </cell>
          <cell r="K423">
            <v>5474.3119999999999</v>
          </cell>
          <cell r="L423">
            <v>5830.8</v>
          </cell>
          <cell r="M423">
            <v>5272.2669999999998</v>
          </cell>
          <cell r="N423">
            <v>21012.793000000001</v>
          </cell>
          <cell r="O423">
            <v>3884.84</v>
          </cell>
          <cell r="P423">
            <v>5256.95</v>
          </cell>
          <cell r="Q423">
            <v>4579</v>
          </cell>
          <cell r="R423">
            <v>4795</v>
          </cell>
          <cell r="S423">
            <v>18515.79</v>
          </cell>
          <cell r="T423">
            <v>4592.63</v>
          </cell>
          <cell r="U423">
            <v>5740.46</v>
          </cell>
          <cell r="V423">
            <v>6594.37</v>
          </cell>
          <cell r="W423">
            <v>6075.84</v>
          </cell>
          <cell r="X423">
            <v>23003.3</v>
          </cell>
          <cell r="Y423">
            <v>5359.3709735130633</v>
          </cell>
          <cell r="Z423">
            <v>5990.7908373806022</v>
          </cell>
          <cell r="AA423">
            <v>6617.6398894932536</v>
          </cell>
          <cell r="AB423">
            <v>6678.5131228398714</v>
          </cell>
          <cell r="AC423">
            <v>24646.314823226789</v>
          </cell>
          <cell r="AD423">
            <v>5283.1480336776258</v>
          </cell>
          <cell r="AE423">
            <v>5726.3867040862515</v>
          </cell>
          <cell r="AF423">
            <v>5956.322100904641</v>
          </cell>
          <cell r="AG423">
            <v>5958.8265329550395</v>
          </cell>
          <cell r="AH423">
            <v>22924.683371623556</v>
          </cell>
          <cell r="AM423">
            <v>23130.67</v>
          </cell>
          <cell r="AN423">
            <v>23454.354705665879</v>
          </cell>
          <cell r="AO423">
            <v>24211.658381808833</v>
          </cell>
          <cell r="AP423">
            <v>26354.720997852753</v>
          </cell>
          <cell r="AQ423">
            <v>31876.01761476379</v>
          </cell>
          <cell r="AR423">
            <v>33980.511258331484</v>
          </cell>
          <cell r="AS423">
            <v>36780.093086977504</v>
          </cell>
          <cell r="AT423">
            <v>39022.042878748223</v>
          </cell>
        </row>
        <row r="424">
          <cell r="B424">
            <v>11115</v>
          </cell>
          <cell r="C424">
            <v>14951</v>
          </cell>
          <cell r="D424">
            <v>9312</v>
          </cell>
          <cell r="E424">
            <v>9492</v>
          </cell>
          <cell r="F424">
            <v>13730</v>
          </cell>
          <cell r="G424">
            <v>17187</v>
          </cell>
          <cell r="H424">
            <v>16077</v>
          </cell>
          <cell r="I424">
            <v>13230</v>
          </cell>
          <cell r="J424">
            <v>3588</v>
          </cell>
          <cell r="K424">
            <v>4334</v>
          </cell>
          <cell r="L424">
            <v>4998</v>
          </cell>
          <cell r="M424">
            <v>4100</v>
          </cell>
          <cell r="N424">
            <v>17020</v>
          </cell>
          <cell r="O424">
            <v>3225</v>
          </cell>
          <cell r="P424">
            <v>4099</v>
          </cell>
          <cell r="Q424">
            <v>3898</v>
          </cell>
          <cell r="R424">
            <v>3714</v>
          </cell>
          <cell r="S424">
            <v>14936</v>
          </cell>
          <cell r="T424">
            <v>3607</v>
          </cell>
          <cell r="U424">
            <v>4458</v>
          </cell>
          <cell r="V424">
            <v>5429</v>
          </cell>
          <cell r="W424">
            <v>4888</v>
          </cell>
          <cell r="X424">
            <v>18382</v>
          </cell>
          <cell r="Y424">
            <v>4493.2589472073805</v>
          </cell>
          <cell r="Z424">
            <v>4989.0600797966599</v>
          </cell>
          <cell r="AA424">
            <v>5689.4554984877686</v>
          </cell>
          <cell r="AB424">
            <v>5565.4396131556296</v>
          </cell>
          <cell r="AC424">
            <v>20737.214138647436</v>
          </cell>
          <cell r="AD424">
            <v>4328.1480336776258</v>
          </cell>
          <cell r="AE424">
            <v>4564.3867040862515</v>
          </cell>
          <cell r="AF424">
            <v>4998.9664036956092</v>
          </cell>
          <cell r="AG424">
            <v>4834.0603669960083</v>
          </cell>
          <cell r="AH424">
            <v>18725.561508455496</v>
          </cell>
          <cell r="AM424">
            <v>19088</v>
          </cell>
          <cell r="AN424">
            <v>19295.000000000004</v>
          </cell>
          <cell r="AO424">
            <v>20052.343676142958</v>
          </cell>
          <cell r="AP424">
            <v>21374.809678210655</v>
          </cell>
          <cell r="AQ424">
            <v>26723.44332972377</v>
          </cell>
          <cell r="AR424">
            <v>28220.644567558335</v>
          </cell>
          <cell r="AS424">
            <v>30424.798713207885</v>
          </cell>
          <cell r="AT424">
            <v>32179.388244313144</v>
          </cell>
        </row>
        <row r="425">
          <cell r="B425">
            <v>0.23142949454336589</v>
          </cell>
          <cell r="C425">
            <v>0.26553304706286496</v>
          </cell>
          <cell r="D425">
            <v>0.2092487288135593</v>
          </cell>
          <cell r="E425">
            <v>0.19614495678497784</v>
          </cell>
          <cell r="F425">
            <v>0.25711610486891384</v>
          </cell>
          <cell r="G425">
            <v>0.28450911266392498</v>
          </cell>
          <cell r="H425">
            <v>0.26852379398348464</v>
          </cell>
          <cell r="I425">
            <v>0.22677821325648412</v>
          </cell>
          <cell r="N425">
            <v>0.22050020860323663</v>
          </cell>
          <cell r="S425">
            <v>0.21172983850897797</v>
          </cell>
          <cell r="X425">
            <v>0.20786097773766543</v>
          </cell>
          <cell r="AC425">
            <v>0.21725483161196171</v>
          </cell>
          <cell r="AH425">
            <v>0.19708086646223774</v>
          </cell>
          <cell r="AM425">
            <v>0.20089542187199694</v>
          </cell>
          <cell r="AN425">
            <v>0.19922538084214281</v>
          </cell>
          <cell r="AO425">
            <v>0.20942464091578622</v>
          </cell>
          <cell r="AP425">
            <v>0.21315248979792498</v>
          </cell>
          <cell r="AQ425">
            <v>0.24891713743052324</v>
          </cell>
          <cell r="AR425">
            <v>0.25283674639848636</v>
          </cell>
          <cell r="AS425">
            <v>0.26238626051763048</v>
          </cell>
          <cell r="AT425">
            <v>0.26709514486414099</v>
          </cell>
        </row>
        <row r="426">
          <cell r="C426">
            <v>0.32211920827710305</v>
          </cell>
          <cell r="D426">
            <v>-0.40016540699618752</v>
          </cell>
          <cell r="E426">
            <v>-3.6701030927835734E-3</v>
          </cell>
          <cell r="F426">
            <v>0.42348124736620318</v>
          </cell>
          <cell r="G426">
            <v>0.22878441369264393</v>
          </cell>
          <cell r="H426">
            <v>-8.7583696980275766E-2</v>
          </cell>
          <cell r="I426">
            <v>-0.20008527710393728</v>
          </cell>
          <cell r="N426">
            <v>0.26337014361300082</v>
          </cell>
          <cell r="S426">
            <v>-0.1434441833137485</v>
          </cell>
          <cell r="X426">
            <v>0.21014525956437424</v>
          </cell>
          <cell r="AC426">
            <v>0.12944289087957153</v>
          </cell>
          <cell r="AH426">
            <v>6.6107756027600217E-3</v>
          </cell>
          <cell r="AM426">
            <v>2.6094009305374088E-2</v>
          </cell>
          <cell r="AN426">
            <v>-4.0940791728428794E-3</v>
          </cell>
          <cell r="AO426">
            <v>3.4995998628233549E-2</v>
          </cell>
          <cell r="AP426">
            <v>4.7102843823505269E-2</v>
          </cell>
          <cell r="AQ426">
            <v>0.22691923745299003</v>
          </cell>
          <cell r="AR426">
            <v>3.5319373116555974E-2</v>
          </cell>
          <cell r="AS426">
            <v>5.6965015846819345E-2</v>
          </cell>
          <cell r="AT426">
            <v>3.6931095082977761E-2</v>
          </cell>
        </row>
        <row r="427">
          <cell r="B427">
            <v>8426</v>
          </cell>
          <cell r="C427">
            <v>11621</v>
          </cell>
          <cell r="D427">
            <v>6739</v>
          </cell>
          <cell r="E427">
            <v>5868</v>
          </cell>
          <cell r="F427">
            <v>8918</v>
          </cell>
          <cell r="G427">
            <v>11778</v>
          </cell>
          <cell r="H427">
            <v>10674</v>
          </cell>
          <cell r="I427">
            <v>7497</v>
          </cell>
          <cell r="J427">
            <v>2080</v>
          </cell>
          <cell r="K427">
            <v>2612</v>
          </cell>
          <cell r="L427">
            <v>3181</v>
          </cell>
          <cell r="M427">
            <v>2338</v>
          </cell>
          <cell r="N427">
            <v>10211</v>
          </cell>
          <cell r="O427">
            <v>1479</v>
          </cell>
          <cell r="P427">
            <v>2291</v>
          </cell>
          <cell r="Q427">
            <v>2053</v>
          </cell>
          <cell r="R427">
            <v>1799</v>
          </cell>
          <cell r="S427">
            <v>7622</v>
          </cell>
          <cell r="X427">
            <v>10922</v>
          </cell>
          <cell r="AC427">
            <v>11043.887275278339</v>
          </cell>
          <cell r="AH427">
            <v>11023.346816345005</v>
          </cell>
          <cell r="AM427">
            <v>11867</v>
          </cell>
          <cell r="AN427">
            <v>10803.077531204382</v>
          </cell>
          <cell r="AO427">
            <v>11355.883134228437</v>
          </cell>
          <cell r="AP427">
            <v>11955.001434174064</v>
          </cell>
          <cell r="AQ427">
            <v>12997.462531713978</v>
          </cell>
          <cell r="AR427">
            <v>15362.576535614042</v>
          </cell>
          <cell r="AS427">
            <v>16645.067578634211</v>
          </cell>
          <cell r="AT427">
            <v>17801.1196098978</v>
          </cell>
        </row>
        <row r="428">
          <cell r="B428">
            <v>0.20400233761896813</v>
          </cell>
          <cell r="C428">
            <v>0.23644458874458876</v>
          </cell>
          <cell r="D428">
            <v>0.19348757296337027</v>
          </cell>
          <cell r="E428">
            <v>0.16895879691893873</v>
          </cell>
          <cell r="F428">
            <v>0.21392672849915681</v>
          </cell>
          <cell r="G428">
            <v>0.24076963538553497</v>
          </cell>
          <cell r="H428">
            <v>0.21686025869759143</v>
          </cell>
          <cell r="I428">
            <v>0.15918492974640161</v>
          </cell>
          <cell r="N428">
            <v>0.16001159794955336</v>
          </cell>
          <cell r="S428">
            <v>0.14720878530587977</v>
          </cell>
          <cell r="X428">
            <v>0.1560443106926698</v>
          </cell>
          <cell r="AC428">
            <v>0.1366435106513495</v>
          </cell>
          <cell r="AH428">
            <v>0.13410016254122109</v>
          </cell>
          <cell r="AM428">
            <v>0.14436329142044699</v>
          </cell>
          <cell r="AN428">
            <v>0.12556635958307646</v>
          </cell>
          <cell r="AO428">
            <v>0.13370223965697922</v>
          </cell>
          <cell r="AP428">
            <v>0.13612039381568575</v>
          </cell>
          <cell r="AQ428">
            <v>0.1384332009625048</v>
          </cell>
          <cell r="AR428">
            <v>0.15774648349760956</v>
          </cell>
          <cell r="AS428">
            <v>0.16492304117612597</v>
          </cell>
          <cell r="AT428">
            <v>0.17017086937726644</v>
          </cell>
        </row>
        <row r="429">
          <cell r="B429">
            <v>1694</v>
          </cell>
          <cell r="C429">
            <v>-1885</v>
          </cell>
          <cell r="D429">
            <v>5771</v>
          </cell>
          <cell r="E429">
            <v>10810</v>
          </cell>
          <cell r="F429">
            <v>5025</v>
          </cell>
          <cell r="G429">
            <v>1274</v>
          </cell>
          <cell r="H429">
            <v>3196</v>
          </cell>
          <cell r="I429">
            <v>7559</v>
          </cell>
          <cell r="J429">
            <v>2026</v>
          </cell>
          <cell r="K429">
            <v>2066</v>
          </cell>
          <cell r="L429">
            <v>1010</v>
          </cell>
          <cell r="M429">
            <v>1803</v>
          </cell>
          <cell r="N429">
            <v>6905</v>
          </cell>
          <cell r="O429">
            <v>2871</v>
          </cell>
          <cell r="P429">
            <v>2623</v>
          </cell>
          <cell r="Q429">
            <v>3381</v>
          </cell>
          <cell r="R429">
            <v>4715</v>
          </cell>
          <cell r="S429">
            <v>13590</v>
          </cell>
          <cell r="X429">
            <v>10550</v>
          </cell>
          <cell r="AC429">
            <v>5118.332628721666</v>
          </cell>
          <cell r="AH429">
            <v>3425.9694366549938</v>
          </cell>
          <cell r="AM429">
            <v>3452.4963770000031</v>
          </cell>
          <cell r="AN429">
            <v>1641.2148377956182</v>
          </cell>
          <cell r="AO429">
            <v>771.77123477156238</v>
          </cell>
          <cell r="AP429">
            <v>1507.5762120804429</v>
          </cell>
          <cell r="AQ429">
            <v>1001.3349823002827</v>
          </cell>
          <cell r="AR429">
            <v>1700.0322900505889</v>
          </cell>
          <cell r="AS429">
            <v>1650.1106869798568</v>
          </cell>
          <cell r="AT429">
            <v>1716.8234749266594</v>
          </cell>
        </row>
        <row r="430">
          <cell r="B430">
            <v>3.5271395749569216E-2</v>
          </cell>
          <cell r="C430">
            <v>-3.3478014428031604E-2</v>
          </cell>
          <cell r="D430">
            <v>0.12967938294491524</v>
          </cell>
          <cell r="E430">
            <v>0.22338042381432893</v>
          </cell>
          <cell r="F430">
            <v>9.4101123595505612E-2</v>
          </cell>
          <cell r="G430">
            <v>2.1089463520907688E-2</v>
          </cell>
          <cell r="H430">
            <v>5.3380733070300238E-2</v>
          </cell>
          <cell r="I430">
            <v>0.12957040922190199</v>
          </cell>
          <cell r="N430">
            <v>8.9456753255308399E-2</v>
          </cell>
          <cell r="S430">
            <v>0.192649203624599</v>
          </cell>
          <cell r="X430">
            <v>0.11929786286216791</v>
          </cell>
          <cell r="AC430">
            <v>5.3622559228655525E-2</v>
          </cell>
          <cell r="AH430">
            <v>3.6057291245671239E-2</v>
          </cell>
          <cell r="AM430">
            <v>3.6336479262833017E-2</v>
          </cell>
          <cell r="AN430">
            <v>1.6945926463001172E-2</v>
          </cell>
          <cell r="AO430">
            <v>8.0603003978763008E-3</v>
          </cell>
          <cell r="AP430">
            <v>1.5033753656887371E-2</v>
          </cell>
          <cell r="AQ430">
            <v>9.3269955644524512E-3</v>
          </cell>
          <cell r="AR430">
            <v>1.5231070713490365E-2</v>
          </cell>
          <cell r="AS430">
            <v>1.4230706230074922E-2</v>
          </cell>
          <cell r="AT430">
            <v>1.4249966819140246E-2</v>
          </cell>
        </row>
        <row r="431">
          <cell r="B431">
            <v>-0.15324526134405514</v>
          </cell>
          <cell r="C431">
            <v>-0.17797516317416695</v>
          </cell>
          <cell r="D431">
            <v>-9.5051774364406774E-2</v>
          </cell>
          <cell r="E431">
            <v>-6.7675382792962743E-2</v>
          </cell>
          <cell r="F431">
            <v>-0.13636704119850188</v>
          </cell>
          <cell r="G431">
            <v>-0.16123341812687667</v>
          </cell>
          <cell r="H431">
            <v>-0.12792335249856995</v>
          </cell>
          <cell r="I431">
            <v>-6.4999469740634003E-2</v>
          </cell>
          <cell r="N431">
            <v>-8.712478865198392E-2</v>
          </cell>
          <cell r="S431">
            <v>-6.7972989799849309E-2</v>
          </cell>
          <cell r="X431">
            <v>-8.4707136559289076E-2</v>
          </cell>
          <cell r="AC431">
            <v>-9.6911650202630165E-2</v>
          </cell>
          <cell r="AH431">
            <v>-8.8582659939083708E-2</v>
          </cell>
          <cell r="AM431">
            <v>-9.121755141264655E-2</v>
          </cell>
          <cell r="AN431">
            <v>-8.1231498356869006E-2</v>
          </cell>
          <cell r="AO431">
            <v>-9.6588129834300596E-2</v>
          </cell>
          <cell r="AP431">
            <v>-0.10107278704725019</v>
          </cell>
          <cell r="AQ431">
            <v>-0.12286112727841822</v>
          </cell>
          <cell r="AR431">
            <v>-0.12307223634774088</v>
          </cell>
          <cell r="AS431">
            <v>-0.12902372654022662</v>
          </cell>
          <cell r="AT431">
            <v>-0.13057171144007218</v>
          </cell>
        </row>
        <row r="432">
          <cell r="B432">
            <v>243.15400000000045</v>
          </cell>
          <cell r="C432">
            <v>-4043.9814000000006</v>
          </cell>
          <cell r="D432">
            <v>4730.7862000000005</v>
          </cell>
          <cell r="E432">
            <v>9500</v>
          </cell>
          <cell r="F432">
            <v>2865</v>
          </cell>
          <cell r="G432">
            <v>-1655</v>
          </cell>
          <cell r="H432">
            <v>44</v>
          </cell>
          <cell r="I432">
            <v>4453</v>
          </cell>
          <cell r="J432">
            <v>1288</v>
          </cell>
          <cell r="K432">
            <v>1128</v>
          </cell>
          <cell r="L432">
            <v>130</v>
          </cell>
          <cell r="M432">
            <v>1189</v>
          </cell>
          <cell r="N432">
            <v>3735</v>
          </cell>
          <cell r="O432">
            <v>2155</v>
          </cell>
          <cell r="P432">
            <v>1853</v>
          </cell>
          <cell r="Q432">
            <v>2499</v>
          </cell>
          <cell r="R432">
            <v>3817</v>
          </cell>
          <cell r="S432">
            <v>10324</v>
          </cell>
          <cell r="T432">
            <v>2494</v>
          </cell>
          <cell r="U432">
            <v>1728</v>
          </cell>
          <cell r="V432">
            <v>1024</v>
          </cell>
          <cell r="W432">
            <v>1496</v>
          </cell>
          <cell r="X432">
            <v>6742</v>
          </cell>
          <cell r="Y432">
            <v>435.52105279261923</v>
          </cell>
          <cell r="Z432">
            <v>210.2639202033406</v>
          </cell>
          <cell r="AA432">
            <v>-234.23669848776808</v>
          </cell>
          <cell r="AB432">
            <v>910.94238684437096</v>
          </cell>
          <cell r="AC432">
            <v>1322.4906613525673</v>
          </cell>
          <cell r="AD432">
            <v>570.43484632237414</v>
          </cell>
          <cell r="AE432">
            <v>163.52059291374826</v>
          </cell>
          <cell r="AF432">
            <v>-160.85700369560891</v>
          </cell>
          <cell r="AG432">
            <v>-179.18356699600736</v>
          </cell>
          <cell r="AH432">
            <v>401.41486854450341</v>
          </cell>
          <cell r="AM432">
            <v>-44.503622999996878</v>
          </cell>
          <cell r="AN432">
            <v>-1603.8285300000025</v>
          </cell>
          <cell r="AO432">
            <v>-2907.5476261429576</v>
          </cell>
          <cell r="AP432">
            <v>-2422.6975758492008</v>
          </cell>
          <cell r="AQ432">
            <v>-4706.8609552870439</v>
          </cell>
          <cell r="AR432">
            <v>-4454.7927542844373</v>
          </cell>
          <cell r="AS432">
            <v>-4977.628996001702</v>
          </cell>
          <cell r="AT432">
            <v>-5350.9180568475422</v>
          </cell>
        </row>
        <row r="433">
          <cell r="B433">
            <v>5.0627986789201704E-3</v>
          </cell>
          <cell r="C433">
            <v>-7.1821998756441088E-2</v>
          </cell>
          <cell r="D433">
            <v>0.10630487528336865</v>
          </cell>
          <cell r="E433">
            <v>0.19631027069714385</v>
          </cell>
          <cell r="F433">
            <v>5.365168539325843E-2</v>
          </cell>
          <cell r="G433">
            <v>-2.739643809034711E-2</v>
          </cell>
          <cell r="H433">
            <v>7.3490370935331997E-4</v>
          </cell>
          <cell r="I433">
            <v>7.6329809798270892E-2</v>
          </cell>
          <cell r="N433">
            <v>4.8388265518982891E-2</v>
          </cell>
          <cell r="S433">
            <v>0.14635102120826785</v>
          </cell>
          <cell r="X433">
            <v>7.6237553688790149E-2</v>
          </cell>
          <cell r="AC433">
            <v>1.3855163187280656E-2</v>
          </cell>
          <cell r="AH433">
            <v>4.2247699791460713E-3</v>
          </cell>
          <cell r="AM433">
            <v>-4.6838716038436075E-4</v>
          </cell>
          <cell r="AN433">
            <v>-1.6559904104417957E-2</v>
          </cell>
          <cell r="AO433">
            <v>-3.0366132128235048E-2</v>
          </cell>
          <cell r="AP433">
            <v>-2.4159467527145907E-2</v>
          </cell>
          <cell r="AQ433">
            <v>-4.3842342501214625E-2</v>
          </cell>
          <cell r="AR433">
            <v>-3.9911749824723432E-2</v>
          </cell>
          <cell r="AS433">
            <v>-4.2927529967126198E-2</v>
          </cell>
          <cell r="AT433">
            <v>-4.4413654563567294E-2</v>
          </cell>
        </row>
        <row r="434">
          <cell r="B434">
            <v>-4174.8459999999995</v>
          </cell>
          <cell r="C434">
            <v>-7249.9814000000006</v>
          </cell>
          <cell r="D434">
            <v>1005.7862000000005</v>
          </cell>
          <cell r="E434">
            <v>6302</v>
          </cell>
          <cell r="F434">
            <v>335</v>
          </cell>
          <cell r="G434">
            <v>-4498</v>
          </cell>
          <cell r="H434">
            <v>-2692.7672000000002</v>
          </cell>
          <cell r="I434">
            <v>1623</v>
          </cell>
          <cell r="J434">
            <v>665.58600000000001</v>
          </cell>
          <cell r="K434">
            <v>156.68799999999999</v>
          </cell>
          <cell r="L434">
            <v>-433.79999999999995</v>
          </cell>
          <cell r="M434">
            <v>190.73299999999995</v>
          </cell>
          <cell r="N434">
            <v>579.20699999999988</v>
          </cell>
          <cell r="O434">
            <v>1716.16</v>
          </cell>
          <cell r="P434">
            <v>947.05</v>
          </cell>
          <cell r="Q434">
            <v>2036</v>
          </cell>
          <cell r="R434">
            <v>2922</v>
          </cell>
          <cell r="S434">
            <v>7621.2100000000009</v>
          </cell>
          <cell r="T434">
            <v>2050.37</v>
          </cell>
          <cell r="U434">
            <v>957.54</v>
          </cell>
          <cell r="V434">
            <v>457.63</v>
          </cell>
          <cell r="W434">
            <v>721.15999999999985</v>
          </cell>
          <cell r="X434">
            <v>4186.7</v>
          </cell>
          <cell r="Y434">
            <v>-104.81623841505345</v>
          </cell>
          <cell r="Z434">
            <v>-433.55685955433205</v>
          </cell>
          <cell r="AA434">
            <v>-786.6757184554416</v>
          </cell>
          <cell r="AB434">
            <v>171.39163562669734</v>
          </cell>
          <cell r="AC434">
            <v>-1153.6571807981259</v>
          </cell>
          <cell r="AD434">
            <v>22.434846322373687</v>
          </cell>
          <cell r="AE434">
            <v>-458.47940708625174</v>
          </cell>
          <cell r="AF434">
            <v>-760.38613840463984</v>
          </cell>
          <cell r="AG434">
            <v>-943.78567045503894</v>
          </cell>
          <cell r="AH434">
            <v>-2132.7163696235575</v>
          </cell>
          <cell r="AM434">
            <v>-2523.173622999997</v>
          </cell>
          <cell r="AN434">
            <v>-4076.9932356658787</v>
          </cell>
          <cell r="AO434">
            <v>-5380.6723318088334</v>
          </cell>
          <cell r="AP434">
            <v>-5653.3516654913001</v>
          </cell>
          <cell r="AQ434">
            <v>-7929.1990309570683</v>
          </cell>
          <cell r="AR434">
            <v>-7943.6614303001916</v>
          </cell>
          <cell r="AS434">
            <v>-8877.9083135187739</v>
          </cell>
          <cell r="AT434">
            <v>-9538.2602527050276</v>
          </cell>
        </row>
        <row r="435">
          <cell r="B435">
            <v>-8.6926000861573802E-2</v>
          </cell>
          <cell r="C435">
            <v>-0.12876126361387841</v>
          </cell>
          <cell r="D435">
            <v>2.2600889584216112E-2</v>
          </cell>
          <cell r="E435">
            <v>0.13022603430877899</v>
          </cell>
          <cell r="F435">
            <v>6.2734082397003744E-3</v>
          </cell>
          <cell r="G435">
            <v>-7.4458718145245503E-2</v>
          </cell>
          <cell r="H435">
            <v>-4.4975559175112576E-2</v>
          </cell>
          <cell r="I435">
            <v>2.7820184438040345E-2</v>
          </cell>
          <cell r="N435">
            <v>7.5038345666542218E-3</v>
          </cell>
          <cell r="S435">
            <v>0.10803679449270275</v>
          </cell>
          <cell r="X435">
            <v>4.7342593596686099E-2</v>
          </cell>
          <cell r="AC435">
            <v>-1.2086367767458223E-2</v>
          </cell>
          <cell r="AH435">
            <v>-2.244619419576898E-2</v>
          </cell>
          <cell r="AM435">
            <v>-2.6555638592250592E-2</v>
          </cell>
          <cell r="AN435">
            <v>-4.2095907233292283E-2</v>
          </cell>
          <cell r="AO435">
            <v>-5.6195195393305683E-2</v>
          </cell>
          <cell r="AP435">
            <v>-5.637598656287042E-2</v>
          </cell>
          <cell r="AQ435">
            <v>-7.3857006395107908E-2</v>
          </cell>
          <cell r="AR435">
            <v>-7.116951229516226E-2</v>
          </cell>
          <cell r="AS435">
            <v>-7.6563897285253923E-2</v>
          </cell>
          <cell r="AT435">
            <v>-7.9169404483578162E-2</v>
          </cell>
        </row>
        <row r="436">
          <cell r="B436">
            <v>-11331.846</v>
          </cell>
          <cell r="C436">
            <v>-13428.981400000001</v>
          </cell>
          <cell r="D436">
            <v>-7373.2137999999995</v>
          </cell>
          <cell r="E436">
            <v>-5578</v>
          </cell>
          <cell r="F436">
            <v>-9191</v>
          </cell>
          <cell r="G436">
            <v>-13477</v>
          </cell>
          <cell r="H436">
            <v>-11790.7672</v>
          </cell>
          <cell r="I436">
            <v>-6946</v>
          </cell>
          <cell r="J436">
            <v>-1331.414</v>
          </cell>
          <cell r="K436">
            <v>-2467.3119999999999</v>
          </cell>
          <cell r="L436">
            <v>-2678.8</v>
          </cell>
          <cell r="M436">
            <v>-1959.2670000000001</v>
          </cell>
          <cell r="N436">
            <v>-8436.7929999999997</v>
          </cell>
          <cell r="O436">
            <v>-867.83999999999992</v>
          </cell>
          <cell r="P436">
            <v>-2240.9499999999998</v>
          </cell>
          <cell r="Q436">
            <v>-1592</v>
          </cell>
          <cell r="R436">
            <v>-1594</v>
          </cell>
          <cell r="S436">
            <v>-6294.7899999999991</v>
          </cell>
          <cell r="T436">
            <v>-1543.63</v>
          </cell>
          <cell r="U436">
            <v>-2885.46</v>
          </cell>
          <cell r="V436">
            <v>-3422.37</v>
          </cell>
          <cell r="W436">
            <v>-2654.84</v>
          </cell>
          <cell r="X436">
            <v>-10609.3</v>
          </cell>
          <cell r="Y436">
            <v>-2474.1064985130638</v>
          </cell>
          <cell r="Z436">
            <v>-2743.1864275368516</v>
          </cell>
          <cell r="AA436">
            <v>-3087.9997636066387</v>
          </cell>
          <cell r="AB436">
            <v>-2736.7150635133848</v>
          </cell>
          <cell r="AC436">
            <v>-9446.7798371192439</v>
          </cell>
          <cell r="AD436">
            <v>-2350.1480336776267</v>
          </cell>
          <cell r="AE436">
            <v>-2776.3867040862519</v>
          </cell>
          <cell r="AF436">
            <v>-2834.2470889046399</v>
          </cell>
          <cell r="AG436">
            <v>-2731.877187264286</v>
          </cell>
          <cell r="AH436">
            <v>-9726.9816555454254</v>
          </cell>
          <cell r="AM436">
            <v>-11278.929999999998</v>
          </cell>
          <cell r="AN436">
            <v>-8429.0418579887428</v>
          </cell>
          <cell r="AO436">
            <v>-10265.200954131698</v>
          </cell>
          <cell r="AP436">
            <v>-11244.058406570688</v>
          </cell>
          <cell r="AQ436">
            <v>-12431.513229464341</v>
          </cell>
          <cell r="AR436">
            <v>-14275.681934142523</v>
          </cell>
          <cell r="AS436">
            <v>-15820.101165268123</v>
          </cell>
          <cell r="AT436">
            <v>-17474.605744648008</v>
          </cell>
        </row>
        <row r="437">
          <cell r="B437">
            <v>-0.23594452469844915</v>
          </cell>
          <cell r="C437">
            <v>-0.23850166210237031</v>
          </cell>
          <cell r="D437">
            <v>-0.16568251878442794</v>
          </cell>
          <cell r="E437">
            <v>-0.11526512525775456</v>
          </cell>
          <cell r="F437">
            <v>-0.17211610486891385</v>
          </cell>
          <cell r="G437">
            <v>-0.22309474087227071</v>
          </cell>
          <cell r="H437">
            <v>-0.19693360344094221</v>
          </cell>
          <cell r="I437">
            <v>-0.11906284726224785</v>
          </cell>
          <cell r="N437">
            <v>-0.10930168134208734</v>
          </cell>
          <cell r="S437">
            <v>-8.9233721889925635E-2</v>
          </cell>
          <cell r="X437">
            <v>-0.11996841862214198</v>
          </cell>
          <cell r="AC437">
            <v>-9.8969830232098849E-2</v>
          </cell>
          <cell r="AH437">
            <v>-0.10237353747024171</v>
          </cell>
          <cell r="AM437">
            <v>-0.1187073240053815</v>
          </cell>
          <cell r="AN437">
            <v>-8.703182556580305E-2</v>
          </cell>
          <cell r="AO437">
            <v>-0.10720871627116087</v>
          </cell>
          <cell r="AP437">
            <v>-0.11212726947632244</v>
          </cell>
          <cell r="AQ437">
            <v>-0.1157940856957646</v>
          </cell>
          <cell r="AR437">
            <v>-0.1278998771345404</v>
          </cell>
          <cell r="AS437">
            <v>-0.13643400651204002</v>
          </cell>
          <cell r="AT437">
            <v>-0.14504260669515201</v>
          </cell>
        </row>
        <row r="438">
          <cell r="B438">
            <v>-0.27435593087326765</v>
          </cell>
          <cell r="C438">
            <v>-0.27323035748917751</v>
          </cell>
          <cell r="D438">
            <v>-0.21169687536756615</v>
          </cell>
          <cell r="E438">
            <v>-0.16060875412642131</v>
          </cell>
          <cell r="F438">
            <v>-0.22047550590219223</v>
          </cell>
          <cell r="G438">
            <v>-0.27550113568439927</v>
          </cell>
          <cell r="H438">
            <v>-0.23954926224799286</v>
          </cell>
          <cell r="I438">
            <v>-0.14748546378798261</v>
          </cell>
          <cell r="N438">
            <v>-0.13220886587989483</v>
          </cell>
          <cell r="S438">
            <v>-0.12157549063967447</v>
          </cell>
          <cell r="X438">
            <v>-0.15157671721587088</v>
          </cell>
          <cell r="AC438">
            <v>-0.11688286281080534</v>
          </cell>
          <cell r="AH438">
            <v>-0.11832974529205748</v>
          </cell>
          <cell r="AM438">
            <v>-0.13720935859954678</v>
          </cell>
          <cell r="AN438">
            <v>-9.7972461812279615E-2</v>
          </cell>
          <cell r="AO438">
            <v>-0.12086073287946175</v>
          </cell>
          <cell r="AP438">
            <v>-0.12802555205169786</v>
          </cell>
          <cell r="AQ438">
            <v>-0.13240539566575957</v>
          </cell>
          <cell r="AR438">
            <v>-0.14658599873665831</v>
          </cell>
          <cell r="AS438">
            <v>-0.15674908999703077</v>
          </cell>
          <cell r="AT438">
            <v>-0.1670495405209402</v>
          </cell>
        </row>
        <row r="439">
          <cell r="B439">
            <v>8410</v>
          </cell>
          <cell r="C439">
            <v>7475</v>
          </cell>
          <cell r="D439">
            <v>9549</v>
          </cell>
          <cell r="E439">
            <v>14030</v>
          </cell>
          <cell r="F439">
            <v>11115</v>
          </cell>
          <cell r="G439">
            <v>9724</v>
          </cell>
          <cell r="H439">
            <v>9798</v>
          </cell>
          <cell r="I439">
            <v>9487</v>
          </cell>
          <cell r="J439">
            <v>2389</v>
          </cell>
          <cell r="K439">
            <v>2976</v>
          </cell>
          <cell r="L439">
            <v>2565</v>
          </cell>
          <cell r="M439">
            <v>2525</v>
          </cell>
          <cell r="N439">
            <v>10455</v>
          </cell>
          <cell r="O439">
            <v>2810</v>
          </cell>
          <cell r="P439">
            <v>3430</v>
          </cell>
          <cell r="Q439">
            <v>3968</v>
          </cell>
          <cell r="R439">
            <v>4911</v>
          </cell>
          <cell r="S439">
            <v>15119.06</v>
          </cell>
          <cell r="T439">
            <v>3568</v>
          </cell>
          <cell r="U439">
            <v>3988</v>
          </cell>
          <cell r="V439">
            <v>3972</v>
          </cell>
          <cell r="W439">
            <v>3663</v>
          </cell>
          <cell r="X439">
            <v>15191</v>
          </cell>
          <cell r="Y439">
            <v>2718.8724000000002</v>
          </cell>
          <cell r="Z439">
            <v>2632.1308800000006</v>
          </cell>
          <cell r="AA439">
            <v>2623.6531760000003</v>
          </cell>
          <cell r="AB439">
            <v>3238.0462400000006</v>
          </cell>
          <cell r="AC439">
            <v>11212.702696000004</v>
          </cell>
          <cell r="AD439">
            <v>2649.5828800000004</v>
          </cell>
          <cell r="AE439">
            <v>2496.9072970000002</v>
          </cell>
          <cell r="AF439">
            <v>2495.3433880000002</v>
          </cell>
          <cell r="AG439">
            <v>2252.5429360000003</v>
          </cell>
          <cell r="AH439">
            <v>9894.3765010000006</v>
          </cell>
          <cell r="AM439">
            <v>9697.7563770000015</v>
          </cell>
          <cell r="AN439">
            <v>6203.365730999999</v>
          </cell>
          <cell r="AO439">
            <v>6735.8457309999994</v>
          </cell>
          <cell r="AP439">
            <v>8076.8975820498745</v>
          </cell>
          <cell r="AQ439">
            <v>7804.4310655457566</v>
          </cell>
          <cell r="AR439">
            <v>7895.3497431124124</v>
          </cell>
          <cell r="AS439">
            <v>8269.4288487404156</v>
          </cell>
          <cell r="AT439">
            <v>9119.7289412931441</v>
          </cell>
        </row>
        <row r="440">
          <cell r="X440">
            <v>103</v>
          </cell>
          <cell r="AC440">
            <v>-1595.2279160506928</v>
          </cell>
          <cell r="AH440">
            <v>-958.17735838738076</v>
          </cell>
          <cell r="AM440">
            <v>98</v>
          </cell>
          <cell r="AN440">
            <v>-893.43710867713469</v>
          </cell>
          <cell r="AO440">
            <v>-893.43710867713469</v>
          </cell>
          <cell r="AP440">
            <v>-1414.5955320104681</v>
          </cell>
          <cell r="AQ440">
            <v>-2281.1509086771348</v>
          </cell>
          <cell r="AR440">
            <v>-1502.558158677135</v>
          </cell>
          <cell r="AS440">
            <v>-1586.75</v>
          </cell>
          <cell r="AT440">
            <v>-1836.6750000000002</v>
          </cell>
        </row>
        <row r="441">
          <cell r="B441">
            <v>-3074</v>
          </cell>
          <cell r="C441">
            <v>-1763</v>
          </cell>
          <cell r="D441">
            <v>-2368</v>
          </cell>
          <cell r="E441">
            <v>-765</v>
          </cell>
          <cell r="F441">
            <v>-592</v>
          </cell>
          <cell r="G441">
            <v>-1745</v>
          </cell>
          <cell r="H441">
            <v>-1713.7672000000002</v>
          </cell>
          <cell r="I441">
            <v>-1895</v>
          </cell>
          <cell r="J441">
            <v>-303.41399999999999</v>
          </cell>
          <cell r="K441">
            <v>-656.31200000000001</v>
          </cell>
          <cell r="L441">
            <v>-305.79999999999995</v>
          </cell>
          <cell r="M441">
            <v>-645.26700000000005</v>
          </cell>
          <cell r="N441">
            <v>-1910.7930000000001</v>
          </cell>
          <cell r="O441">
            <v>-226.83999999999997</v>
          </cell>
          <cell r="P441">
            <v>-719.95</v>
          </cell>
          <cell r="Q441">
            <v>-189</v>
          </cell>
          <cell r="R441">
            <v>-589</v>
          </cell>
          <cell r="S441">
            <v>-1724.73</v>
          </cell>
          <cell r="T441">
            <v>-481.63</v>
          </cell>
          <cell r="U441">
            <v>-619.46</v>
          </cell>
          <cell r="V441">
            <v>-435.37</v>
          </cell>
          <cell r="W441">
            <v>-469.84000000000003</v>
          </cell>
          <cell r="X441">
            <v>-2006.3000000000002</v>
          </cell>
          <cell r="Y441">
            <v>-162.01822870767325</v>
          </cell>
          <cell r="Z441">
            <v>-288.15136491392332</v>
          </cell>
          <cell r="AA441">
            <v>-195.14701808105872</v>
          </cell>
          <cell r="AB441">
            <v>-377.23345189118737</v>
          </cell>
          <cell r="AC441">
            <v>-1022.5500635938424</v>
          </cell>
          <cell r="AD441">
            <v>-280</v>
          </cell>
          <cell r="AE441">
            <v>-475</v>
          </cell>
          <cell r="AF441">
            <v>-148.04669720903149</v>
          </cell>
          <cell r="AG441">
            <v>-268.15068426827833</v>
          </cell>
          <cell r="AH441">
            <v>-1171.1973814773098</v>
          </cell>
          <cell r="AM441">
            <v>-1468.67</v>
          </cell>
          <cell r="AN441">
            <v>-1545.5097056658749</v>
          </cell>
          <cell r="AO441">
            <v>-1545.4697056658749</v>
          </cell>
          <cell r="AP441">
            <v>-2189.5578306820817</v>
          </cell>
          <cell r="AQ441">
            <v>-2245.1656492586735</v>
          </cell>
          <cell r="AR441">
            <v>-3472.2069980118058</v>
          </cell>
          <cell r="AS441">
            <v>-4204.2249111667825</v>
          </cell>
          <cell r="AT441">
            <v>-4885.3939689609197</v>
          </cell>
        </row>
        <row r="442">
          <cell r="B442">
            <v>1380</v>
          </cell>
          <cell r="C442">
            <v>3648</v>
          </cell>
          <cell r="D442">
            <v>-3403</v>
          </cell>
          <cell r="E442">
            <v>-10045</v>
          </cell>
          <cell r="F442">
            <v>-4433</v>
          </cell>
          <cell r="G442">
            <v>471</v>
          </cell>
          <cell r="H442">
            <v>-1482.2327999999998</v>
          </cell>
          <cell r="I442">
            <v>-5664</v>
          </cell>
          <cell r="J442">
            <v>-1722.5860000000002</v>
          </cell>
          <cell r="K442">
            <v>-1409.6880000000001</v>
          </cell>
          <cell r="L442">
            <v>-704.19999999999982</v>
          </cell>
          <cell r="M442">
            <v>-1157.7330000000002</v>
          </cell>
          <cell r="N442">
            <v>-4994.2069999999985</v>
          </cell>
          <cell r="O442">
            <v>-2644.16</v>
          </cell>
          <cell r="P442">
            <v>-1903.0500000000002</v>
          </cell>
          <cell r="Q442">
            <v>-3192</v>
          </cell>
          <cell r="R442">
            <v>-4126</v>
          </cell>
          <cell r="S442">
            <v>-11865.27</v>
          </cell>
          <cell r="T442">
            <v>-2794.37</v>
          </cell>
          <cell r="U442">
            <v>-1951.54</v>
          </cell>
          <cell r="V442">
            <v>-1706.63</v>
          </cell>
          <cell r="W442">
            <v>-2091.16</v>
          </cell>
          <cell r="X442">
            <v>-8543.7000000000007</v>
          </cell>
          <cell r="Y442">
            <v>-1050.2955606477908</v>
          </cell>
          <cell r="Z442">
            <v>-810.58791782533081</v>
          </cell>
          <cell r="AA442">
            <v>-656.49095420995127</v>
          </cell>
          <cell r="AB442">
            <v>-1578.4081324447466</v>
          </cell>
          <cell r="AC442">
            <v>-4095.7825651278217</v>
          </cell>
          <cell r="AD442">
            <v>-1027.4348463223737</v>
          </cell>
          <cell r="AE442">
            <v>-365.52059291374826</v>
          </cell>
          <cell r="AF442">
            <v>-478.78334029609232</v>
          </cell>
          <cell r="AG442">
            <v>-383.03327564547089</v>
          </cell>
          <cell r="AH442">
            <v>-2254.7720551776838</v>
          </cell>
          <cell r="AM442">
            <v>-1983.826377000003</v>
          </cell>
          <cell r="AN442">
            <v>-95.705132129744015</v>
          </cell>
          <cell r="AO442">
            <v>773.69847089431278</v>
          </cell>
          <cell r="AP442">
            <v>681.98161860163964</v>
          </cell>
          <cell r="AQ442">
            <v>1243.8306669583908</v>
          </cell>
          <cell r="AR442">
            <v>1772.1747079612178</v>
          </cell>
          <cell r="AS442" t="e">
            <v>#REF!</v>
          </cell>
          <cell r="AT442" t="e">
            <v>#REF!</v>
          </cell>
        </row>
        <row r="443">
          <cell r="B443">
            <v>-3074</v>
          </cell>
          <cell r="C443">
            <v>-1763</v>
          </cell>
          <cell r="D443">
            <v>-2368</v>
          </cell>
          <cell r="E443">
            <v>-765</v>
          </cell>
          <cell r="F443">
            <v>-592</v>
          </cell>
          <cell r="G443">
            <v>-1745</v>
          </cell>
          <cell r="H443">
            <v>-1713.7672000000002</v>
          </cell>
          <cell r="I443">
            <v>-1895</v>
          </cell>
          <cell r="J443">
            <v>-303.41399999999999</v>
          </cell>
          <cell r="K443">
            <v>-656.31200000000001</v>
          </cell>
          <cell r="L443">
            <v>-305.79999999999995</v>
          </cell>
          <cell r="M443">
            <v>-645.26700000000005</v>
          </cell>
          <cell r="N443">
            <v>-1910.7930000000001</v>
          </cell>
          <cell r="O443">
            <v>-226.83999999999997</v>
          </cell>
          <cell r="P443">
            <v>-719.95</v>
          </cell>
          <cell r="Q443">
            <v>-189</v>
          </cell>
          <cell r="R443">
            <v>-589</v>
          </cell>
          <cell r="S443">
            <v>-1724.73</v>
          </cell>
          <cell r="T443">
            <v>-481.63</v>
          </cell>
          <cell r="U443">
            <v>-619.46</v>
          </cell>
          <cell r="V443">
            <v>-435.37</v>
          </cell>
          <cell r="W443">
            <v>-469.84000000000003</v>
          </cell>
          <cell r="X443">
            <v>-2006.3000000000002</v>
          </cell>
          <cell r="Y443">
            <v>-162.01822870767325</v>
          </cell>
          <cell r="Z443">
            <v>-288.15136491392332</v>
          </cell>
          <cell r="AA443">
            <v>-195.14701808105872</v>
          </cell>
          <cell r="AB443">
            <v>-377.23345189118737</v>
          </cell>
          <cell r="AC443">
            <v>-1022.5500635938424</v>
          </cell>
          <cell r="AD443">
            <v>-280</v>
          </cell>
          <cell r="AE443">
            <v>-475</v>
          </cell>
          <cell r="AF443">
            <v>-148.04669720903149</v>
          </cell>
          <cell r="AG443">
            <v>-268.15068426827833</v>
          </cell>
          <cell r="AH443">
            <v>-1171.1973814773098</v>
          </cell>
          <cell r="AM443">
            <v>-1468.67</v>
          </cell>
          <cell r="AN443">
            <v>-1545.5097056658749</v>
          </cell>
          <cell r="AO443">
            <v>-1545.4697056658749</v>
          </cell>
          <cell r="AP443">
            <v>-2189.5578306820817</v>
          </cell>
          <cell r="AQ443">
            <v>-2245.1656492586735</v>
          </cell>
          <cell r="AR443">
            <v>-3472.2069980118058</v>
          </cell>
          <cell r="AS443">
            <v>-4204.2249111667825</v>
          </cell>
          <cell r="AT443">
            <v>-4885.3939689609197</v>
          </cell>
        </row>
        <row r="444">
          <cell r="B444">
            <v>9402</v>
          </cell>
          <cell r="C444">
            <v>6607</v>
          </cell>
          <cell r="D444">
            <v>7546</v>
          </cell>
          <cell r="E444">
            <v>11759</v>
          </cell>
          <cell r="F444">
            <v>14105</v>
          </cell>
          <cell r="G444">
            <v>13001</v>
          </cell>
          <cell r="H444">
            <v>12656</v>
          </cell>
          <cell r="I444">
            <v>11507</v>
          </cell>
          <cell r="J444">
            <v>11188</v>
          </cell>
          <cell r="K444">
            <v>10548</v>
          </cell>
          <cell r="L444">
            <v>9207</v>
          </cell>
          <cell r="M444">
            <v>9723</v>
          </cell>
          <cell r="N444">
            <v>9723</v>
          </cell>
          <cell r="O444">
            <v>9982</v>
          </cell>
          <cell r="P444">
            <v>10708</v>
          </cell>
          <cell r="Q444">
            <v>12684</v>
          </cell>
          <cell r="R444">
            <v>15229</v>
          </cell>
          <cell r="S444">
            <v>15229</v>
          </cell>
          <cell r="T444">
            <v>15976</v>
          </cell>
          <cell r="U444">
            <v>16655</v>
          </cell>
          <cell r="V444">
            <v>18330</v>
          </cell>
          <cell r="W444">
            <v>17818</v>
          </cell>
          <cell r="X444">
            <v>17818</v>
          </cell>
          <cell r="Y444">
            <v>15764</v>
          </cell>
          <cell r="Z444">
            <v>15725.054313912</v>
          </cell>
          <cell r="AA444">
            <v>16232.75346136</v>
          </cell>
          <cell r="AB444">
            <v>16674.507529126</v>
          </cell>
          <cell r="AC444">
            <v>16674.507529126</v>
          </cell>
          <cell r="AD444">
            <v>15796</v>
          </cell>
          <cell r="AE444">
            <v>15499</v>
          </cell>
          <cell r="AF444">
            <v>13064.159296965434</v>
          </cell>
          <cell r="AG444">
            <v>13416.830994935679</v>
          </cell>
          <cell r="AH444">
            <v>13416.830994935679</v>
          </cell>
          <cell r="AM444">
            <v>14849</v>
          </cell>
          <cell r="AN444">
            <v>15522</v>
          </cell>
          <cell r="AO444">
            <v>14383</v>
          </cell>
          <cell r="AP444">
            <v>13841</v>
          </cell>
          <cell r="AQ444">
            <v>11240.404022925053</v>
          </cell>
          <cell r="AR444">
            <v>8463.0829157836779</v>
          </cell>
          <cell r="AS444">
            <v>2849.4439714920627</v>
          </cell>
          <cell r="AT444">
            <v>-2476.9167282660801</v>
          </cell>
        </row>
        <row r="445">
          <cell r="B445">
            <v>10.150607287449393</v>
          </cell>
          <cell r="C445">
            <v>5.3029228814126146</v>
          </cell>
          <cell r="D445">
            <v>9.7242268041237114</v>
          </cell>
          <cell r="E445">
            <v>14.865992414664982</v>
          </cell>
          <cell r="F445">
            <v>12.32774945375091</v>
          </cell>
          <cell r="G445">
            <v>9.0773258858439512</v>
          </cell>
          <cell r="H445">
            <v>9.4465385333084537</v>
          </cell>
          <cell r="I445">
            <v>10.43718820861678</v>
          </cell>
          <cell r="J445">
            <v>9.3545150501672243</v>
          </cell>
          <cell r="K445">
            <v>7.3013382556529764</v>
          </cell>
          <cell r="L445">
            <v>5.5264105642256904</v>
          </cell>
          <cell r="M445">
            <v>7.1143902439024389</v>
          </cell>
          <cell r="N445">
            <v>6.8552291421856646</v>
          </cell>
          <cell r="O445">
            <v>9.2855813953488369</v>
          </cell>
          <cell r="P445">
            <v>7.8370334227860461</v>
          </cell>
          <cell r="Q445">
            <v>9.7619291944586966</v>
          </cell>
          <cell r="R445">
            <v>12.301292407108239</v>
          </cell>
          <cell r="S445">
            <v>12.235404392072843</v>
          </cell>
          <cell r="T445">
            <v>13.287496534516219</v>
          </cell>
          <cell r="U445">
            <v>11.207940780619111</v>
          </cell>
          <cell r="V445">
            <v>10.128937189169276</v>
          </cell>
          <cell r="W445">
            <v>10.935761047463176</v>
          </cell>
          <cell r="X445">
            <v>11.631813730823632</v>
          </cell>
          <cell r="Y445">
            <v>10.525100056695507</v>
          </cell>
          <cell r="Z445">
            <v>9.4557215562051766</v>
          </cell>
          <cell r="AA445">
            <v>8.5593885736559105</v>
          </cell>
          <cell r="AB445">
            <v>8.9882428099897105</v>
          </cell>
          <cell r="AC445">
            <v>9.6490342922486185</v>
          </cell>
          <cell r="AD445">
            <v>10.948793717606382</v>
          </cell>
          <cell r="AE445">
            <v>10.186910753721572</v>
          </cell>
          <cell r="AF445">
            <v>7.8401162812221141</v>
          </cell>
          <cell r="AG445">
            <v>8.3264357349801941</v>
          </cell>
          <cell r="AH445">
            <v>8.5979783231882241</v>
          </cell>
          <cell r="AM445">
            <v>9.3350796311818947</v>
          </cell>
          <cell r="AN445">
            <v>9.6534853589012677</v>
          </cell>
          <cell r="AO445">
            <v>8.6072731839991388</v>
          </cell>
          <cell r="AP445">
            <v>7.7704551526048498</v>
          </cell>
          <cell r="AQ445">
            <v>5.0474351905494093</v>
          </cell>
          <cell r="AR445">
            <v>3.5986773706136828</v>
          </cell>
          <cell r="AS445">
            <v>1.123863726436451</v>
          </cell>
          <cell r="AT445">
            <v>-0.92366581096971967</v>
          </cell>
        </row>
        <row r="446">
          <cell r="B446">
            <v>7.108366935483871</v>
          </cell>
          <cell r="C446">
            <v>4.262351486479222</v>
          </cell>
          <cell r="D446">
            <v>6.6357907078997505</v>
          </cell>
          <cell r="E446">
            <v>10.353510895883778</v>
          </cell>
          <cell r="F446">
            <v>9.8464223385689351</v>
          </cell>
          <cell r="G446">
            <v>7.2868752919196638</v>
          </cell>
          <cell r="H446">
            <v>7.5322994355655704</v>
          </cell>
          <cell r="I446">
            <v>7.948653004835367</v>
          </cell>
          <cell r="J446">
            <v>7.5672755688645985</v>
          </cell>
          <cell r="K446">
            <v>5.7804524111888398</v>
          </cell>
          <cell r="L446">
            <v>4.7370858201275983</v>
          </cell>
          <cell r="M446">
            <v>5.5325346762597576</v>
          </cell>
          <cell r="N446">
            <v>5.5526173983629876</v>
          </cell>
          <cell r="O446">
            <v>7.7084255722243382</v>
          </cell>
          <cell r="P446">
            <v>6.110767650443699</v>
          </cell>
          <cell r="Q446">
            <v>8.3101113780301379</v>
          </cell>
          <cell r="R446">
            <v>9.5280500521376439</v>
          </cell>
          <cell r="S446">
            <v>9.8698462231425168</v>
          </cell>
          <cell r="T446">
            <v>10.435850482185588</v>
          </cell>
          <cell r="U446">
            <v>8.7040062991467586</v>
          </cell>
          <cell r="V446">
            <v>8.338931543119358</v>
          </cell>
          <cell r="W446">
            <v>8.7977958603254862</v>
          </cell>
          <cell r="X446">
            <v>9.2950141936156996</v>
          </cell>
          <cell r="Y446">
            <v>8.8241698948860279</v>
          </cell>
          <cell r="Z446">
            <v>7.8746135898082441</v>
          </cell>
          <cell r="AA446">
            <v>7.3588562081472029</v>
          </cell>
          <cell r="AB446">
            <v>7.4902185063172784</v>
          </cell>
          <cell r="AC446">
            <v>8.1186210508413428</v>
          </cell>
          <cell r="AD446">
            <v>8.9696521274670733</v>
          </cell>
          <cell r="AE446">
            <v>8.1197799594673796</v>
          </cell>
          <cell r="AF446">
            <v>6.5799795959563339</v>
          </cell>
          <cell r="AG446">
            <v>6.7547683696115968</v>
          </cell>
          <cell r="AH446">
            <v>7.0230837795787524</v>
          </cell>
          <cell r="AM446">
            <v>7.7035382027412096</v>
          </cell>
          <cell r="AN446">
            <v>7.941552958393868</v>
          </cell>
          <cell r="AO446">
            <v>7.1286318879204966</v>
          </cell>
          <cell r="AP446">
            <v>6.3021725790051937</v>
          </cell>
          <cell r="AQ446">
            <v>4.2315464216780638</v>
          </cell>
          <cell r="AR446">
            <v>2.9886835491477184</v>
          </cell>
          <cell r="AS446">
            <v>0.92966941592682828</v>
          </cell>
          <cell r="AT446">
            <v>-0.76169771099760619</v>
          </cell>
        </row>
        <row r="447">
          <cell r="B447">
            <v>6.2468301865898903</v>
          </cell>
          <cell r="C447">
            <v>3.8407208254614154</v>
          </cell>
          <cell r="D447">
            <v>5.6779533483822426</v>
          </cell>
          <cell r="E447">
            <v>8.8000000000000007</v>
          </cell>
          <cell r="F447">
            <v>8.9557656464452204</v>
          </cell>
          <cell r="G447">
            <v>6.7606190079132471</v>
          </cell>
          <cell r="H447">
            <v>6.4173425740768284</v>
          </cell>
          <cell r="I447">
            <v>6.7962017085398232</v>
          </cell>
          <cell r="J447">
            <v>6.3299470769351478</v>
          </cell>
          <cell r="K447">
            <v>5.128571657785991</v>
          </cell>
          <cell r="L447">
            <v>4.0761188371410411</v>
          </cell>
          <cell r="M447">
            <v>4.9278368977046005</v>
          </cell>
          <cell r="N447">
            <v>4.737235130996269</v>
          </cell>
          <cell r="O447">
            <v>6.242275661872787</v>
          </cell>
          <cell r="P447">
            <v>4.9715323656613943</v>
          </cell>
          <cell r="Q447">
            <v>7.1525300013245428</v>
          </cell>
          <cell r="R447">
            <v>8.1623293089458944</v>
          </cell>
          <cell r="S447">
            <v>8.2407068460469333</v>
          </cell>
          <cell r="T447">
            <v>8.0161731907065441</v>
          </cell>
          <cell r="U447">
            <v>7.8796167605289069</v>
          </cell>
          <cell r="V447">
            <v>5.1601487296630433</v>
          </cell>
          <cell r="W447">
            <v>7.7024076175157488</v>
          </cell>
          <cell r="X447">
            <v>7.1469841096662048</v>
          </cell>
          <cell r="Y447">
            <v>7.2666359676178862</v>
          </cell>
          <cell r="Z447">
            <v>5.9501634233578358</v>
          </cell>
          <cell r="AA447">
            <v>6.6941519905597104</v>
          </cell>
          <cell r="AB447">
            <v>6.0550438425526103</v>
          </cell>
          <cell r="AC447">
            <v>6.6759038292100543</v>
          </cell>
          <cell r="AD447">
            <v>7.5776300091883311</v>
          </cell>
          <cell r="AE447">
            <v>6.5566155682498168</v>
          </cell>
          <cell r="AF447">
            <v>5.6670165328806643</v>
          </cell>
          <cell r="AG447">
            <v>5.2088549476925001</v>
          </cell>
          <cell r="AH447">
            <v>5.7510278001643327</v>
          </cell>
          <cell r="AN447">
            <v>6.7916232497588549</v>
          </cell>
          <cell r="AO447">
            <v>6.1241492683538512</v>
          </cell>
          <cell r="AP447">
            <v>5.3645576005291513</v>
          </cell>
          <cell r="AQ447">
            <v>3.7007498255605173</v>
          </cell>
          <cell r="AR447">
            <v>2.6029432869297775</v>
          </cell>
          <cell r="AS447">
            <v>0.81357019032509292</v>
          </cell>
          <cell r="AT447">
            <v>-0.6577820232094167</v>
          </cell>
        </row>
        <row r="448">
          <cell r="B448">
            <v>5446</v>
          </cell>
          <cell r="C448">
            <v>2044.3</v>
          </cell>
          <cell r="D448">
            <v>3184</v>
          </cell>
          <cell r="E448">
            <v>7360</v>
          </cell>
          <cell r="F448">
            <v>9743</v>
          </cell>
          <cell r="G448">
            <v>8613</v>
          </cell>
          <cell r="H448">
            <v>8324</v>
          </cell>
          <cell r="I448">
            <v>7230</v>
          </cell>
          <cell r="J448">
            <v>6983</v>
          </cell>
          <cell r="K448">
            <v>6261</v>
          </cell>
          <cell r="L448">
            <v>4934</v>
          </cell>
          <cell r="M448">
            <v>5464</v>
          </cell>
          <cell r="N448">
            <v>5464</v>
          </cell>
          <cell r="O448">
            <v>5752</v>
          </cell>
          <cell r="P448">
            <v>6451</v>
          </cell>
          <cell r="Q448">
            <v>8427</v>
          </cell>
          <cell r="R448">
            <v>10965</v>
          </cell>
          <cell r="S448">
            <v>10965</v>
          </cell>
          <cell r="T448">
            <v>11722</v>
          </cell>
          <cell r="U448">
            <v>12404</v>
          </cell>
          <cell r="V448">
            <v>14082</v>
          </cell>
          <cell r="W448">
            <v>13720</v>
          </cell>
          <cell r="X448">
            <v>13720</v>
          </cell>
          <cell r="Y448">
            <v>11777</v>
          </cell>
          <cell r="Z448">
            <v>11738.054313912</v>
          </cell>
          <cell r="AA448">
            <v>12245.75346136</v>
          </cell>
          <cell r="AB448">
            <v>12687.507529126</v>
          </cell>
          <cell r="AC448">
            <v>12687.507529126</v>
          </cell>
          <cell r="AD448">
            <v>11956</v>
          </cell>
          <cell r="AE448">
            <v>11908</v>
          </cell>
          <cell r="AF448">
            <v>9473.1592969654339</v>
          </cell>
          <cell r="AG448">
            <v>9825.830994935679</v>
          </cell>
          <cell r="AH448">
            <v>9318.830994935679</v>
          </cell>
          <cell r="AM448">
            <v>10751</v>
          </cell>
          <cell r="AN448">
            <v>11424</v>
          </cell>
          <cell r="AO448">
            <v>10285</v>
          </cell>
          <cell r="AP448">
            <v>9743</v>
          </cell>
          <cell r="AQ448">
            <v>7142.4040229250531</v>
          </cell>
          <cell r="AR448">
            <v>4365.0829157836779</v>
          </cell>
          <cell r="AS448">
            <v>-1248.5560285079373</v>
          </cell>
          <cell r="AT448">
            <v>-6574.9167282660801</v>
          </cell>
        </row>
        <row r="449">
          <cell r="B449">
            <v>5.8796221322537114</v>
          </cell>
          <cell r="C449">
            <v>1.6407999464918732</v>
          </cell>
          <cell r="D449">
            <v>4.1030927835051543</v>
          </cell>
          <cell r="E449">
            <v>9.3046776232616946</v>
          </cell>
          <cell r="F449">
            <v>8.5153678077203203</v>
          </cell>
          <cell r="G449">
            <v>6.0136149415255717</v>
          </cell>
          <cell r="H449">
            <v>6.2130994588542636</v>
          </cell>
          <cell r="I449">
            <v>6.5578231292517009</v>
          </cell>
          <cell r="J449">
            <v>5.8386287625418056</v>
          </cell>
          <cell r="K449">
            <v>4.3338717120443002</v>
          </cell>
          <cell r="L449">
            <v>2.9615846338535414</v>
          </cell>
          <cell r="M449">
            <v>3.9980487804878049</v>
          </cell>
          <cell r="N449">
            <v>3.8524089306698004</v>
          </cell>
          <cell r="O449">
            <v>5.3506976744186048</v>
          </cell>
          <cell r="P449">
            <v>4.7213954623078802</v>
          </cell>
          <cell r="Q449">
            <v>6.485633658286301</v>
          </cell>
          <cell r="R449">
            <v>8.8570274636510504</v>
          </cell>
          <cell r="S449">
            <v>8.809587573647562</v>
          </cell>
          <cell r="T449">
            <v>9.7493762129193247</v>
          </cell>
          <cell r="U449">
            <v>8.347240915208614</v>
          </cell>
          <cell r="V449">
            <v>7.7815435623503406</v>
          </cell>
          <cell r="W449">
            <v>8.4206219312602304</v>
          </cell>
          <cell r="X449">
            <v>8.9565879664889572</v>
          </cell>
          <cell r="Y449">
            <v>7.863112367908081</v>
          </cell>
          <cell r="Z449">
            <v>7.0582759835538456</v>
          </cell>
          <cell r="AA449">
            <v>6.4570784311160523</v>
          </cell>
          <cell r="AB449">
            <v>6.8390864393543165</v>
          </cell>
          <cell r="AC449">
            <v>7.3418777147007059</v>
          </cell>
          <cell r="AD449">
            <v>8.2871472326982705</v>
          </cell>
          <cell r="AE449">
            <v>7.8266812862324331</v>
          </cell>
          <cell r="AF449">
            <v>5.6850707918113841</v>
          </cell>
          <cell r="AG449">
            <v>6.0978744051400833</v>
          </cell>
          <cell r="AH449">
            <v>5.9718354447600044</v>
          </cell>
          <cell r="AM449">
            <v>6.7588013411567474</v>
          </cell>
          <cell r="AN449">
            <v>7.1048458149779723</v>
          </cell>
          <cell r="AO449">
            <v>6.1548915175854235</v>
          </cell>
          <cell r="AP449">
            <v>5.4698030887818119</v>
          </cell>
          <cell r="AQ449">
            <v>3.2072531678494056</v>
          </cell>
          <cell r="AR449">
            <v>1.8561232669228209</v>
          </cell>
          <cell r="AS449">
            <v>-0.49244934973361165</v>
          </cell>
          <cell r="AT449">
            <v>-2.4518489953933873</v>
          </cell>
        </row>
        <row r="450">
          <cell r="B450">
            <v>4.117439516129032</v>
          </cell>
          <cell r="C450">
            <v>1.3188323208429655</v>
          </cell>
          <cell r="D450">
            <v>2.7999413747618349</v>
          </cell>
          <cell r="E450">
            <v>6.4802993616552937</v>
          </cell>
          <cell r="F450">
            <v>6.8013961605584639</v>
          </cell>
          <cell r="G450">
            <v>4.8274638019616996</v>
          </cell>
          <cell r="H450">
            <v>4.9540818980442323</v>
          </cell>
          <cell r="I450">
            <v>4.994243610407552</v>
          </cell>
          <cell r="J450">
            <v>4.7231216747748919</v>
          </cell>
          <cell r="K450">
            <v>3.4311160927619766</v>
          </cell>
          <cell r="L450">
            <v>2.5385881868697262</v>
          </cell>
          <cell r="M450">
            <v>3.1090989891065837</v>
          </cell>
          <cell r="N450">
            <v>3.1203848055801053</v>
          </cell>
          <cell r="O450">
            <v>4.4418817763408533</v>
          </cell>
          <cell r="P450">
            <v>3.6814122257202371</v>
          </cell>
          <cell r="Q450">
            <v>5.5210744704083865</v>
          </cell>
          <cell r="R450">
            <v>6.8602711157455687</v>
          </cell>
          <cell r="S450">
            <v>7.1063670521214588</v>
          </cell>
          <cell r="T450">
            <v>7.6570505353141876</v>
          </cell>
          <cell r="U450">
            <v>6.4824073332102303</v>
          </cell>
          <cell r="V450">
            <v>6.4063739219970968</v>
          </cell>
          <cell r="W450">
            <v>6.7743719386948964</v>
          </cell>
          <cell r="X450">
            <v>7.1572339620837013</v>
          </cell>
          <cell r="Y450">
            <v>6.5923781306821079</v>
          </cell>
          <cell r="Z450">
            <v>5.8780491420282921</v>
          </cell>
          <cell r="AA450">
            <v>5.5514142500270074</v>
          </cell>
          <cell r="AB450">
            <v>5.6992509990296858</v>
          </cell>
          <cell r="AC450">
            <v>6.1773977749416273</v>
          </cell>
          <cell r="AD450">
            <v>6.7891340108886</v>
          </cell>
          <cell r="AE450">
            <v>6.2384889191133333</v>
          </cell>
          <cell r="AF450">
            <v>4.7713131374443263</v>
          </cell>
          <cell r="AG450">
            <v>4.946862074568374</v>
          </cell>
          <cell r="AH450">
            <v>4.877972363956296</v>
          </cell>
          <cell r="AM450">
            <v>5.5775297473008782</v>
          </cell>
          <cell r="AN450">
            <v>5.8448847440208445</v>
          </cell>
          <cell r="AO450">
            <v>5.0975442513566227</v>
          </cell>
          <cell r="AP450">
            <v>4.4362450283395418</v>
          </cell>
          <cell r="AQ450">
            <v>2.6888192029171005</v>
          </cell>
          <cell r="AR450">
            <v>1.5415010854658977</v>
          </cell>
          <cell r="AS450">
            <v>-0.40735819527874079</v>
          </cell>
          <cell r="AT450">
            <v>-2.021908514230097</v>
          </cell>
        </row>
        <row r="451">
          <cell r="B451">
            <v>3.6184042965505787</v>
          </cell>
          <cell r="C451">
            <v>1.1883737828803953</v>
          </cell>
          <cell r="D451">
            <v>2.3957863054928517</v>
          </cell>
          <cell r="E451">
            <v>5.5079513564078582</v>
          </cell>
          <cell r="F451">
            <v>6.1861768658855567</v>
          </cell>
          <cell r="G451">
            <v>4.4788255915050224</v>
          </cell>
          <cell r="H451">
            <v>4.2207616613950316</v>
          </cell>
          <cell r="I451">
            <v>4.2701432478267938</v>
          </cell>
          <cell r="J451">
            <v>3.9508420127134549</v>
          </cell>
          <cell r="K451">
            <v>3.0441777729804786</v>
          </cell>
          <cell r="L451">
            <v>2.1843782277021719</v>
          </cell>
          <cell r="M451">
            <v>2.7692791123169735</v>
          </cell>
          <cell r="N451">
            <v>2.6621673100651666</v>
          </cell>
          <cell r="O451">
            <v>3.5970316176209445</v>
          </cell>
          <cell r="P451">
            <v>2.9950836095332138</v>
          </cell>
          <cell r="Q451">
            <v>4.7520001829992058</v>
          </cell>
          <cell r="R451">
            <v>5.8769414191734013</v>
          </cell>
          <cell r="S451">
            <v>5.933373863477879</v>
          </cell>
          <cell r="T451">
            <v>5.8816713909277736</v>
          </cell>
          <cell r="U451">
            <v>5.8684338815731349</v>
          </cell>
          <cell r="V451">
            <v>3.9642779275021809</v>
          </cell>
          <cell r="W451">
            <v>5.9309143850216675</v>
          </cell>
          <cell r="X451">
            <v>5.50323391989114</v>
          </cell>
          <cell r="Y451">
            <v>5.4287726332552557</v>
          </cell>
          <cell r="Z451">
            <v>4.4415326043253307</v>
          </cell>
          <cell r="AA451">
            <v>5.0499710418443415</v>
          </cell>
          <cell r="AB451">
            <v>4.6072373776187314</v>
          </cell>
          <cell r="AC451">
            <v>5.0796450779055347</v>
          </cell>
          <cell r="AD451">
            <v>5.7355117998136036</v>
          </cell>
          <cell r="AE451">
            <v>5.0374977860970915</v>
          </cell>
          <cell r="AF451">
            <v>4.109300042520549</v>
          </cell>
          <cell r="AG451">
            <v>3.8147106729211955</v>
          </cell>
          <cell r="AH451">
            <v>3.9944496682664714</v>
          </cell>
          <cell r="AM451">
            <v>4.6343637667086375</v>
          </cell>
          <cell r="AN451">
            <v>4.9985507025670115</v>
          </cell>
          <cell r="AO451">
            <v>4.3792585152624186</v>
          </cell>
          <cell r="AP451">
            <v>3.7762361608233164</v>
          </cell>
          <cell r="AQ451">
            <v>2.3515391784862421</v>
          </cell>
          <cell r="AR451">
            <v>1.3425442460619992</v>
          </cell>
          <cell r="AS451">
            <v>-0.35648637976652153</v>
          </cell>
          <cell r="AT451">
            <v>-1.746066784804607</v>
          </cell>
        </row>
        <row r="452">
          <cell r="B452">
            <v>9091</v>
          </cell>
          <cell r="C452">
            <v>5413</v>
          </cell>
          <cell r="D452">
            <v>5344</v>
          </cell>
          <cell r="E452">
            <v>7397</v>
          </cell>
          <cell r="F452">
            <v>10264</v>
          </cell>
          <cell r="G452">
            <v>9180</v>
          </cell>
          <cell r="H452">
            <v>8324</v>
          </cell>
          <cell r="I452">
            <v>7262</v>
          </cell>
          <cell r="J452">
            <v>6810</v>
          </cell>
          <cell r="K452">
            <v>6544</v>
          </cell>
          <cell r="L452">
            <v>5399</v>
          </cell>
          <cell r="M452">
            <v>6194</v>
          </cell>
          <cell r="N452">
            <v>6194</v>
          </cell>
          <cell r="O452">
            <v>6561</v>
          </cell>
          <cell r="P452">
            <v>7679</v>
          </cell>
          <cell r="Q452">
            <v>9193</v>
          </cell>
          <cell r="R452">
            <v>12038</v>
          </cell>
          <cell r="S452">
            <v>12038</v>
          </cell>
          <cell r="T452">
            <v>13044</v>
          </cell>
          <cell r="U452">
            <v>14008</v>
          </cell>
          <cell r="V452">
            <v>15795</v>
          </cell>
          <cell r="W452">
            <v>15659</v>
          </cell>
          <cell r="X452">
            <v>15659</v>
          </cell>
          <cell r="Y452">
            <v>13889</v>
          </cell>
          <cell r="Z452">
            <v>14033</v>
          </cell>
          <cell r="AA452">
            <v>14579</v>
          </cell>
          <cell r="AB452">
            <v>15204</v>
          </cell>
          <cell r="AC452">
            <v>15204</v>
          </cell>
          <cell r="AD452">
            <v>13924</v>
          </cell>
          <cell r="AE452">
            <v>14100</v>
          </cell>
          <cell r="AF452">
            <v>11707.072198626121</v>
          </cell>
          <cell r="AG452">
            <v>12205.561629350095</v>
          </cell>
          <cell r="AH452">
            <v>12205.561629350095</v>
          </cell>
          <cell r="AM452">
            <v>13599</v>
          </cell>
          <cell r="AN452">
            <v>14737.755326592</v>
          </cell>
          <cell r="AO452">
            <v>13598.755326592</v>
          </cell>
          <cell r="AP452">
            <v>13598.667413839999</v>
          </cell>
          <cell r="AQ452">
            <v>11216.507229204452</v>
          </cell>
          <cell r="AR452">
            <v>8439.1844124789768</v>
          </cell>
          <cell r="AS452">
            <v>2825.5437869220627</v>
          </cell>
          <cell r="AT452">
            <v>-2500.8169128360801</v>
          </cell>
        </row>
        <row r="453">
          <cell r="B453">
            <v>9.8148448043184882</v>
          </cell>
          <cell r="C453">
            <v>4.3445923349608719</v>
          </cell>
          <cell r="D453">
            <v>6.8865979381443303</v>
          </cell>
          <cell r="E453">
            <v>9.3514538558786349</v>
          </cell>
          <cell r="F453">
            <v>8.9707210487982518</v>
          </cell>
          <cell r="G453">
            <v>6.4094955489614245</v>
          </cell>
          <cell r="H453">
            <v>6.2130994588542636</v>
          </cell>
          <cell r="I453">
            <v>6.5868480725623586</v>
          </cell>
          <cell r="J453">
            <v>5.6939799331103682</v>
          </cell>
          <cell r="K453">
            <v>4.5297646515920622</v>
          </cell>
          <cell r="L453">
            <v>3.2406962785114044</v>
          </cell>
          <cell r="M453">
            <v>4.5321951219512195</v>
          </cell>
          <cell r="N453">
            <v>4.3670975323149239</v>
          </cell>
          <cell r="O453">
            <v>6.1032558139534885</v>
          </cell>
          <cell r="P453">
            <v>5.620151256404001</v>
          </cell>
          <cell r="Q453">
            <v>7.0751667521806061</v>
          </cell>
          <cell r="R453">
            <v>9.7237479806138936</v>
          </cell>
          <cell r="S453">
            <v>9.6716657739689342</v>
          </cell>
          <cell r="T453">
            <v>10.848904907125036</v>
          </cell>
          <cell r="U453">
            <v>9.4266487213997312</v>
          </cell>
          <cell r="V453">
            <v>8.7281267268373544</v>
          </cell>
          <cell r="W453">
            <v>9.6106792144026194</v>
          </cell>
          <cell r="X453">
            <v>10.222391469916223</v>
          </cell>
          <cell r="Y453">
            <v>9.2732247327736559</v>
          </cell>
          <cell r="Z453">
            <v>8.4382627843030171</v>
          </cell>
          <cell r="AA453">
            <v>7.6873788733605695</v>
          </cell>
          <cell r="AB453">
            <v>8.1955789965238317</v>
          </cell>
          <cell r="AC453">
            <v>8.7980959631398203</v>
          </cell>
          <cell r="AD453">
            <v>9.6512410562136779</v>
          </cell>
          <cell r="AE453">
            <v>9.2674005824552665</v>
          </cell>
          <cell r="AF453">
            <v>7.0256956657908605</v>
          </cell>
          <cell r="AG453">
            <v>7.5747264428153391</v>
          </cell>
          <cell r="AH453">
            <v>7.8217542094032444</v>
          </cell>
          <cell r="AM453">
            <v>8.5492455993294207</v>
          </cell>
          <cell r="AN453">
            <v>9.1657457330450356</v>
          </cell>
          <cell r="AO453">
            <v>8.1379546727623424</v>
          </cell>
          <cell r="AP453">
            <v>7.6344075770849429</v>
          </cell>
          <cell r="AQ453">
            <v>5.0367044803969394</v>
          </cell>
          <cell r="AR453">
            <v>3.5885152342042934</v>
          </cell>
          <cell r="AS453">
            <v>1.1144371327704263</v>
          </cell>
          <cell r="AT453">
            <v>-0.93257841715920131</v>
          </cell>
        </row>
        <row r="454">
          <cell r="B454">
            <v>6.873235887096774</v>
          </cell>
          <cell r="C454">
            <v>3.4920703188000646</v>
          </cell>
          <cell r="D454">
            <v>4.6993990913088082</v>
          </cell>
          <cell r="E454">
            <v>6.5128769535549198</v>
          </cell>
          <cell r="F454">
            <v>7.165095986038394</v>
          </cell>
          <cell r="G454">
            <v>5.1452592246613733</v>
          </cell>
          <cell r="H454">
            <v>4.9540818980442323</v>
          </cell>
          <cell r="I454">
            <v>5.0163481464425512</v>
          </cell>
          <cell r="J454">
            <v>4.6061089224140073</v>
          </cell>
          <cell r="K454">
            <v>3.5862040745942139</v>
          </cell>
          <cell r="L454">
            <v>2.777834945462029</v>
          </cell>
          <cell r="M454">
            <v>3.5244800765970314</v>
          </cell>
          <cell r="N454">
            <v>3.537273697980083</v>
          </cell>
          <cell r="O454">
            <v>5.0666179302107679</v>
          </cell>
          <cell r="P454">
            <v>4.3821988034887154</v>
          </cell>
          <cell r="Q454">
            <v>6.0229307709106799</v>
          </cell>
          <cell r="R454">
            <v>7.5315954118873831</v>
          </cell>
          <cell r="S454">
            <v>7.8017735133094508</v>
          </cell>
          <cell r="T454">
            <v>8.520608017628243</v>
          </cell>
          <cell r="U454">
            <v>7.3206676816840464</v>
          </cell>
          <cell r="V454">
            <v>7.1856750531134885</v>
          </cell>
          <cell r="W454">
            <v>7.7317704218675933</v>
          </cell>
          <cell r="X454">
            <v>8.1687410067251225</v>
          </cell>
          <cell r="Y454">
            <v>7.7746064241355013</v>
          </cell>
          <cell r="Z454">
            <v>7.0272859031091226</v>
          </cell>
          <cell r="AA454">
            <v>6.6091538267956684</v>
          </cell>
          <cell r="AB454">
            <v>6.8296639028845147</v>
          </cell>
          <cell r="AC454">
            <v>7.4026482786002665</v>
          </cell>
          <cell r="AD454">
            <v>7.9066495456350676</v>
          </cell>
          <cell r="AE454">
            <v>7.3868570506800468</v>
          </cell>
          <cell r="AF454">
            <v>5.8964602653950138</v>
          </cell>
          <cell r="AG454">
            <v>6.1449489569033853</v>
          </cell>
          <cell r="AH454">
            <v>6.3890408943880725</v>
          </cell>
          <cell r="AM454">
            <v>7.0550485567430608</v>
          </cell>
          <cell r="AN454">
            <v>7.540308234375833</v>
          </cell>
          <cell r="AO454">
            <v>6.7399374857242877</v>
          </cell>
          <cell r="AP454">
            <v>6.1918321571067052</v>
          </cell>
          <cell r="AQ454">
            <v>4.2225502688928298</v>
          </cell>
          <cell r="AR454">
            <v>2.9802439457092591</v>
          </cell>
          <cell r="AS454">
            <v>0.92187165929359272</v>
          </cell>
          <cell r="AT454">
            <v>-0.7690474598493301</v>
          </cell>
        </row>
        <row r="455">
          <cell r="B455">
            <v>6.040197109794585</v>
          </cell>
          <cell r="C455">
            <v>3.1466356634210144</v>
          </cell>
          <cell r="D455">
            <v>4.0210684725357408</v>
          </cell>
          <cell r="E455">
            <v>5.5356407857811041</v>
          </cell>
          <cell r="F455">
            <v>6.516978276860244</v>
          </cell>
          <cell r="G455">
            <v>4.7736699094410904</v>
          </cell>
          <cell r="H455">
            <v>4.2207616613950316</v>
          </cell>
          <cell r="I455">
            <v>4.2890429136539669</v>
          </cell>
          <cell r="J455">
            <v>3.8529620659571284</v>
          </cell>
          <cell r="K455">
            <v>3.1817759697147823</v>
          </cell>
          <cell r="L455">
            <v>2.3902428154365678</v>
          </cell>
          <cell r="M455">
            <v>3.1392596672202298</v>
          </cell>
          <cell r="N455">
            <v>3.0178375399970063</v>
          </cell>
          <cell r="O455">
            <v>4.102942357999134</v>
          </cell>
          <cell r="P455">
            <v>3.5652219869176176</v>
          </cell>
          <cell r="Q455">
            <v>5.1839489358385782</v>
          </cell>
          <cell r="R455">
            <v>6.4520402010040492</v>
          </cell>
          <cell r="S455">
            <v>6.5139949446919028</v>
          </cell>
          <cell r="T455">
            <v>6.5450026977701654</v>
          </cell>
          <cell r="U455">
            <v>6.627299404472466</v>
          </cell>
          <cell r="V455">
            <v>4.4465111393904948</v>
          </cell>
          <cell r="W455">
            <v>6.7691099384150357</v>
          </cell>
          <cell r="X455">
            <v>6.2809868769369794</v>
          </cell>
          <cell r="Y455">
            <v>6.4023285304646551</v>
          </cell>
          <cell r="Z455">
            <v>5.3099112825390389</v>
          </cell>
          <cell r="AA455">
            <v>6.0121680590221604</v>
          </cell>
          <cell r="AB455">
            <v>5.5210558045785527</v>
          </cell>
          <cell r="AC455">
            <v>6.0871627927850316</v>
          </cell>
          <cell r="AD455">
            <v>6.6795973821181516</v>
          </cell>
          <cell r="AE455">
            <v>5.9647899549856396</v>
          </cell>
          <cell r="AF455">
            <v>5.0783345635300359</v>
          </cell>
          <cell r="AG455">
            <v>4.7386003525276399</v>
          </cell>
          <cell r="AH455">
            <v>5.2318259262196198</v>
          </cell>
          <cell r="AM455">
            <v>5.8620326354265435</v>
          </cell>
          <cell r="AN455">
            <v>6.448478400034765</v>
          </cell>
          <cell r="AO455">
            <v>5.7902250910012816</v>
          </cell>
          <cell r="AP455">
            <v>5.2706332369036533</v>
          </cell>
          <cell r="AQ455">
            <v>3.6928821319248968</v>
          </cell>
          <cell r="AR455">
            <v>2.5955929573437793</v>
          </cell>
          <cell r="AS455">
            <v>0.806746235229307</v>
          </cell>
          <cell r="AT455">
            <v>-0.66412907217643569</v>
          </cell>
        </row>
        <row r="457">
          <cell r="F457">
            <v>12785</v>
          </cell>
          <cell r="G457">
            <v>11875</v>
          </cell>
          <cell r="H457">
            <v>10950</v>
          </cell>
          <cell r="I457">
            <v>10265</v>
          </cell>
          <cell r="J457">
            <v>8834</v>
          </cell>
          <cell r="K457">
            <v>7936</v>
          </cell>
          <cell r="L457">
            <v>6524</v>
          </cell>
          <cell r="M457">
            <v>7129</v>
          </cell>
          <cell r="N457">
            <v>7129</v>
          </cell>
          <cell r="O457">
            <v>7479</v>
          </cell>
          <cell r="P457">
            <v>8126</v>
          </cell>
          <cell r="Q457">
            <v>9948</v>
          </cell>
          <cell r="R457">
            <v>13227</v>
          </cell>
          <cell r="S457">
            <v>13527</v>
          </cell>
          <cell r="T457">
            <v>14334</v>
          </cell>
          <cell r="U457">
            <v>14731</v>
          </cell>
          <cell r="V457">
            <v>16230</v>
          </cell>
          <cell r="W457">
            <v>15917</v>
          </cell>
          <cell r="X457">
            <v>15917</v>
          </cell>
          <cell r="Y457">
            <v>14259.81</v>
          </cell>
          <cell r="Z457">
            <v>14910.864313911999</v>
          </cell>
          <cell r="AA457">
            <v>15361.56346136</v>
          </cell>
          <cell r="AB457">
            <v>15654.897529125999</v>
          </cell>
          <cell r="AC457">
            <v>15654.897529125999</v>
          </cell>
          <cell r="AD457">
            <v>15196</v>
          </cell>
          <cell r="AE457">
            <v>15079</v>
          </cell>
          <cell r="AF457">
            <v>12313.159296965434</v>
          </cell>
          <cell r="AG457">
            <v>12042.830994935679</v>
          </cell>
          <cell r="AH457">
            <v>12177.830994935679</v>
          </cell>
          <cell r="AM457">
            <v>12714</v>
          </cell>
          <cell r="AN457">
            <v>13020</v>
          </cell>
          <cell r="AO457">
            <v>11539</v>
          </cell>
          <cell r="AP457">
            <v>9516</v>
          </cell>
          <cell r="AQ457">
            <v>7238.4040229250531</v>
          </cell>
          <cell r="AR457">
            <v>4804.0829157836779</v>
          </cell>
          <cell r="AS457">
            <v>-445.5560285079373</v>
          </cell>
          <cell r="AT457">
            <v>-5407.9167282660801</v>
          </cell>
        </row>
        <row r="458">
          <cell r="F458">
            <v>9743</v>
          </cell>
          <cell r="G458">
            <v>8613</v>
          </cell>
          <cell r="H458">
            <v>8324</v>
          </cell>
          <cell r="I458">
            <v>7230</v>
          </cell>
          <cell r="J458">
            <v>6983</v>
          </cell>
          <cell r="K458">
            <v>6261</v>
          </cell>
          <cell r="L458">
            <v>4934</v>
          </cell>
          <cell r="M458">
            <v>5464</v>
          </cell>
          <cell r="N458">
            <v>5464</v>
          </cell>
          <cell r="O458">
            <v>5752</v>
          </cell>
          <cell r="P458">
            <v>6451</v>
          </cell>
          <cell r="Q458">
            <v>8427</v>
          </cell>
          <cell r="R458">
            <v>10965</v>
          </cell>
          <cell r="S458">
            <v>10965</v>
          </cell>
          <cell r="T458">
            <v>11722</v>
          </cell>
          <cell r="U458">
            <v>12404</v>
          </cell>
          <cell r="V458">
            <v>14082</v>
          </cell>
          <cell r="W458">
            <v>13720</v>
          </cell>
          <cell r="X458">
            <v>13720</v>
          </cell>
          <cell r="Y458">
            <v>11777</v>
          </cell>
          <cell r="Z458">
            <v>11738.054313912</v>
          </cell>
          <cell r="AA458">
            <v>12245.75346136</v>
          </cell>
          <cell r="AB458">
            <v>12687.507529126</v>
          </cell>
          <cell r="AC458">
            <v>12687.507529126</v>
          </cell>
          <cell r="AD458">
            <v>11956</v>
          </cell>
          <cell r="AE458">
            <v>11908</v>
          </cell>
          <cell r="AF458">
            <v>9473.1592969654339</v>
          </cell>
          <cell r="AG458">
            <v>9825.830994935679</v>
          </cell>
          <cell r="AH458">
            <v>9960.830994935679</v>
          </cell>
          <cell r="AM458">
            <v>11504</v>
          </cell>
          <cell r="AN458">
            <v>12177</v>
          </cell>
          <cell r="AO458">
            <v>10696</v>
          </cell>
          <cell r="AP458">
            <v>8673</v>
          </cell>
          <cell r="AQ458">
            <v>6072.4040229250531</v>
          </cell>
          <cell r="AR458">
            <v>3295.0829157836779</v>
          </cell>
          <cell r="AS458">
            <v>-2318.5560285079373</v>
          </cell>
          <cell r="AT458">
            <v>-7644.9167282660801</v>
          </cell>
        </row>
        <row r="459">
          <cell r="F459">
            <v>854</v>
          </cell>
          <cell r="G459">
            <v>808</v>
          </cell>
          <cell r="H459">
            <v>728</v>
          </cell>
          <cell r="I459">
            <v>725</v>
          </cell>
          <cell r="J459">
            <v>680</v>
          </cell>
          <cell r="K459">
            <v>464</v>
          </cell>
          <cell r="L459">
            <v>464</v>
          </cell>
          <cell r="M459">
            <v>459</v>
          </cell>
          <cell r="N459">
            <v>459</v>
          </cell>
          <cell r="O459">
            <v>374</v>
          </cell>
          <cell r="P459">
            <v>374</v>
          </cell>
          <cell r="Q459">
            <v>374</v>
          </cell>
          <cell r="R459">
            <v>375</v>
          </cell>
          <cell r="S459">
            <v>375</v>
          </cell>
          <cell r="T459">
            <v>375</v>
          </cell>
          <cell r="U459">
            <v>375</v>
          </cell>
          <cell r="V459">
            <v>375</v>
          </cell>
          <cell r="W459">
            <v>375</v>
          </cell>
          <cell r="X459">
            <v>375</v>
          </cell>
          <cell r="Y459">
            <v>85.81</v>
          </cell>
          <cell r="Z459">
            <v>85.81</v>
          </cell>
          <cell r="AA459">
            <v>85.81</v>
          </cell>
          <cell r="AB459">
            <v>48.39</v>
          </cell>
          <cell r="AC459">
            <v>48.39</v>
          </cell>
          <cell r="AD459">
            <v>77</v>
          </cell>
          <cell r="AE459">
            <v>77</v>
          </cell>
          <cell r="AF459">
            <v>77</v>
          </cell>
          <cell r="AG459">
            <v>40</v>
          </cell>
          <cell r="AH459">
            <v>40</v>
          </cell>
          <cell r="AM459">
            <v>40</v>
          </cell>
          <cell r="AN459">
            <v>40</v>
          </cell>
          <cell r="AO459">
            <v>40</v>
          </cell>
          <cell r="AP459">
            <v>40</v>
          </cell>
          <cell r="AQ459">
            <v>40</v>
          </cell>
          <cell r="AR459">
            <v>40</v>
          </cell>
          <cell r="AS459">
            <v>40</v>
          </cell>
          <cell r="AT459">
            <v>40</v>
          </cell>
        </row>
        <row r="460">
          <cell r="F460">
            <v>1888</v>
          </cell>
          <cell r="G460">
            <v>2154</v>
          </cell>
          <cell r="H460">
            <v>1598</v>
          </cell>
          <cell r="I460">
            <v>2010</v>
          </cell>
          <cell r="J460">
            <v>871</v>
          </cell>
          <cell r="K460">
            <v>911</v>
          </cell>
          <cell r="L460">
            <v>826</v>
          </cell>
          <cell r="M460">
            <v>906</v>
          </cell>
          <cell r="N460">
            <v>906</v>
          </cell>
          <cell r="O460">
            <v>1053</v>
          </cell>
          <cell r="P460">
            <v>1001</v>
          </cell>
          <cell r="Q460">
            <v>847</v>
          </cell>
          <cell r="R460">
            <v>1587</v>
          </cell>
          <cell r="S460">
            <v>1587</v>
          </cell>
          <cell r="T460">
            <v>1637</v>
          </cell>
          <cell r="U460">
            <v>1352</v>
          </cell>
          <cell r="V460">
            <v>1173</v>
          </cell>
          <cell r="W460">
            <v>1222</v>
          </cell>
          <cell r="X460">
            <v>1222</v>
          </cell>
          <cell r="Y460">
            <v>1797</v>
          </cell>
          <cell r="Z460">
            <v>2487</v>
          </cell>
          <cell r="AA460">
            <v>2430</v>
          </cell>
          <cell r="AB460">
            <v>2319</v>
          </cell>
          <cell r="AC460">
            <v>2319</v>
          </cell>
          <cell r="AD460">
            <v>2563</v>
          </cell>
          <cell r="AE460">
            <v>2494</v>
          </cell>
          <cell r="AF460">
            <v>2163</v>
          </cell>
          <cell r="AG460">
            <v>1577</v>
          </cell>
          <cell r="AH460">
            <v>1577</v>
          </cell>
          <cell r="AM460">
            <v>570</v>
          </cell>
          <cell r="AN460">
            <v>203</v>
          </cell>
          <cell r="AO460">
            <v>203</v>
          </cell>
          <cell r="AP460">
            <v>203</v>
          </cell>
          <cell r="AQ460">
            <v>526</v>
          </cell>
          <cell r="AR460">
            <v>869</v>
          </cell>
          <cell r="AS460">
            <v>1233</v>
          </cell>
          <cell r="AT460">
            <v>1597</v>
          </cell>
        </row>
        <row r="461">
          <cell r="F461">
            <v>300</v>
          </cell>
          <cell r="G461">
            <v>300</v>
          </cell>
          <cell r="H461">
            <v>300</v>
          </cell>
          <cell r="I461">
            <v>300</v>
          </cell>
          <cell r="J461">
            <v>300</v>
          </cell>
          <cell r="K461">
            <v>300</v>
          </cell>
          <cell r="L461">
            <v>300</v>
          </cell>
          <cell r="M461">
            <v>300</v>
          </cell>
          <cell r="N461">
            <v>300</v>
          </cell>
          <cell r="O461">
            <v>300</v>
          </cell>
          <cell r="P461">
            <v>300</v>
          </cell>
          <cell r="Q461">
            <v>300</v>
          </cell>
          <cell r="R461">
            <v>300</v>
          </cell>
          <cell r="S461">
            <v>600</v>
          </cell>
          <cell r="T461">
            <v>600</v>
          </cell>
          <cell r="U461">
            <v>600</v>
          </cell>
          <cell r="V461">
            <v>600</v>
          </cell>
          <cell r="W461">
            <v>600</v>
          </cell>
          <cell r="X461">
            <v>600</v>
          </cell>
          <cell r="Y461">
            <v>600</v>
          </cell>
          <cell r="Z461">
            <v>600</v>
          </cell>
          <cell r="AA461">
            <v>600</v>
          </cell>
          <cell r="AB461">
            <v>600</v>
          </cell>
          <cell r="AC461">
            <v>600</v>
          </cell>
          <cell r="AD461">
            <v>600</v>
          </cell>
          <cell r="AE461">
            <v>600</v>
          </cell>
          <cell r="AF461">
            <v>600</v>
          </cell>
          <cell r="AG461">
            <v>600</v>
          </cell>
          <cell r="AH461">
            <v>600</v>
          </cell>
          <cell r="AM461">
            <v>600</v>
          </cell>
          <cell r="AN461">
            <v>600</v>
          </cell>
          <cell r="AO461">
            <v>600</v>
          </cell>
          <cell r="AP461">
            <v>600</v>
          </cell>
          <cell r="AQ461">
            <v>600</v>
          </cell>
          <cell r="AR461">
            <v>600</v>
          </cell>
          <cell r="AS461">
            <v>600</v>
          </cell>
          <cell r="AT461">
            <v>600</v>
          </cell>
        </row>
        <row r="462">
          <cell r="B462">
            <v>13796</v>
          </cell>
          <cell r="C462">
            <v>14830</v>
          </cell>
          <cell r="D462">
            <v>14800</v>
          </cell>
          <cell r="E462">
            <v>15000</v>
          </cell>
          <cell r="F462">
            <v>15000</v>
          </cell>
          <cell r="G462">
            <v>15000</v>
          </cell>
          <cell r="H462">
            <v>20154</v>
          </cell>
          <cell r="I462">
            <v>16054</v>
          </cell>
          <cell r="J462">
            <v>16334</v>
          </cell>
          <cell r="K462">
            <v>16878</v>
          </cell>
          <cell r="L462">
            <v>17247</v>
          </cell>
          <cell r="M462">
            <v>17303</v>
          </cell>
          <cell r="N462">
            <v>17303</v>
          </cell>
          <cell r="O462">
            <v>18401</v>
          </cell>
          <cell r="P462">
            <v>18106</v>
          </cell>
          <cell r="Q462">
            <v>18403</v>
          </cell>
          <cell r="R462">
            <v>17582</v>
          </cell>
          <cell r="S462">
            <v>17582</v>
          </cell>
          <cell r="T462">
            <v>18458</v>
          </cell>
          <cell r="U462">
            <v>19466</v>
          </cell>
          <cell r="V462">
            <v>20405</v>
          </cell>
          <cell r="W462">
            <v>21514</v>
          </cell>
          <cell r="X462">
            <v>21514</v>
          </cell>
          <cell r="Y462">
            <v>23508.296249999999</v>
          </cell>
          <cell r="Z462">
            <v>23890.243268294926</v>
          </cell>
          <cell r="AA462">
            <v>23705.59097340771</v>
          </cell>
          <cell r="AB462">
            <v>24368.407438863185</v>
          </cell>
          <cell r="AC462">
            <v>21587.407438863185</v>
          </cell>
          <cell r="AD462">
            <v>22751</v>
          </cell>
          <cell r="AE462">
            <v>23491</v>
          </cell>
          <cell r="AF462">
            <v>25629.319374999999</v>
          </cell>
          <cell r="AG462">
            <v>26936.225418480979</v>
          </cell>
          <cell r="AH462">
            <v>23880.225418480979</v>
          </cell>
          <cell r="AM462">
            <v>26008</v>
          </cell>
          <cell r="AN462">
            <v>28839.06943774212</v>
          </cell>
          <cell r="AO462">
            <v>30008.390341599166</v>
          </cell>
          <cell r="AP462">
            <v>33358.412774536249</v>
          </cell>
          <cell r="AQ462">
            <v>23215.279051501348</v>
          </cell>
          <cell r="AR462">
            <v>22697.97923162657</v>
          </cell>
          <cell r="AS462">
            <v>23908.596940812953</v>
          </cell>
          <cell r="AT462">
            <v>24710.338443981462</v>
          </cell>
        </row>
        <row r="463">
          <cell r="B463">
            <v>2.3E-2</v>
          </cell>
          <cell r="C463">
            <v>2.3E-2</v>
          </cell>
          <cell r="D463">
            <v>2.3E-2</v>
          </cell>
          <cell r="E463">
            <v>2.3E-2</v>
          </cell>
          <cell r="F463">
            <v>2.3E-2</v>
          </cell>
          <cell r="G463">
            <v>2.3E-2</v>
          </cell>
          <cell r="H463">
            <v>2.3E-2</v>
          </cell>
          <cell r="I463">
            <v>2.3E-2</v>
          </cell>
          <cell r="N463">
            <v>2.3100000000000002E-2</v>
          </cell>
          <cell r="S463">
            <v>2.1000000000000001E-2</v>
          </cell>
          <cell r="X463">
            <v>1.7000000000000001E-2</v>
          </cell>
          <cell r="AC463">
            <v>0.02</v>
          </cell>
          <cell r="AH463">
            <v>1.2E-2</v>
          </cell>
          <cell r="AM463">
            <v>1.2E-2</v>
          </cell>
          <cell r="AN463">
            <v>1.4999999999999999E-2</v>
          </cell>
          <cell r="AO463">
            <v>1.4999999999999999E-2</v>
          </cell>
          <cell r="AP463">
            <v>1.7999999999999999E-2</v>
          </cell>
          <cell r="AQ463">
            <v>1.9E-2</v>
          </cell>
          <cell r="AR463">
            <v>0.02</v>
          </cell>
          <cell r="AS463">
            <v>0.02</v>
          </cell>
          <cell r="AT463">
            <v>0.02</v>
          </cell>
        </row>
        <row r="464">
          <cell r="C464">
            <v>8.1299999999999997E-2</v>
          </cell>
          <cell r="D464">
            <v>9.2700000000000005E-2</v>
          </cell>
          <cell r="E464">
            <v>8.3500000000000005E-2</v>
          </cell>
          <cell r="F464">
            <v>6.08E-2</v>
          </cell>
          <cell r="G464">
            <v>3.8700000000000005E-2</v>
          </cell>
          <cell r="H464">
            <v>3.4099999999999998E-2</v>
          </cell>
          <cell r="I464">
            <v>5.0700000000000002E-2</v>
          </cell>
          <cell r="N464">
            <v>6.1700000000000005E-2</v>
          </cell>
          <cell r="S464">
            <v>5.5900000000000005E-2</v>
          </cell>
          <cell r="T464">
            <v>5.7000000000000002E-2</v>
          </cell>
          <cell r="U464">
            <v>5.9799999999999999E-2</v>
          </cell>
          <cell r="V464">
            <v>5.8299999999999998E-2</v>
          </cell>
          <cell r="W464">
            <v>5.9299999999999999E-2</v>
          </cell>
          <cell r="X464">
            <v>5.8599999999999999E-2</v>
          </cell>
          <cell r="Y464">
            <v>6.25E-2</v>
          </cell>
          <cell r="Z464">
            <v>6.25E-2</v>
          </cell>
          <cell r="AA464">
            <v>6.25E-2</v>
          </cell>
          <cell r="AB464">
            <v>6.25E-2</v>
          </cell>
          <cell r="AC464">
            <v>6.25E-2</v>
          </cell>
          <cell r="AD464">
            <v>5.7030320000000002E-2</v>
          </cell>
          <cell r="AE464">
            <v>5.8530730000000003E-2</v>
          </cell>
          <cell r="AF464">
            <v>5.7500000000000002E-2</v>
          </cell>
          <cell r="AG464">
            <v>5.7500000000000002E-2</v>
          </cell>
          <cell r="AH464">
            <v>5.5500000000000001E-2</v>
          </cell>
          <cell r="AM464">
            <v>5.5500000000000001E-2</v>
          </cell>
          <cell r="AN464">
            <v>5.0999999999999997E-2</v>
          </cell>
          <cell r="AO464">
            <v>5.0999999999999997E-2</v>
          </cell>
          <cell r="AP464">
            <v>5.0999999999999997E-2</v>
          </cell>
          <cell r="AQ464">
            <v>5.0999999999999997E-2</v>
          </cell>
          <cell r="AR464">
            <v>5.0999999999999997E-2</v>
          </cell>
          <cell r="AS464">
            <v>5.0999999999999997E-2</v>
          </cell>
          <cell r="AT464">
            <v>5.0999999999999997E-2</v>
          </cell>
        </row>
        <row r="520">
          <cell r="B520">
            <v>1987</v>
          </cell>
          <cell r="C520">
            <v>1988</v>
          </cell>
          <cell r="D520">
            <v>1989</v>
          </cell>
          <cell r="E520">
            <v>1990</v>
          </cell>
          <cell r="F520">
            <v>1991</v>
          </cell>
          <cell r="G520">
            <v>1992</v>
          </cell>
          <cell r="H520">
            <v>1993</v>
          </cell>
          <cell r="I520">
            <v>1994</v>
          </cell>
          <cell r="J520" t="str">
            <v>1995</v>
          </cell>
          <cell r="K520" t="str">
            <v>1995</v>
          </cell>
          <cell r="L520" t="str">
            <v>1995</v>
          </cell>
          <cell r="M520" t="str">
            <v>1995</v>
          </cell>
          <cell r="N520">
            <v>1995</v>
          </cell>
          <cell r="O520">
            <v>1996</v>
          </cell>
          <cell r="P520">
            <v>1996</v>
          </cell>
          <cell r="Q520">
            <v>1996</v>
          </cell>
          <cell r="R520">
            <v>1996</v>
          </cell>
          <cell r="S520">
            <v>1996</v>
          </cell>
          <cell r="T520">
            <v>1997</v>
          </cell>
          <cell r="U520">
            <v>1997</v>
          </cell>
          <cell r="V520">
            <v>1997</v>
          </cell>
          <cell r="W520">
            <v>1997</v>
          </cell>
          <cell r="X520">
            <v>1997</v>
          </cell>
          <cell r="Y520">
            <v>1998</v>
          </cell>
          <cell r="Z520">
            <v>1998</v>
          </cell>
          <cell r="AA520">
            <v>1998</v>
          </cell>
          <cell r="AB520">
            <v>1998</v>
          </cell>
          <cell r="AC520">
            <v>1998</v>
          </cell>
          <cell r="AD520">
            <v>1998</v>
          </cell>
          <cell r="AE520">
            <v>1998</v>
          </cell>
          <cell r="AF520">
            <v>1998</v>
          </cell>
          <cell r="AG520">
            <v>1998</v>
          </cell>
          <cell r="AN520" t="e">
            <v>#REF!</v>
          </cell>
          <cell r="AP520" t="e">
            <v>#REF!</v>
          </cell>
          <cell r="AQ520" t="e">
            <v>#REF!</v>
          </cell>
          <cell r="AR520" t="e">
            <v>#REF!</v>
          </cell>
          <cell r="AS520" t="e">
            <v>#REF!</v>
          </cell>
        </row>
        <row r="521">
          <cell r="J521" t="str">
            <v>Q1</v>
          </cell>
          <cell r="K521" t="str">
            <v>Q2</v>
          </cell>
          <cell r="L521" t="str">
            <v>Q3</v>
          </cell>
          <cell r="M521" t="str">
            <v>Q4</v>
          </cell>
          <cell r="O521" t="str">
            <v>Q1</v>
          </cell>
          <cell r="P521" t="str">
            <v>Q2</v>
          </cell>
          <cell r="Q521" t="str">
            <v>Q3</v>
          </cell>
          <cell r="R521" t="str">
            <v>Q4</v>
          </cell>
          <cell r="T521" t="str">
            <v>Q1</v>
          </cell>
          <cell r="U521" t="str">
            <v>Q2</v>
          </cell>
          <cell r="V521" t="str">
            <v>Q3</v>
          </cell>
          <cell r="W521" t="str">
            <v>Q4</v>
          </cell>
          <cell r="Y521" t="str">
            <v>Q1</v>
          </cell>
          <cell r="Z521" t="str">
            <v>Q2</v>
          </cell>
          <cell r="AA521" t="str">
            <v>Q3</v>
          </cell>
          <cell r="AB521" t="str">
            <v>Q4</v>
          </cell>
          <cell r="AD521" t="str">
            <v>Q1</v>
          </cell>
          <cell r="AE521" t="str">
            <v>Q2</v>
          </cell>
          <cell r="AF521" t="str">
            <v>Q3</v>
          </cell>
          <cell r="AG521" t="str">
            <v>Q4</v>
          </cell>
        </row>
        <row r="522">
          <cell r="O522" t="str">
            <v>Prel.</v>
          </cell>
          <cell r="P522" t="str">
            <v>Prel.</v>
          </cell>
          <cell r="Q522" t="str">
            <v>Prel.</v>
          </cell>
          <cell r="R522" t="str">
            <v>Prel.</v>
          </cell>
          <cell r="S522" t="str">
            <v>Prel.</v>
          </cell>
          <cell r="T522" t="str">
            <v>Prel.</v>
          </cell>
          <cell r="U522" t="str">
            <v>Prel.</v>
          </cell>
          <cell r="V522" t="str">
            <v>Prel.</v>
          </cell>
          <cell r="W522" t="str">
            <v>Prel.</v>
          </cell>
          <cell r="X522" t="str">
            <v>Prel.</v>
          </cell>
          <cell r="Y522" t="str">
            <v>Prog.</v>
          </cell>
          <cell r="Z522" t="str">
            <v>Prog.</v>
          </cell>
          <cell r="AA522" t="str">
            <v>Prog.</v>
          </cell>
          <cell r="AB522" t="str">
            <v>Prog.</v>
          </cell>
          <cell r="AC522" t="str">
            <v>Prog.</v>
          </cell>
          <cell r="AD522" t="str">
            <v>Prog.</v>
          </cell>
          <cell r="AE522" t="str">
            <v>Prog.</v>
          </cell>
          <cell r="AF522" t="str">
            <v>Prog.</v>
          </cell>
          <cell r="AG522" t="str">
            <v>Prog.</v>
          </cell>
          <cell r="AN522" t="str">
            <v>Proj.</v>
          </cell>
          <cell r="AP522" t="str">
            <v>Proj.</v>
          </cell>
          <cell r="AQ522" t="str">
            <v>Proj.</v>
          </cell>
          <cell r="AR522" t="str">
            <v>Proj.</v>
          </cell>
          <cell r="AS522" t="str">
            <v>Proj.</v>
          </cell>
        </row>
        <row r="524">
          <cell r="G524">
            <v>-3753</v>
          </cell>
          <cell r="H524">
            <v>-1992.7672000000002</v>
          </cell>
          <cell r="I524">
            <v>2541</v>
          </cell>
          <cell r="N524">
            <v>2018.2069999999999</v>
          </cell>
          <cell r="S524">
            <v>8824.27</v>
          </cell>
          <cell r="X524">
            <v>4684.7</v>
          </cell>
        </row>
        <row r="525">
          <cell r="G525">
            <v>1274</v>
          </cell>
          <cell r="H525">
            <v>3196</v>
          </cell>
          <cell r="I525">
            <v>7559</v>
          </cell>
          <cell r="N525">
            <v>6905</v>
          </cell>
          <cell r="S525">
            <v>13590</v>
          </cell>
          <cell r="X525">
            <v>10550</v>
          </cell>
        </row>
        <row r="526">
          <cell r="G526">
            <v>13988</v>
          </cell>
          <cell r="H526">
            <v>14586</v>
          </cell>
          <cell r="I526">
            <v>15905</v>
          </cell>
          <cell r="N526">
            <v>18842</v>
          </cell>
          <cell r="S526">
            <v>23400</v>
          </cell>
          <cell r="X526">
            <v>23445</v>
          </cell>
        </row>
        <row r="527">
          <cell r="G527">
            <v>11014</v>
          </cell>
          <cell r="H527">
            <v>10855</v>
          </cell>
          <cell r="I527">
            <v>11351</v>
          </cell>
          <cell r="N527">
            <v>13630</v>
          </cell>
          <cell r="S527">
            <v>18385</v>
          </cell>
          <cell r="X527">
            <v>18041</v>
          </cell>
        </row>
        <row r="528">
          <cell r="G528">
            <v>2974</v>
          </cell>
          <cell r="H528">
            <v>3731</v>
          </cell>
          <cell r="I528">
            <v>4554</v>
          </cell>
          <cell r="N528">
            <v>5212</v>
          </cell>
          <cell r="S528">
            <v>5015</v>
          </cell>
          <cell r="X528">
            <v>5404</v>
          </cell>
        </row>
        <row r="529">
          <cell r="G529">
            <v>1112</v>
          </cell>
          <cell r="H529">
            <v>1315</v>
          </cell>
          <cell r="I529">
            <v>1641</v>
          </cell>
          <cell r="N529">
            <v>1776</v>
          </cell>
          <cell r="S529">
            <v>1743</v>
          </cell>
          <cell r="X529">
            <v>1780</v>
          </cell>
        </row>
        <row r="530">
          <cell r="G530">
            <v>1862</v>
          </cell>
          <cell r="H530">
            <v>2416</v>
          </cell>
          <cell r="I530">
            <v>2913</v>
          </cell>
          <cell r="N530">
            <v>3436</v>
          </cell>
          <cell r="S530">
            <v>3272</v>
          </cell>
          <cell r="X530">
            <v>3624</v>
          </cell>
        </row>
        <row r="531">
          <cell r="G531">
            <v>-12714</v>
          </cell>
          <cell r="H531">
            <v>-11390</v>
          </cell>
          <cell r="I531">
            <v>-8346</v>
          </cell>
          <cell r="N531">
            <v>-11937</v>
          </cell>
          <cell r="S531">
            <v>-9810</v>
          </cell>
          <cell r="X531">
            <v>-12895</v>
          </cell>
        </row>
      </sheetData>
      <sheetData sheetId="6" refreshError="1">
        <row r="3">
          <cell r="B3">
            <v>1987</v>
          </cell>
          <cell r="C3">
            <v>1988</v>
          </cell>
          <cell r="D3">
            <v>1989</v>
          </cell>
          <cell r="E3">
            <v>1990</v>
          </cell>
          <cell r="F3">
            <v>1991</v>
          </cell>
          <cell r="G3">
            <v>1992</v>
          </cell>
          <cell r="H3">
            <v>1993</v>
          </cell>
          <cell r="I3">
            <v>1994</v>
          </cell>
          <cell r="J3" t="str">
            <v>1995</v>
          </cell>
          <cell r="K3" t="str">
            <v>1995</v>
          </cell>
          <cell r="L3" t="str">
            <v>1995</v>
          </cell>
          <cell r="M3" t="str">
            <v>1995</v>
          </cell>
          <cell r="N3">
            <v>1995</v>
          </cell>
          <cell r="O3">
            <v>1996</v>
          </cell>
          <cell r="P3">
            <v>1996</v>
          </cell>
          <cell r="Q3">
            <v>1996</v>
          </cell>
          <cell r="R3">
            <v>1996</v>
          </cell>
          <cell r="S3">
            <v>1996</v>
          </cell>
          <cell r="T3">
            <v>1997</v>
          </cell>
          <cell r="U3">
            <v>1997</v>
          </cell>
          <cell r="V3">
            <v>1997</v>
          </cell>
          <cell r="W3">
            <v>1997</v>
          </cell>
          <cell r="X3">
            <v>1997</v>
          </cell>
          <cell r="Y3">
            <v>1998</v>
          </cell>
          <cell r="Z3">
            <v>1998</v>
          </cell>
          <cell r="AA3">
            <v>1998</v>
          </cell>
          <cell r="AB3">
            <v>1998</v>
          </cell>
          <cell r="AC3">
            <v>1998</v>
          </cell>
          <cell r="AD3">
            <v>1998</v>
          </cell>
          <cell r="AE3">
            <v>1998</v>
          </cell>
          <cell r="AF3">
            <v>1998</v>
          </cell>
          <cell r="AG3">
            <v>1998</v>
          </cell>
          <cell r="AH3">
            <v>1998</v>
          </cell>
          <cell r="AI3">
            <v>1998</v>
          </cell>
          <cell r="AJ3">
            <v>1998</v>
          </cell>
          <cell r="AK3">
            <v>1998</v>
          </cell>
          <cell r="AL3">
            <v>1998</v>
          </cell>
          <cell r="AM3">
            <v>1998</v>
          </cell>
          <cell r="AN3">
            <v>1999</v>
          </cell>
          <cell r="AO3">
            <v>2000</v>
          </cell>
          <cell r="AP3">
            <v>2001</v>
          </cell>
          <cell r="AQ3">
            <v>2002</v>
          </cell>
          <cell r="AR3">
            <v>2003</v>
          </cell>
          <cell r="AS3">
            <v>2004</v>
          </cell>
        </row>
        <row r="4">
          <cell r="J4" t="str">
            <v>Q1</v>
          </cell>
          <cell r="K4" t="str">
            <v>Q2</v>
          </cell>
          <cell r="L4" t="str">
            <v>Q3</v>
          </cell>
          <cell r="M4" t="str">
            <v>Q4</v>
          </cell>
          <cell r="O4" t="str">
            <v>Q1</v>
          </cell>
          <cell r="P4" t="str">
            <v>Q2</v>
          </cell>
          <cell r="Q4" t="str">
            <v>Q3</v>
          </cell>
          <cell r="R4" t="str">
            <v>Q4</v>
          </cell>
          <cell r="T4" t="str">
            <v>Q1</v>
          </cell>
          <cell r="U4" t="str">
            <v>Q2</v>
          </cell>
          <cell r="V4" t="str">
            <v>Q3</v>
          </cell>
          <cell r="W4" t="str">
            <v>Q4</v>
          </cell>
          <cell r="Y4" t="str">
            <v>Q1</v>
          </cell>
          <cell r="Z4" t="str">
            <v>Q2</v>
          </cell>
          <cell r="AA4" t="str">
            <v>Q3</v>
          </cell>
          <cell r="AB4" t="str">
            <v>Q4</v>
          </cell>
          <cell r="AC4" t="str">
            <v>Rev-3</v>
          </cell>
          <cell r="AD4" t="str">
            <v>Q1</v>
          </cell>
          <cell r="AE4" t="str">
            <v>Q2</v>
          </cell>
          <cell r="AF4" t="str">
            <v>Q3</v>
          </cell>
          <cell r="AG4" t="str">
            <v>Q4</v>
          </cell>
          <cell r="AH4" t="str">
            <v>Rev-3</v>
          </cell>
          <cell r="AI4" t="str">
            <v>Q1</v>
          </cell>
          <cell r="AJ4" t="str">
            <v>Q2</v>
          </cell>
          <cell r="AK4" t="str">
            <v>Q3</v>
          </cell>
          <cell r="AL4" t="str">
            <v>Q4</v>
          </cell>
        </row>
        <row r="5">
          <cell r="O5" t="str">
            <v>Prel.</v>
          </cell>
          <cell r="P5" t="str">
            <v>Prel.</v>
          </cell>
          <cell r="Q5" t="str">
            <v>Prel.</v>
          </cell>
          <cell r="R5" t="str">
            <v>Prel.</v>
          </cell>
          <cell r="S5" t="str">
            <v>Prel.</v>
          </cell>
          <cell r="T5" t="str">
            <v>Prel.</v>
          </cell>
          <cell r="U5" t="str">
            <v>Prel.</v>
          </cell>
          <cell r="V5" t="str">
            <v>Prel.</v>
          </cell>
          <cell r="W5" t="str">
            <v>Prel.</v>
          </cell>
          <cell r="X5" t="str">
            <v>Prel.</v>
          </cell>
          <cell r="Y5" t="str">
            <v>Prog.</v>
          </cell>
          <cell r="Z5" t="str">
            <v>Prog.</v>
          </cell>
          <cell r="AA5" t="str">
            <v>Prog.</v>
          </cell>
          <cell r="AB5" t="str">
            <v>Prog.</v>
          </cell>
          <cell r="AC5" t="str">
            <v>Prog.</v>
          </cell>
          <cell r="AD5" t="str">
            <v>Prog.</v>
          </cell>
          <cell r="AE5" t="str">
            <v>Prog.</v>
          </cell>
          <cell r="AF5" t="str">
            <v>Prog.</v>
          </cell>
          <cell r="AG5" t="str">
            <v>Prog.</v>
          </cell>
          <cell r="AH5" t="str">
            <v>Prog.</v>
          </cell>
          <cell r="AI5" t="str">
            <v>Prel</v>
          </cell>
          <cell r="AJ5" t="str">
            <v>Prel</v>
          </cell>
          <cell r="AK5" t="str">
            <v>Prel</v>
          </cell>
          <cell r="AL5" t="str">
            <v>Prel</v>
          </cell>
          <cell r="AM5" t="str">
            <v>Prel</v>
          </cell>
          <cell r="AN5" t="str">
            <v>Proj.</v>
          </cell>
          <cell r="AO5" t="str">
            <v>Proj.</v>
          </cell>
          <cell r="AP5" t="str">
            <v>Proj.</v>
          </cell>
          <cell r="AQ5" t="str">
            <v>Proj.</v>
          </cell>
          <cell r="AR5" t="str">
            <v>Proj.</v>
          </cell>
          <cell r="AS5" t="str">
            <v>Proj.</v>
          </cell>
        </row>
        <row r="9">
          <cell r="H9">
            <v>23159.493999999999</v>
          </cell>
          <cell r="I9">
            <v>23246.65956</v>
          </cell>
          <cell r="N9">
            <v>23232.629999999997</v>
          </cell>
          <cell r="S9">
            <v>22384.59</v>
          </cell>
          <cell r="T9">
            <v>22157.870000000003</v>
          </cell>
          <cell r="U9">
            <v>22468.170000000002</v>
          </cell>
          <cell r="V9">
            <v>22270.280000000002</v>
          </cell>
          <cell r="W9">
            <v>22041.230000000003</v>
          </cell>
          <cell r="X9">
            <v>21362.879999999997</v>
          </cell>
          <cell r="Y9">
            <v>20967.222649999996</v>
          </cell>
          <cell r="Z9">
            <v>20540.84865</v>
          </cell>
          <cell r="AA9">
            <v>20417.412649999998</v>
          </cell>
          <cell r="AB9">
            <v>20043.974649999996</v>
          </cell>
          <cell r="AC9">
            <v>20043.974649999996</v>
          </cell>
          <cell r="AD9">
            <v>20993</v>
          </cell>
          <cell r="AE9">
            <v>20671</v>
          </cell>
          <cell r="AF9">
            <v>21104</v>
          </cell>
          <cell r="AG9">
            <v>20454</v>
          </cell>
          <cell r="AH9">
            <v>20454</v>
          </cell>
          <cell r="AM9">
            <v>20671.809999999998</v>
          </cell>
          <cell r="AN9">
            <v>22464.406999999999</v>
          </cell>
          <cell r="AO9">
            <v>24478.692999999999</v>
          </cell>
          <cell r="AP9">
            <v>26578.266799999998</v>
          </cell>
          <cell r="AQ9">
            <v>29614.870093999998</v>
          </cell>
          <cell r="AR9">
            <v>32074.878366819998</v>
          </cell>
          <cell r="AS9">
            <v>34795.600097824601</v>
          </cell>
        </row>
        <row r="10">
          <cell r="H10">
            <v>2320.1</v>
          </cell>
          <cell r="I10">
            <v>2476.9940000000001</v>
          </cell>
          <cell r="N10">
            <v>2567.54</v>
          </cell>
          <cell r="S10">
            <v>2365.15</v>
          </cell>
          <cell r="T10">
            <v>2285.71</v>
          </cell>
          <cell r="U10">
            <v>2300.59</v>
          </cell>
          <cell r="V10">
            <v>2254.1700000000005</v>
          </cell>
          <cell r="W10">
            <v>2288.1700000000005</v>
          </cell>
          <cell r="X10">
            <v>2184</v>
          </cell>
          <cell r="Y10">
            <v>2095.5990000000002</v>
          </cell>
          <cell r="Z10">
            <v>2134.6040000000003</v>
          </cell>
          <cell r="AA10">
            <v>2153.5370000000003</v>
          </cell>
          <cell r="AB10">
            <v>2224.0520000000001</v>
          </cell>
          <cell r="AC10">
            <v>2224.0520000000001</v>
          </cell>
          <cell r="AD10">
            <v>2135</v>
          </cell>
          <cell r="AE10">
            <v>2217</v>
          </cell>
          <cell r="AF10">
            <v>2166</v>
          </cell>
          <cell r="AG10">
            <v>2319</v>
          </cell>
          <cell r="AH10">
            <v>2319</v>
          </cell>
          <cell r="AM10">
            <v>2603.08</v>
          </cell>
          <cell r="AN10">
            <v>2596.4499999999998</v>
          </cell>
          <cell r="AO10">
            <v>2691.7689999999998</v>
          </cell>
          <cell r="AP10">
            <v>2639.9739999999997</v>
          </cell>
          <cell r="AQ10">
            <v>2748.9089999999997</v>
          </cell>
          <cell r="AR10">
            <v>2575.6605</v>
          </cell>
          <cell r="AS10">
            <v>2382.2693250000002</v>
          </cell>
        </row>
        <row r="11">
          <cell r="H11">
            <v>672.1</v>
          </cell>
          <cell r="I11">
            <v>791.69799999999998</v>
          </cell>
          <cell r="N11">
            <v>807.29</v>
          </cell>
          <cell r="S11">
            <v>681.73</v>
          </cell>
          <cell r="T11">
            <v>647.98</v>
          </cell>
          <cell r="U11">
            <v>640.89</v>
          </cell>
          <cell r="V11">
            <v>602.67000000000007</v>
          </cell>
          <cell r="W11">
            <v>598.62000000000012</v>
          </cell>
          <cell r="X11">
            <v>665.11</v>
          </cell>
          <cell r="Y11">
            <v>615.41499999999996</v>
          </cell>
          <cell r="Z11">
            <v>591.62</v>
          </cell>
          <cell r="AA11">
            <v>539.60500000000002</v>
          </cell>
          <cell r="AB11">
            <v>510.43400000000003</v>
          </cell>
          <cell r="AC11">
            <v>510.43400000000003</v>
          </cell>
          <cell r="AD11">
            <v>641.11</v>
          </cell>
          <cell r="AE11">
            <v>651.11</v>
          </cell>
          <cell r="AF11">
            <v>682.11</v>
          </cell>
          <cell r="AG11">
            <v>733.11</v>
          </cell>
          <cell r="AH11">
            <v>733.11</v>
          </cell>
          <cell r="AM11">
            <v>520.51</v>
          </cell>
          <cell r="AN11">
            <v>683.88</v>
          </cell>
          <cell r="AO11">
            <v>840.82799999999997</v>
          </cell>
          <cell r="AP11">
            <v>972.32470000000012</v>
          </cell>
          <cell r="AQ11">
            <v>1077.6065610000001</v>
          </cell>
          <cell r="AR11">
            <v>1155.88713783</v>
          </cell>
          <cell r="AS11">
            <v>1206.3563919649</v>
          </cell>
        </row>
        <row r="12">
          <cell r="H12">
            <v>34.1</v>
          </cell>
          <cell r="I12">
            <v>43.474559999999997</v>
          </cell>
          <cell r="N12">
            <v>40.200000000000003</v>
          </cell>
          <cell r="S12">
            <v>55.1</v>
          </cell>
          <cell r="T12">
            <v>55.870000000000005</v>
          </cell>
          <cell r="U12">
            <v>45.870000000000005</v>
          </cell>
          <cell r="V12">
            <v>41.93</v>
          </cell>
          <cell r="W12">
            <v>71.930000000000007</v>
          </cell>
          <cell r="X12">
            <v>74.38</v>
          </cell>
          <cell r="Y12">
            <v>66.658999999999992</v>
          </cell>
          <cell r="Z12">
            <v>50.321999999999989</v>
          </cell>
          <cell r="AA12">
            <v>47.618999999999986</v>
          </cell>
          <cell r="AB12">
            <v>24.210999999999984</v>
          </cell>
          <cell r="AC12">
            <v>24.210999999999984</v>
          </cell>
          <cell r="AD12">
            <v>82.38</v>
          </cell>
          <cell r="AE12">
            <v>110.38</v>
          </cell>
          <cell r="AF12">
            <v>149.38</v>
          </cell>
          <cell r="AG12">
            <v>185.38</v>
          </cell>
          <cell r="AH12">
            <v>185.38</v>
          </cell>
          <cell r="AM12">
            <v>22.289999999999992</v>
          </cell>
          <cell r="AN12">
            <v>-24.690000000000005</v>
          </cell>
          <cell r="AO12">
            <v>-72.102000000000004</v>
          </cell>
          <cell r="AP12">
            <v>-79.102000000000004</v>
          </cell>
          <cell r="AQ12">
            <v>-79.102000000000004</v>
          </cell>
          <cell r="AR12">
            <v>-79.102000000000004</v>
          </cell>
          <cell r="AS12">
            <v>-79.102000000000004</v>
          </cell>
        </row>
        <row r="13">
          <cell r="H13">
            <v>682.4</v>
          </cell>
          <cell r="I13">
            <v>640.93900000000008</v>
          </cell>
          <cell r="N13">
            <v>484.37</v>
          </cell>
          <cell r="S13">
            <v>246.37</v>
          </cell>
          <cell r="T13">
            <v>273.07</v>
          </cell>
          <cell r="U13">
            <v>270.58</v>
          </cell>
          <cell r="V13">
            <v>282.27</v>
          </cell>
          <cell r="W13">
            <v>293.27</v>
          </cell>
          <cell r="X13">
            <v>403.71999999999997</v>
          </cell>
          <cell r="Y13">
            <v>293.91000000000003</v>
          </cell>
          <cell r="Z13">
            <v>308.928</v>
          </cell>
          <cell r="AA13">
            <v>361.43099999999998</v>
          </cell>
          <cell r="AB13">
            <v>386.65799999999996</v>
          </cell>
          <cell r="AC13">
            <v>386.65799999999996</v>
          </cell>
          <cell r="AD13">
            <v>238.83999999999997</v>
          </cell>
          <cell r="AE13">
            <v>236.83999999999997</v>
          </cell>
          <cell r="AF13">
            <v>290.83999999999997</v>
          </cell>
          <cell r="AG13">
            <v>317.83999999999997</v>
          </cell>
          <cell r="AH13">
            <v>317.83999999999997</v>
          </cell>
          <cell r="AM13">
            <v>382.19999999999993</v>
          </cell>
          <cell r="AN13">
            <v>360.65999999999991</v>
          </cell>
          <cell r="AO13">
            <v>442.02999999999992</v>
          </cell>
          <cell r="AP13">
            <v>525.84109999999987</v>
          </cell>
          <cell r="AQ13">
            <v>612.16653299999984</v>
          </cell>
          <cell r="AR13">
            <v>701.08172898999987</v>
          </cell>
          <cell r="AS13">
            <v>792.66438085969992</v>
          </cell>
        </row>
        <row r="14">
          <cell r="H14">
            <v>17473.8</v>
          </cell>
          <cell r="I14">
            <v>17558.560000000001</v>
          </cell>
          <cell r="N14">
            <v>17676.939999999999</v>
          </cell>
          <cell r="S14">
            <v>17608.150000000001</v>
          </cell>
          <cell r="T14">
            <v>17467.150000000001</v>
          </cell>
          <cell r="U14">
            <v>17467.150000000001</v>
          </cell>
          <cell r="V14">
            <v>13346.150000000001</v>
          </cell>
          <cell r="W14">
            <v>13046.150000000001</v>
          </cell>
          <cell r="X14">
            <v>12436.419999999998</v>
          </cell>
          <cell r="Y14">
            <v>12296.389649999997</v>
          </cell>
          <cell r="Z14">
            <v>11996.731649999998</v>
          </cell>
          <cell r="AA14">
            <v>11856.577649999997</v>
          </cell>
          <cell r="AB14">
            <v>11556.920649999998</v>
          </cell>
          <cell r="AC14">
            <v>11556.920649999998</v>
          </cell>
          <cell r="AD14">
            <v>12296.419999999998</v>
          </cell>
          <cell r="AE14">
            <v>11996.419999999998</v>
          </cell>
          <cell r="AF14">
            <v>11856.419999999998</v>
          </cell>
          <cell r="AG14">
            <v>11556.419999999998</v>
          </cell>
          <cell r="AH14">
            <v>11556.419999999998</v>
          </cell>
          <cell r="AM14">
            <v>11557.979999999998</v>
          </cell>
          <cell r="AN14">
            <v>10678.356999999998</v>
          </cell>
          <cell r="AO14">
            <v>9790.4179999999978</v>
          </cell>
          <cell r="AP14">
            <v>8902.4789999999975</v>
          </cell>
          <cell r="AQ14">
            <v>8014.5399999999972</v>
          </cell>
          <cell r="AR14">
            <v>7126.6009999999969</v>
          </cell>
          <cell r="AS14">
            <v>6238.6619999999966</v>
          </cell>
        </row>
        <row r="15">
          <cell r="H15">
            <v>1976.9939999999999</v>
          </cell>
          <cell r="I15">
            <v>1734.9939999999999</v>
          </cell>
          <cell r="N15">
            <v>1656.29</v>
          </cell>
          <cell r="S15">
            <v>1428.09</v>
          </cell>
          <cell r="T15">
            <v>1428.09</v>
          </cell>
          <cell r="U15">
            <v>1743.09</v>
          </cell>
          <cell r="V15">
            <v>5743.09</v>
          </cell>
          <cell r="W15">
            <v>5743.09</v>
          </cell>
          <cell r="X15">
            <v>5599.25</v>
          </cell>
          <cell r="Y15">
            <v>5599.25</v>
          </cell>
          <cell r="Z15">
            <v>5458.643</v>
          </cell>
          <cell r="AA15">
            <v>5458.643</v>
          </cell>
          <cell r="AB15">
            <v>5341.6990000000005</v>
          </cell>
          <cell r="AC15">
            <v>5341.6990000000005</v>
          </cell>
          <cell r="AD15">
            <v>5599.25</v>
          </cell>
          <cell r="AE15">
            <v>5459.25</v>
          </cell>
          <cell r="AF15">
            <v>5959.25</v>
          </cell>
          <cell r="AG15">
            <v>5342.25</v>
          </cell>
          <cell r="AH15">
            <v>5342.25</v>
          </cell>
          <cell r="AM15">
            <v>5585.75</v>
          </cell>
          <cell r="AN15">
            <v>8169.75</v>
          </cell>
          <cell r="AO15">
            <v>10785.75</v>
          </cell>
          <cell r="AP15">
            <v>13616.75</v>
          </cell>
          <cell r="AQ15">
            <v>17240.75</v>
          </cell>
          <cell r="AR15">
            <v>20594.75</v>
          </cell>
          <cell r="AS15">
            <v>24254.75</v>
          </cell>
        </row>
        <row r="17">
          <cell r="H17">
            <v>20.400000000000006</v>
          </cell>
          <cell r="I17">
            <v>458.18955999999997</v>
          </cell>
          <cell r="N17">
            <v>398.22</v>
          </cell>
          <cell r="S17">
            <v>102.88000000000001</v>
          </cell>
          <cell r="T17">
            <v>85.53</v>
          </cell>
          <cell r="U17">
            <v>105.03999999999999</v>
          </cell>
          <cell r="V17">
            <v>140.88</v>
          </cell>
          <cell r="W17">
            <v>165.88</v>
          </cell>
          <cell r="X17">
            <v>165.88</v>
          </cell>
          <cell r="Y17">
            <v>0</v>
          </cell>
          <cell r="Z17">
            <v>0</v>
          </cell>
          <cell r="AA17">
            <v>0</v>
          </cell>
          <cell r="AB17">
            <v>0</v>
          </cell>
          <cell r="AC17">
            <v>0</v>
          </cell>
          <cell r="AD17">
            <v>0</v>
          </cell>
          <cell r="AE17">
            <v>0</v>
          </cell>
          <cell r="AF17">
            <v>0</v>
          </cell>
          <cell r="AG17">
            <v>0</v>
          </cell>
          <cell r="AH17">
            <v>0</v>
          </cell>
          <cell r="AI17">
            <v>149.05000000000001</v>
          </cell>
          <cell r="AJ17">
            <v>137.53</v>
          </cell>
          <cell r="AK17">
            <v>123.45</v>
          </cell>
          <cell r="AL17">
            <v>123.45</v>
          </cell>
          <cell r="AM17">
            <v>123.45</v>
          </cell>
          <cell r="AN17">
            <v>0</v>
          </cell>
          <cell r="AO17">
            <v>0</v>
          </cell>
          <cell r="AP17">
            <v>0</v>
          </cell>
          <cell r="AQ17">
            <v>0</v>
          </cell>
          <cell r="AR17">
            <v>0</v>
          </cell>
          <cell r="AS17">
            <v>0</v>
          </cell>
        </row>
        <row r="18">
          <cell r="H18">
            <v>15.400000000000006</v>
          </cell>
          <cell r="I18">
            <v>430.03699999999998</v>
          </cell>
          <cell r="N18">
            <v>343.91</v>
          </cell>
          <cell r="S18">
            <v>89.02000000000001</v>
          </cell>
          <cell r="T18">
            <v>78.97</v>
          </cell>
          <cell r="U18">
            <v>95.47999999999999</v>
          </cell>
          <cell r="V18">
            <v>136.32</v>
          </cell>
          <cell r="W18">
            <v>94.32</v>
          </cell>
          <cell r="X18">
            <v>94.32</v>
          </cell>
          <cell r="Y18">
            <v>0</v>
          </cell>
          <cell r="Z18">
            <v>0</v>
          </cell>
          <cell r="AA18">
            <v>0</v>
          </cell>
          <cell r="AB18">
            <v>0</v>
          </cell>
          <cell r="AC18">
            <v>0</v>
          </cell>
          <cell r="AD18">
            <v>0</v>
          </cell>
          <cell r="AE18">
            <v>0</v>
          </cell>
          <cell r="AF18">
            <v>0</v>
          </cell>
          <cell r="AG18">
            <v>0</v>
          </cell>
          <cell r="AH18">
            <v>0</v>
          </cell>
          <cell r="AI18">
            <v>79.58</v>
          </cell>
          <cell r="AJ18">
            <v>79.58</v>
          </cell>
          <cell r="AK18">
            <v>68.45</v>
          </cell>
          <cell r="AL18">
            <v>68.45</v>
          </cell>
          <cell r="AM18">
            <v>68.45</v>
          </cell>
          <cell r="AN18">
            <v>0</v>
          </cell>
          <cell r="AO18">
            <v>0</v>
          </cell>
          <cell r="AP18">
            <v>0</v>
          </cell>
          <cell r="AQ18">
            <v>0</v>
          </cell>
          <cell r="AR18">
            <v>0</v>
          </cell>
          <cell r="AS18">
            <v>0</v>
          </cell>
        </row>
        <row r="19">
          <cell r="H19">
            <v>0</v>
          </cell>
          <cell r="I19">
            <v>0</v>
          </cell>
          <cell r="N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row>
        <row r="20">
          <cell r="H20">
            <v>0</v>
          </cell>
          <cell r="I20">
            <v>0</v>
          </cell>
          <cell r="N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row>
        <row r="21">
          <cell r="H21">
            <v>0</v>
          </cell>
          <cell r="I21">
            <v>1</v>
          </cell>
          <cell r="N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row>
        <row r="22">
          <cell r="H22">
            <v>15.400000000000006</v>
          </cell>
          <cell r="I22">
            <v>429.03699999999998</v>
          </cell>
          <cell r="N22">
            <v>343.91</v>
          </cell>
          <cell r="S22">
            <v>89.02000000000001</v>
          </cell>
          <cell r="T22">
            <v>78.97</v>
          </cell>
          <cell r="U22">
            <v>95.47999999999999</v>
          </cell>
          <cell r="V22">
            <v>136.32</v>
          </cell>
          <cell r="W22">
            <v>94.32</v>
          </cell>
          <cell r="X22">
            <v>94.32</v>
          </cell>
          <cell r="Y22">
            <v>0</v>
          </cell>
          <cell r="Z22">
            <v>0</v>
          </cell>
          <cell r="AA22">
            <v>0</v>
          </cell>
          <cell r="AB22">
            <v>0</v>
          </cell>
          <cell r="AC22">
            <v>0</v>
          </cell>
          <cell r="AD22">
            <v>0</v>
          </cell>
          <cell r="AE22">
            <v>0</v>
          </cell>
          <cell r="AF22">
            <v>0</v>
          </cell>
          <cell r="AG22">
            <v>0</v>
          </cell>
          <cell r="AH22">
            <v>0</v>
          </cell>
          <cell r="AI22">
            <v>79.58</v>
          </cell>
          <cell r="AJ22">
            <v>79.58</v>
          </cell>
          <cell r="AK22">
            <v>68.45</v>
          </cell>
          <cell r="AL22">
            <v>68.45</v>
          </cell>
          <cell r="AM22">
            <v>68.45</v>
          </cell>
          <cell r="AN22">
            <v>0</v>
          </cell>
          <cell r="AO22">
            <v>0</v>
          </cell>
          <cell r="AP22">
            <v>0</v>
          </cell>
          <cell r="AQ22">
            <v>0</v>
          </cell>
          <cell r="AR22">
            <v>0</v>
          </cell>
          <cell r="AS22">
            <v>0</v>
          </cell>
        </row>
        <row r="23">
          <cell r="H23">
            <v>0</v>
          </cell>
          <cell r="I23">
            <v>0</v>
          </cell>
          <cell r="N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row>
        <row r="24">
          <cell r="H24">
            <v>0</v>
          </cell>
          <cell r="I24">
            <v>0</v>
          </cell>
          <cell r="N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row>
        <row r="25">
          <cell r="H25">
            <v>5</v>
          </cell>
          <cell r="I25">
            <v>28.152560000000001</v>
          </cell>
          <cell r="N25">
            <v>54.31</v>
          </cell>
          <cell r="S25">
            <v>13.86</v>
          </cell>
          <cell r="T25">
            <v>6.56</v>
          </cell>
          <cell r="U25">
            <v>9.5599999999999987</v>
          </cell>
          <cell r="V25">
            <v>4.5599999999999987</v>
          </cell>
          <cell r="W25">
            <v>71.56</v>
          </cell>
          <cell r="X25">
            <v>71.56</v>
          </cell>
          <cell r="Y25">
            <v>0</v>
          </cell>
          <cell r="Z25">
            <v>0</v>
          </cell>
          <cell r="AA25">
            <v>0</v>
          </cell>
          <cell r="AB25">
            <v>0</v>
          </cell>
          <cell r="AC25">
            <v>0</v>
          </cell>
          <cell r="AD25">
            <v>0</v>
          </cell>
          <cell r="AE25">
            <v>0</v>
          </cell>
          <cell r="AF25">
            <v>0</v>
          </cell>
          <cell r="AG25">
            <v>0</v>
          </cell>
          <cell r="AH25">
            <v>0</v>
          </cell>
          <cell r="AI25">
            <v>69.47</v>
          </cell>
          <cell r="AJ25">
            <v>57.95</v>
          </cell>
          <cell r="AK25">
            <v>55</v>
          </cell>
          <cell r="AL25">
            <v>55</v>
          </cell>
          <cell r="AM25">
            <v>55</v>
          </cell>
          <cell r="AN25">
            <v>0</v>
          </cell>
          <cell r="AO25">
            <v>0</v>
          </cell>
          <cell r="AP25">
            <v>0</v>
          </cell>
          <cell r="AQ25">
            <v>0</v>
          </cell>
          <cell r="AR25">
            <v>0</v>
          </cell>
          <cell r="AS25">
            <v>0</v>
          </cell>
        </row>
        <row r="26">
          <cell r="H26">
            <v>0</v>
          </cell>
          <cell r="I26">
            <v>0</v>
          </cell>
          <cell r="N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row>
        <row r="27">
          <cell r="H27">
            <v>0</v>
          </cell>
          <cell r="I27">
            <v>0</v>
          </cell>
          <cell r="N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row>
        <row r="28">
          <cell r="H28">
            <v>0</v>
          </cell>
          <cell r="I28">
            <v>0.41355999999999998</v>
          </cell>
          <cell r="N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row>
        <row r="29">
          <cell r="H29">
            <v>5</v>
          </cell>
          <cell r="I29">
            <v>27.739000000000001</v>
          </cell>
          <cell r="N29">
            <v>54.31</v>
          </cell>
          <cell r="S29">
            <v>13.86</v>
          </cell>
          <cell r="T29">
            <v>6.56</v>
          </cell>
          <cell r="U29">
            <v>9.5599999999999987</v>
          </cell>
          <cell r="V29">
            <v>4.5599999999999987</v>
          </cell>
          <cell r="W29">
            <v>71.56</v>
          </cell>
          <cell r="X29">
            <v>71.56</v>
          </cell>
          <cell r="Y29">
            <v>0</v>
          </cell>
          <cell r="Z29">
            <v>0</v>
          </cell>
          <cell r="AA29">
            <v>0</v>
          </cell>
          <cell r="AB29">
            <v>0</v>
          </cell>
          <cell r="AC29">
            <v>0</v>
          </cell>
          <cell r="AD29">
            <v>0</v>
          </cell>
          <cell r="AE29">
            <v>0</v>
          </cell>
          <cell r="AF29">
            <v>0</v>
          </cell>
          <cell r="AG29">
            <v>0</v>
          </cell>
          <cell r="AH29">
            <v>0</v>
          </cell>
          <cell r="AI29">
            <v>69.47</v>
          </cell>
          <cell r="AJ29">
            <v>57.95</v>
          </cell>
          <cell r="AK29">
            <v>55</v>
          </cell>
          <cell r="AL29">
            <v>55</v>
          </cell>
          <cell r="AM29">
            <v>55</v>
          </cell>
          <cell r="AN29">
            <v>0</v>
          </cell>
          <cell r="AO29">
            <v>0</v>
          </cell>
          <cell r="AP29">
            <v>0</v>
          </cell>
          <cell r="AQ29">
            <v>0</v>
          </cell>
          <cell r="AR29">
            <v>0</v>
          </cell>
          <cell r="AS29">
            <v>0</v>
          </cell>
        </row>
        <row r="30">
          <cell r="H30">
            <v>0</v>
          </cell>
          <cell r="I30">
            <v>0</v>
          </cell>
          <cell r="N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row>
        <row r="31">
          <cell r="H31">
            <v>0</v>
          </cell>
          <cell r="I31">
            <v>0</v>
          </cell>
          <cell r="N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row>
        <row r="33">
          <cell r="H33">
            <v>0</v>
          </cell>
          <cell r="I33">
            <v>0</v>
          </cell>
          <cell r="N33">
            <v>1680.731</v>
          </cell>
          <cell r="S33">
            <v>1555.75</v>
          </cell>
          <cell r="T33">
            <v>147.39999999999998</v>
          </cell>
          <cell r="U33">
            <v>555.22</v>
          </cell>
          <cell r="V33">
            <v>322</v>
          </cell>
          <cell r="W33">
            <v>529.84</v>
          </cell>
          <cell r="X33">
            <v>1554.46</v>
          </cell>
          <cell r="Y33">
            <v>356.23110000000003</v>
          </cell>
          <cell r="Z33">
            <v>444.91400000000004</v>
          </cell>
          <cell r="AA33">
            <v>386.89099999999996</v>
          </cell>
          <cell r="AB33">
            <v>540.61</v>
          </cell>
          <cell r="AC33">
            <v>1728.6461000000002</v>
          </cell>
          <cell r="AD33">
            <v>349</v>
          </cell>
          <cell r="AE33">
            <v>401</v>
          </cell>
          <cell r="AF33">
            <v>387</v>
          </cell>
          <cell r="AG33">
            <v>540</v>
          </cell>
          <cell r="AH33">
            <v>1677</v>
          </cell>
          <cell r="AI33">
            <v>371.09</v>
          </cell>
          <cell r="AJ33">
            <v>427.26</v>
          </cell>
          <cell r="AK33">
            <v>366.32</v>
          </cell>
          <cell r="AL33">
            <v>489</v>
          </cell>
          <cell r="AM33">
            <v>1653.67</v>
          </cell>
          <cell r="AN33">
            <v>1551.5499999999997</v>
          </cell>
          <cell r="AO33">
            <v>1976.1423799999998</v>
          </cell>
          <cell r="AP33">
            <v>2206.9052380499998</v>
          </cell>
          <cell r="AQ33">
            <v>2490.0433460214999</v>
          </cell>
          <cell r="AR33">
            <v>2851.9839726921446</v>
          </cell>
          <cell r="AS33">
            <v>3201.8719358229096</v>
          </cell>
        </row>
        <row r="34">
          <cell r="N34">
            <v>202.62299999999999</v>
          </cell>
          <cell r="S34">
            <v>182.93</v>
          </cell>
          <cell r="T34">
            <v>48</v>
          </cell>
          <cell r="U34">
            <v>30</v>
          </cell>
          <cell r="V34">
            <v>51</v>
          </cell>
          <cell r="W34">
            <v>13</v>
          </cell>
          <cell r="X34">
            <v>142</v>
          </cell>
          <cell r="Y34">
            <v>61.301000000000002</v>
          </cell>
          <cell r="Z34">
            <v>34.380000000000003</v>
          </cell>
          <cell r="AA34">
            <v>58.805999999999997</v>
          </cell>
          <cell r="AB34">
            <v>32.725999999999999</v>
          </cell>
          <cell r="AC34">
            <v>187.21300000000002</v>
          </cell>
          <cell r="AD34">
            <v>60</v>
          </cell>
          <cell r="AE34">
            <v>25</v>
          </cell>
          <cell r="AF34">
            <v>58</v>
          </cell>
          <cell r="AG34">
            <v>33</v>
          </cell>
          <cell r="AH34">
            <v>176</v>
          </cell>
          <cell r="AI34">
            <v>61</v>
          </cell>
          <cell r="AJ34">
            <v>27</v>
          </cell>
          <cell r="AK34">
            <v>64</v>
          </cell>
          <cell r="AL34">
            <v>31</v>
          </cell>
          <cell r="AM34">
            <v>183</v>
          </cell>
          <cell r="AN34">
            <v>172.68</v>
          </cell>
          <cell r="AO34">
            <v>211.52875999999998</v>
          </cell>
          <cell r="AP34">
            <v>213.26971999999998</v>
          </cell>
          <cell r="AQ34">
            <v>215.55531999999999</v>
          </cell>
          <cell r="AR34">
            <v>212.98277999999999</v>
          </cell>
          <cell r="AS34">
            <v>198.317193</v>
          </cell>
        </row>
        <row r="35">
          <cell r="N35">
            <v>58.326999999999998</v>
          </cell>
          <cell r="S35">
            <v>54.43</v>
          </cell>
          <cell r="T35">
            <v>18.25</v>
          </cell>
          <cell r="U35">
            <v>6.72</v>
          </cell>
          <cell r="V35">
            <v>18.059999999999999</v>
          </cell>
          <cell r="W35">
            <v>10</v>
          </cell>
          <cell r="X35">
            <v>53.03</v>
          </cell>
          <cell r="Y35">
            <v>20.956</v>
          </cell>
          <cell r="Z35">
            <v>13.537000000000001</v>
          </cell>
          <cell r="AA35">
            <v>19.079999999999998</v>
          </cell>
          <cell r="AB35">
            <v>7.9089999999999998</v>
          </cell>
          <cell r="AC35">
            <v>61.481999999999999</v>
          </cell>
          <cell r="AD35">
            <v>17</v>
          </cell>
          <cell r="AE35">
            <v>-4</v>
          </cell>
          <cell r="AF35">
            <v>19</v>
          </cell>
          <cell r="AG35">
            <v>8</v>
          </cell>
          <cell r="AH35">
            <v>40</v>
          </cell>
          <cell r="AI35">
            <v>37</v>
          </cell>
          <cell r="AJ35">
            <v>27</v>
          </cell>
          <cell r="AK35">
            <v>28</v>
          </cell>
          <cell r="AL35">
            <v>22</v>
          </cell>
          <cell r="AM35">
            <v>114</v>
          </cell>
          <cell r="AN35">
            <v>61.17</v>
          </cell>
          <cell r="AO35">
            <v>54.127133999999998</v>
          </cell>
          <cell r="AP35">
            <v>64.36692085</v>
          </cell>
          <cell r="AQ35">
            <v>72.772559765500006</v>
          </cell>
          <cell r="AR35">
            <v>79.289026308464997</v>
          </cell>
          <cell r="AS35">
            <v>83.859645307718949</v>
          </cell>
        </row>
        <row r="36">
          <cell r="N36">
            <v>2.9780000000000002</v>
          </cell>
          <cell r="S36">
            <v>4.75</v>
          </cell>
          <cell r="T36">
            <v>0.57999999999999996</v>
          </cell>
          <cell r="U36">
            <v>2</v>
          </cell>
          <cell r="V36">
            <v>0.71</v>
          </cell>
          <cell r="W36">
            <v>0.84</v>
          </cell>
          <cell r="X36">
            <v>4.13</v>
          </cell>
          <cell r="Y36">
            <v>0.82299999999999995</v>
          </cell>
          <cell r="Z36">
            <v>1.21</v>
          </cell>
          <cell r="AA36">
            <v>0.40600000000000003</v>
          </cell>
          <cell r="AB36">
            <v>1.2729999999999999</v>
          </cell>
          <cell r="AC36">
            <v>3.7119999999999997</v>
          </cell>
          <cell r="AD36">
            <v>1</v>
          </cell>
          <cell r="AE36">
            <v>1</v>
          </cell>
          <cell r="AF36">
            <v>1</v>
          </cell>
          <cell r="AG36">
            <v>1</v>
          </cell>
          <cell r="AH36">
            <v>4</v>
          </cell>
          <cell r="AI36">
            <v>2</v>
          </cell>
          <cell r="AJ36">
            <v>3</v>
          </cell>
          <cell r="AK36">
            <v>3</v>
          </cell>
          <cell r="AL36">
            <v>6</v>
          </cell>
          <cell r="AM36">
            <v>14</v>
          </cell>
          <cell r="AN36">
            <v>3.03</v>
          </cell>
          <cell r="AO36">
            <v>-3.0973440000000001</v>
          </cell>
          <cell r="AP36">
            <v>-4.8385280000000002</v>
          </cell>
          <cell r="AQ36">
            <v>-5.0625280000000004</v>
          </cell>
          <cell r="AR36">
            <v>-5.0625280000000004</v>
          </cell>
          <cell r="AS36">
            <v>-5.0625280000000004</v>
          </cell>
        </row>
        <row r="37">
          <cell r="N37">
            <v>10.649000000000001</v>
          </cell>
          <cell r="S37">
            <v>1.05</v>
          </cell>
          <cell r="T37">
            <v>0.56999999999999995</v>
          </cell>
          <cell r="U37">
            <v>3.5</v>
          </cell>
          <cell r="V37">
            <v>0.23</v>
          </cell>
          <cell r="W37">
            <v>64</v>
          </cell>
          <cell r="X37">
            <v>68.3</v>
          </cell>
          <cell r="Y37">
            <v>0.22500000000000001</v>
          </cell>
          <cell r="Z37">
            <v>13.196999999999999</v>
          </cell>
          <cell r="AA37">
            <v>0.58299999999999996</v>
          </cell>
          <cell r="AB37">
            <v>100.345</v>
          </cell>
          <cell r="AC37">
            <v>114.35</v>
          </cell>
          <cell r="AD37">
            <v>2</v>
          </cell>
          <cell r="AE37">
            <v>15</v>
          </cell>
          <cell r="AF37">
            <v>1</v>
          </cell>
          <cell r="AG37">
            <v>100</v>
          </cell>
          <cell r="AH37">
            <v>118</v>
          </cell>
          <cell r="AI37">
            <v>2.13</v>
          </cell>
          <cell r="AJ37">
            <v>5</v>
          </cell>
          <cell r="AK37">
            <v>3.79</v>
          </cell>
          <cell r="AL37">
            <v>7</v>
          </cell>
          <cell r="AM37">
            <v>17.920000000000002</v>
          </cell>
          <cell r="AN37">
            <v>6.42</v>
          </cell>
          <cell r="AO37">
            <v>25.686079999999993</v>
          </cell>
          <cell r="AP37">
            <v>30.971875199999996</v>
          </cell>
          <cell r="AQ37">
            <v>36.416244255999992</v>
          </cell>
          <cell r="AR37">
            <v>42.023944383679989</v>
          </cell>
          <cell r="AS37">
            <v>47.799875515190394</v>
          </cell>
        </row>
        <row r="38">
          <cell r="N38">
            <v>1252.144</v>
          </cell>
          <cell r="S38">
            <v>1180.8</v>
          </cell>
          <cell r="T38">
            <v>80</v>
          </cell>
          <cell r="U38">
            <v>487</v>
          </cell>
          <cell r="V38">
            <v>214</v>
          </cell>
          <cell r="W38">
            <v>348</v>
          </cell>
          <cell r="X38">
            <v>1129</v>
          </cell>
          <cell r="Y38">
            <v>272.92610000000002</v>
          </cell>
          <cell r="Z38">
            <v>339.19400000000002</v>
          </cell>
          <cell r="AA38">
            <v>270.54399999999998</v>
          </cell>
          <cell r="AB38">
            <v>326.488</v>
          </cell>
          <cell r="AC38">
            <v>1209.1521</v>
          </cell>
          <cell r="AD38">
            <v>269</v>
          </cell>
          <cell r="AE38">
            <v>338</v>
          </cell>
          <cell r="AF38">
            <v>271</v>
          </cell>
          <cell r="AG38">
            <v>326</v>
          </cell>
          <cell r="AH38">
            <v>1204</v>
          </cell>
          <cell r="AI38">
            <v>268.95999999999998</v>
          </cell>
          <cell r="AJ38">
            <v>338.26</v>
          </cell>
          <cell r="AK38">
            <v>267.52999999999997</v>
          </cell>
          <cell r="AL38">
            <v>325</v>
          </cell>
          <cell r="AM38">
            <v>1199.75</v>
          </cell>
          <cell r="AN38">
            <v>1136.3899999999999</v>
          </cell>
          <cell r="AO38">
            <v>1014.645</v>
          </cell>
          <cell r="AP38">
            <v>954.80899999999997</v>
          </cell>
          <cell r="AQ38">
            <v>896.05799999999999</v>
          </cell>
          <cell r="AR38">
            <v>896.05799999999999</v>
          </cell>
          <cell r="AS38">
            <v>896.05799999999999</v>
          </cell>
        </row>
        <row r="39">
          <cell r="N39">
            <v>154.01</v>
          </cell>
          <cell r="S39">
            <v>131.79000000000002</v>
          </cell>
          <cell r="T39">
            <v>0</v>
          </cell>
          <cell r="U39">
            <v>26</v>
          </cell>
          <cell r="V39">
            <v>38</v>
          </cell>
          <cell r="W39">
            <v>94</v>
          </cell>
          <cell r="X39">
            <v>158</v>
          </cell>
          <cell r="Y39">
            <v>0</v>
          </cell>
          <cell r="Z39">
            <v>43.396000000000001</v>
          </cell>
          <cell r="AA39">
            <v>37.472000000000001</v>
          </cell>
          <cell r="AB39">
            <v>71.869</v>
          </cell>
          <cell r="AC39">
            <v>152.73699999999999</v>
          </cell>
          <cell r="AD39">
            <v>0</v>
          </cell>
          <cell r="AE39">
            <v>26</v>
          </cell>
          <cell r="AF39">
            <v>37</v>
          </cell>
          <cell r="AG39">
            <v>72</v>
          </cell>
          <cell r="AH39">
            <v>135</v>
          </cell>
          <cell r="AI39">
            <v>0</v>
          </cell>
          <cell r="AJ39">
            <v>27</v>
          </cell>
          <cell r="AK39">
            <v>0</v>
          </cell>
          <cell r="AL39">
            <v>98</v>
          </cell>
          <cell r="AM39">
            <v>125</v>
          </cell>
          <cell r="AN39">
            <v>171.86</v>
          </cell>
          <cell r="AO39">
            <v>388.92024999999995</v>
          </cell>
          <cell r="AP39">
            <v>582.28874999999994</v>
          </cell>
          <cell r="AQ39">
            <v>811.44124999999997</v>
          </cell>
          <cell r="AR39">
            <v>1059.1602499999999</v>
          </cell>
          <cell r="AS39">
            <v>1308.15725</v>
          </cell>
        </row>
        <row r="40">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284.33249999999998</v>
          </cell>
          <cell r="AP40">
            <v>366.03749999999997</v>
          </cell>
          <cell r="AQ40">
            <v>462.86249999999995</v>
          </cell>
          <cell r="AR40">
            <v>567.53250000000003</v>
          </cell>
          <cell r="AS40">
            <v>672.74249999999995</v>
          </cell>
        </row>
        <row r="41">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row>
        <row r="43">
          <cell r="I43">
            <v>772.21799999999996</v>
          </cell>
          <cell r="N43">
            <v>955.40599999999995</v>
          </cell>
          <cell r="S43">
            <v>987</v>
          </cell>
          <cell r="T43">
            <v>273.53999999999996</v>
          </cell>
          <cell r="U43">
            <v>68.55</v>
          </cell>
          <cell r="V43">
            <v>3586.8</v>
          </cell>
          <cell r="W43">
            <v>356.05</v>
          </cell>
          <cell r="X43">
            <v>4284.9399999999996</v>
          </cell>
          <cell r="Y43">
            <v>303.77735000000001</v>
          </cell>
          <cell r="Z43">
            <v>576.37400000000002</v>
          </cell>
          <cell r="AA43">
            <v>303.43599999999998</v>
          </cell>
          <cell r="AB43">
            <v>1060.4380000000001</v>
          </cell>
          <cell r="AC43">
            <v>2244.0253499999999</v>
          </cell>
          <cell r="AD43">
            <v>299</v>
          </cell>
          <cell r="AE43">
            <v>526</v>
          </cell>
          <cell r="AF43">
            <v>302</v>
          </cell>
          <cell r="AG43">
            <v>1060</v>
          </cell>
          <cell r="AH43">
            <v>2187</v>
          </cell>
          <cell r="AI43">
            <v>298.48</v>
          </cell>
          <cell r="AJ43">
            <v>526.53</v>
          </cell>
          <cell r="AK43">
            <v>306.97000000000003</v>
          </cell>
          <cell r="AL43">
            <v>984</v>
          </cell>
          <cell r="AM43">
            <v>2115.98</v>
          </cell>
          <cell r="AN43">
            <v>1571.403</v>
          </cell>
          <cell r="AO43">
            <v>1921.674</v>
          </cell>
          <cell r="AP43">
            <v>1620.1350000000002</v>
          </cell>
          <cell r="AQ43">
            <v>1518.1247699999999</v>
          </cell>
          <cell r="AR43">
            <v>1929.0650331000002</v>
          </cell>
          <cell r="AS43">
            <v>1940.080844093</v>
          </cell>
        </row>
        <row r="44">
          <cell r="I44">
            <v>17.63</v>
          </cell>
          <cell r="N44">
            <v>149.54500000000002</v>
          </cell>
          <cell r="S44">
            <v>225</v>
          </cell>
          <cell r="T44">
            <v>91.44</v>
          </cell>
          <cell r="U44">
            <v>24.73</v>
          </cell>
          <cell r="V44">
            <v>93.47</v>
          </cell>
          <cell r="W44">
            <v>29</v>
          </cell>
          <cell r="X44">
            <v>238.64</v>
          </cell>
          <cell r="Y44">
            <v>104.401</v>
          </cell>
          <cell r="Z44">
            <v>52.994999999999997</v>
          </cell>
          <cell r="AA44">
            <v>103.06699999999999</v>
          </cell>
          <cell r="AB44">
            <v>58.484999999999999</v>
          </cell>
          <cell r="AC44">
            <v>318.94799999999998</v>
          </cell>
          <cell r="AD44">
            <v>92</v>
          </cell>
          <cell r="AE44">
            <v>36</v>
          </cell>
          <cell r="AF44">
            <v>103</v>
          </cell>
          <cell r="AG44">
            <v>58</v>
          </cell>
          <cell r="AH44">
            <v>289</v>
          </cell>
          <cell r="AI44">
            <v>92</v>
          </cell>
          <cell r="AJ44">
            <v>35.799999999999997</v>
          </cell>
          <cell r="AK44">
            <v>83.69</v>
          </cell>
          <cell r="AL44">
            <v>52</v>
          </cell>
          <cell r="AM44">
            <v>263.49</v>
          </cell>
          <cell r="AN44">
            <v>354.63</v>
          </cell>
          <cell r="AO44">
            <v>252.68100000000001</v>
          </cell>
          <cell r="AP44">
            <v>417.19500000000005</v>
          </cell>
          <cell r="AQ44">
            <v>274.73500000000001</v>
          </cell>
          <cell r="AR44">
            <v>576.10200000000009</v>
          </cell>
          <cell r="AS44">
            <v>616.38735000000008</v>
          </cell>
        </row>
        <row r="45">
          <cell r="I45">
            <v>62.453000000000003</v>
          </cell>
          <cell r="N45">
            <v>97.19</v>
          </cell>
          <cell r="S45">
            <v>125</v>
          </cell>
          <cell r="T45">
            <v>39.15</v>
          </cell>
          <cell r="U45">
            <v>11.82</v>
          </cell>
          <cell r="V45">
            <v>44.05</v>
          </cell>
          <cell r="W45">
            <v>10.050000000000001</v>
          </cell>
          <cell r="X45">
            <v>105.07</v>
          </cell>
          <cell r="Y45">
            <v>49.695</v>
          </cell>
          <cell r="Z45">
            <v>23.795000000000002</v>
          </cell>
          <cell r="AA45">
            <v>52.015000000000001</v>
          </cell>
          <cell r="AB45">
            <v>29.170999999999999</v>
          </cell>
          <cell r="AC45">
            <v>154.67600000000002</v>
          </cell>
          <cell r="AD45">
            <v>47</v>
          </cell>
          <cell r="AE45">
            <v>16</v>
          </cell>
          <cell r="AF45">
            <v>52</v>
          </cell>
          <cell r="AG45">
            <v>29</v>
          </cell>
          <cell r="AH45">
            <v>144</v>
          </cell>
          <cell r="AI45">
            <v>46.6</v>
          </cell>
          <cell r="AJ45">
            <v>16.399999999999999</v>
          </cell>
          <cell r="AK45">
            <v>47.6</v>
          </cell>
          <cell r="AL45">
            <v>92</v>
          </cell>
          <cell r="AM45">
            <v>202.6</v>
          </cell>
          <cell r="AN45">
            <v>189.63</v>
          </cell>
          <cell r="AO45">
            <v>206.642</v>
          </cell>
          <cell r="AP45">
            <v>243.00100000000003</v>
          </cell>
          <cell r="AQ45">
            <v>280.45077000000003</v>
          </cell>
          <cell r="AR45">
            <v>319.02403310000005</v>
          </cell>
          <cell r="AS45">
            <v>358.75449409300006</v>
          </cell>
        </row>
        <row r="46">
          <cell r="I46">
            <v>13.134999999999998</v>
          </cell>
          <cell r="N46">
            <v>17.222000000000001</v>
          </cell>
          <cell r="S46">
            <v>29</v>
          </cell>
          <cell r="T46">
            <v>1</v>
          </cell>
          <cell r="U46">
            <v>10</v>
          </cell>
          <cell r="V46">
            <v>4.13</v>
          </cell>
          <cell r="W46">
            <v>0</v>
          </cell>
          <cell r="X46">
            <v>15.129999999999999</v>
          </cell>
          <cell r="Y46">
            <v>7.7210000000000001</v>
          </cell>
          <cell r="Z46">
            <v>16.337</v>
          </cell>
          <cell r="AA46">
            <v>2.7029999999999998</v>
          </cell>
          <cell r="AB46">
            <v>23.408000000000001</v>
          </cell>
          <cell r="AC46">
            <v>50.168999999999997</v>
          </cell>
          <cell r="AD46">
            <v>4</v>
          </cell>
          <cell r="AE46">
            <v>9</v>
          </cell>
          <cell r="AF46">
            <v>2</v>
          </cell>
          <cell r="AG46">
            <v>24</v>
          </cell>
          <cell r="AH46">
            <v>39</v>
          </cell>
          <cell r="AI46">
            <v>3.8</v>
          </cell>
          <cell r="AJ46">
            <v>10.4</v>
          </cell>
          <cell r="AK46">
            <v>8.89</v>
          </cell>
          <cell r="AL46">
            <v>29</v>
          </cell>
          <cell r="AM46">
            <v>52.09</v>
          </cell>
          <cell r="AN46">
            <v>46.98</v>
          </cell>
          <cell r="AO46">
            <v>47.412000000000006</v>
          </cell>
          <cell r="AP46">
            <v>7</v>
          </cell>
          <cell r="AQ46">
            <v>0</v>
          </cell>
          <cell r="AR46">
            <v>0</v>
          </cell>
          <cell r="AS46">
            <v>0</v>
          </cell>
        </row>
        <row r="47">
          <cell r="I47">
            <v>437</v>
          </cell>
          <cell r="N47">
            <v>205.52299999999997</v>
          </cell>
          <cell r="S47">
            <v>26</v>
          </cell>
          <cell r="T47">
            <v>0.95</v>
          </cell>
          <cell r="U47">
            <v>22</v>
          </cell>
          <cell r="V47">
            <v>24.15</v>
          </cell>
          <cell r="W47">
            <v>17</v>
          </cell>
          <cell r="X47">
            <v>64.099999999999994</v>
          </cell>
          <cell r="Y47">
            <v>1.93</v>
          </cell>
          <cell r="Z47">
            <v>42.981999999999999</v>
          </cell>
          <cell r="AA47">
            <v>5.4969999999999999</v>
          </cell>
          <cell r="AB47">
            <v>32.773000000000003</v>
          </cell>
          <cell r="AC47">
            <v>83.182000000000002</v>
          </cell>
          <cell r="AD47">
            <v>16</v>
          </cell>
          <cell r="AE47">
            <v>25</v>
          </cell>
          <cell r="AF47">
            <v>5</v>
          </cell>
          <cell r="AG47">
            <v>32</v>
          </cell>
          <cell r="AH47">
            <v>78</v>
          </cell>
          <cell r="AI47">
            <v>16.32</v>
          </cell>
          <cell r="AJ47">
            <v>24.73</v>
          </cell>
          <cell r="AK47">
            <v>25.81</v>
          </cell>
          <cell r="AL47">
            <v>43</v>
          </cell>
          <cell r="AM47">
            <v>109.86</v>
          </cell>
          <cell r="AN47">
            <v>100.54</v>
          </cell>
          <cell r="AO47">
            <v>0</v>
          </cell>
          <cell r="AP47">
            <v>0</v>
          </cell>
          <cell r="AQ47">
            <v>0</v>
          </cell>
          <cell r="AR47">
            <v>0</v>
          </cell>
          <cell r="AS47">
            <v>0</v>
          </cell>
        </row>
        <row r="48">
          <cell r="I48">
            <v>0</v>
          </cell>
          <cell r="N48">
            <v>0</v>
          </cell>
          <cell r="S48">
            <v>0</v>
          </cell>
          <cell r="T48">
            <v>141</v>
          </cell>
          <cell r="U48">
            <v>0</v>
          </cell>
          <cell r="V48">
            <v>3421</v>
          </cell>
          <cell r="W48">
            <v>300</v>
          </cell>
          <cell r="X48">
            <v>3862</v>
          </cell>
          <cell r="Y48">
            <v>140.03035</v>
          </cell>
          <cell r="Z48">
            <v>299.65800000000002</v>
          </cell>
          <cell r="AA48">
            <v>140.154</v>
          </cell>
          <cell r="AB48">
            <v>299.65699999999998</v>
          </cell>
          <cell r="AC48">
            <v>879.49935000000005</v>
          </cell>
          <cell r="AD48">
            <v>140</v>
          </cell>
          <cell r="AE48">
            <v>300</v>
          </cell>
          <cell r="AF48">
            <v>140</v>
          </cell>
          <cell r="AG48">
            <v>300</v>
          </cell>
          <cell r="AH48">
            <v>880</v>
          </cell>
          <cell r="AI48">
            <v>139.76</v>
          </cell>
          <cell r="AJ48">
            <v>299.7</v>
          </cell>
          <cell r="AK48">
            <v>140.97999999999999</v>
          </cell>
          <cell r="AL48">
            <v>298</v>
          </cell>
          <cell r="AM48">
            <v>878.44</v>
          </cell>
          <cell r="AN48">
            <v>879.62300000000005</v>
          </cell>
          <cell r="AO48">
            <v>887.93899999999996</v>
          </cell>
          <cell r="AP48">
            <v>887.93899999999996</v>
          </cell>
          <cell r="AQ48">
            <v>887.93899999999996</v>
          </cell>
          <cell r="AR48">
            <v>887.93899999999996</v>
          </cell>
          <cell r="AS48">
            <v>887.93899999999996</v>
          </cell>
        </row>
        <row r="49">
          <cell r="I49">
            <v>242</v>
          </cell>
          <cell r="N49">
            <v>485.92600000000004</v>
          </cell>
          <cell r="S49">
            <v>582</v>
          </cell>
          <cell r="T49">
            <v>0</v>
          </cell>
          <cell r="U49">
            <v>0</v>
          </cell>
          <cell r="V49">
            <v>0</v>
          </cell>
          <cell r="W49">
            <v>0</v>
          </cell>
          <cell r="X49">
            <v>0</v>
          </cell>
          <cell r="Y49">
            <v>0</v>
          </cell>
          <cell r="Z49">
            <v>140.607</v>
          </cell>
          <cell r="AA49">
            <v>0</v>
          </cell>
          <cell r="AB49">
            <v>616.94399999999996</v>
          </cell>
          <cell r="AC49">
            <v>757.55099999999993</v>
          </cell>
          <cell r="AD49">
            <v>0</v>
          </cell>
          <cell r="AE49">
            <v>140</v>
          </cell>
          <cell r="AF49">
            <v>0</v>
          </cell>
          <cell r="AG49">
            <v>617</v>
          </cell>
          <cell r="AH49">
            <v>757</v>
          </cell>
          <cell r="AI49">
            <v>0</v>
          </cell>
          <cell r="AJ49">
            <v>139.5</v>
          </cell>
          <cell r="AK49">
            <v>0</v>
          </cell>
          <cell r="AL49">
            <v>470</v>
          </cell>
          <cell r="AM49">
            <v>609.5</v>
          </cell>
          <cell r="AN49">
            <v>0</v>
          </cell>
          <cell r="AO49">
            <v>527</v>
          </cell>
          <cell r="AP49">
            <v>65</v>
          </cell>
          <cell r="AQ49">
            <v>75</v>
          </cell>
          <cell r="AR49">
            <v>146</v>
          </cell>
          <cell r="AS49">
            <v>77</v>
          </cell>
        </row>
        <row r="51">
          <cell r="I51">
            <v>290.07499999999999</v>
          </cell>
          <cell r="N51">
            <v>694.61</v>
          </cell>
          <cell r="S51">
            <v>536.88</v>
          </cell>
          <cell r="T51">
            <v>64.17</v>
          </cell>
          <cell r="U51">
            <v>359.34000000000003</v>
          </cell>
          <cell r="V51">
            <v>3794.07</v>
          </cell>
          <cell r="W51">
            <v>102</v>
          </cell>
          <cell r="X51">
            <v>4319.58</v>
          </cell>
          <cell r="Y51">
            <v>74</v>
          </cell>
          <cell r="Z51">
            <v>150</v>
          </cell>
          <cell r="AA51">
            <v>180</v>
          </cell>
          <cell r="AB51">
            <v>687</v>
          </cell>
          <cell r="AC51">
            <v>1091</v>
          </cell>
          <cell r="AD51">
            <v>95</v>
          </cell>
          <cell r="AE51">
            <v>204</v>
          </cell>
          <cell r="AF51">
            <v>735</v>
          </cell>
          <cell r="AG51">
            <v>410</v>
          </cell>
          <cell r="AH51">
            <v>1444</v>
          </cell>
          <cell r="AI51">
            <v>83.11</v>
          </cell>
          <cell r="AJ51">
            <v>196.79999999999998</v>
          </cell>
          <cell r="AK51">
            <v>632</v>
          </cell>
          <cell r="AL51">
            <v>513</v>
          </cell>
          <cell r="AM51">
            <v>1424.91</v>
          </cell>
          <cell r="AN51">
            <v>3364</v>
          </cell>
          <cell r="AO51">
            <v>3935.96</v>
          </cell>
          <cell r="AP51">
            <v>3719.7088000000003</v>
          </cell>
          <cell r="AQ51">
            <v>4554.7280639999999</v>
          </cell>
          <cell r="AR51">
            <v>4389.0733059200002</v>
          </cell>
          <cell r="AS51">
            <v>4660.8025750976003</v>
          </cell>
        </row>
        <row r="52">
          <cell r="I52">
            <v>153.26900000000001</v>
          </cell>
          <cell r="N52">
            <v>261.63</v>
          </cell>
          <cell r="S52">
            <v>43.58</v>
          </cell>
          <cell r="T52">
            <v>12</v>
          </cell>
          <cell r="U52">
            <v>39.61</v>
          </cell>
          <cell r="V52">
            <v>47.05</v>
          </cell>
          <cell r="W52">
            <v>63</v>
          </cell>
          <cell r="X52">
            <v>161.66</v>
          </cell>
          <cell r="Y52">
            <v>16</v>
          </cell>
          <cell r="Z52">
            <v>92</v>
          </cell>
          <cell r="AA52">
            <v>122</v>
          </cell>
          <cell r="AB52">
            <v>129</v>
          </cell>
          <cell r="AC52">
            <v>359</v>
          </cell>
          <cell r="AD52">
            <v>43</v>
          </cell>
          <cell r="AE52">
            <v>118</v>
          </cell>
          <cell r="AF52">
            <v>52</v>
          </cell>
          <cell r="AG52">
            <v>211</v>
          </cell>
          <cell r="AH52">
            <v>424</v>
          </cell>
          <cell r="AI52">
            <v>43.34</v>
          </cell>
          <cell r="AJ52">
            <v>146.22999999999999</v>
          </cell>
          <cell r="AK52">
            <v>96</v>
          </cell>
          <cell r="AL52">
            <v>397</v>
          </cell>
          <cell r="AM52">
            <v>682.57</v>
          </cell>
          <cell r="AN52">
            <v>348</v>
          </cell>
          <cell r="AO52">
            <v>348</v>
          </cell>
          <cell r="AP52">
            <v>365.40000000000003</v>
          </cell>
          <cell r="AQ52">
            <v>383.67000000000007</v>
          </cell>
          <cell r="AR52">
            <v>402.85350000000011</v>
          </cell>
          <cell r="AS52">
            <v>422.99617500000011</v>
          </cell>
        </row>
        <row r="53">
          <cell r="N53">
            <v>261.63</v>
          </cell>
          <cell r="S53">
            <v>43.58</v>
          </cell>
          <cell r="T53">
            <v>12</v>
          </cell>
          <cell r="U53">
            <v>39.61</v>
          </cell>
          <cell r="V53">
            <v>47.05</v>
          </cell>
          <cell r="W53">
            <v>63</v>
          </cell>
          <cell r="X53">
            <v>161.66</v>
          </cell>
          <cell r="Y53">
            <v>16</v>
          </cell>
          <cell r="Z53">
            <v>25.333333333333329</v>
          </cell>
          <cell r="AA53">
            <v>55.333333333333329</v>
          </cell>
          <cell r="AB53">
            <v>62.333333333333329</v>
          </cell>
          <cell r="AC53">
            <v>159</v>
          </cell>
          <cell r="AD53">
            <v>43</v>
          </cell>
          <cell r="AE53">
            <v>118</v>
          </cell>
          <cell r="AF53">
            <v>52</v>
          </cell>
          <cell r="AG53">
            <v>11</v>
          </cell>
          <cell r="AH53">
            <v>224</v>
          </cell>
          <cell r="AI53">
            <v>43.34</v>
          </cell>
          <cell r="AJ53">
            <v>146.22999999999999</v>
          </cell>
          <cell r="AK53">
            <v>96</v>
          </cell>
          <cell r="AL53">
            <v>397</v>
          </cell>
          <cell r="AM53">
            <v>682.57</v>
          </cell>
          <cell r="AN53">
            <v>348</v>
          </cell>
          <cell r="AO53">
            <v>348</v>
          </cell>
          <cell r="AP53">
            <v>365.40000000000003</v>
          </cell>
          <cell r="AQ53">
            <v>383.67000000000007</v>
          </cell>
          <cell r="AR53">
            <v>402.85350000000011</v>
          </cell>
          <cell r="AS53">
            <v>422.99617500000011</v>
          </cell>
        </row>
        <row r="54">
          <cell r="N54">
            <v>220</v>
          </cell>
        </row>
        <row r="55">
          <cell r="N55">
            <v>180</v>
          </cell>
        </row>
        <row r="56">
          <cell r="N56">
            <v>41.629999999999995</v>
          </cell>
        </row>
        <row r="57">
          <cell r="Y57">
            <v>0</v>
          </cell>
          <cell r="Z57">
            <v>66.666666666666671</v>
          </cell>
          <cell r="AA57">
            <v>66.666666666666671</v>
          </cell>
          <cell r="AB57">
            <v>66.666666666666671</v>
          </cell>
          <cell r="AC57">
            <v>200</v>
          </cell>
          <cell r="AD57">
            <v>0</v>
          </cell>
          <cell r="AE57">
            <v>0</v>
          </cell>
          <cell r="AF57">
            <v>0</v>
          </cell>
          <cell r="AG57">
            <v>200</v>
          </cell>
          <cell r="AH57">
            <v>200</v>
          </cell>
        </row>
        <row r="59">
          <cell r="I59">
            <v>106.419</v>
          </cell>
          <cell r="N59">
            <v>82.27000000000001</v>
          </cell>
          <cell r="S59">
            <v>50.36</v>
          </cell>
          <cell r="T59">
            <v>5.4</v>
          </cell>
          <cell r="U59">
            <v>4.7300000000000004</v>
          </cell>
          <cell r="V59">
            <v>5.83</v>
          </cell>
          <cell r="W59">
            <v>6</v>
          </cell>
          <cell r="X59">
            <v>21.96</v>
          </cell>
          <cell r="Y59">
            <v>0</v>
          </cell>
          <cell r="Z59">
            <v>0</v>
          </cell>
          <cell r="AA59">
            <v>0</v>
          </cell>
          <cell r="AB59">
            <v>0</v>
          </cell>
          <cell r="AC59">
            <v>0</v>
          </cell>
          <cell r="AD59">
            <v>23</v>
          </cell>
          <cell r="AE59">
            <v>26</v>
          </cell>
          <cell r="AF59">
            <v>83</v>
          </cell>
          <cell r="AG59">
            <v>80</v>
          </cell>
          <cell r="AH59">
            <v>212</v>
          </cell>
          <cell r="AI59">
            <v>23</v>
          </cell>
          <cell r="AJ59">
            <v>27</v>
          </cell>
          <cell r="AK59">
            <v>0</v>
          </cell>
          <cell r="AL59">
            <v>8</v>
          </cell>
          <cell r="AM59">
            <v>58</v>
          </cell>
          <cell r="AN59">
            <v>353</v>
          </cell>
          <cell r="AO59">
            <v>363.59000000000003</v>
          </cell>
          <cell r="AP59">
            <v>374.49770000000007</v>
          </cell>
          <cell r="AQ59">
            <v>385.73263100000008</v>
          </cell>
          <cell r="AR59">
            <v>397.30460993000008</v>
          </cell>
          <cell r="AS59">
            <v>409.2237482279001</v>
          </cell>
        </row>
        <row r="60">
          <cell r="I60">
            <v>14.865</v>
          </cell>
          <cell r="N60">
            <v>0</v>
          </cell>
          <cell r="S60">
            <v>27.119999999999997</v>
          </cell>
          <cell r="T60">
            <v>1.77</v>
          </cell>
          <cell r="U60">
            <v>0</v>
          </cell>
          <cell r="V60">
            <v>0.19</v>
          </cell>
          <cell r="W60">
            <v>30</v>
          </cell>
          <cell r="X60">
            <v>31.96</v>
          </cell>
          <cell r="Y60">
            <v>0</v>
          </cell>
          <cell r="Z60">
            <v>0</v>
          </cell>
          <cell r="AA60">
            <v>0</v>
          </cell>
          <cell r="AB60">
            <v>0</v>
          </cell>
          <cell r="AC60">
            <v>0</v>
          </cell>
          <cell r="AD60">
            <v>12</v>
          </cell>
          <cell r="AE60">
            <v>37</v>
          </cell>
          <cell r="AF60">
            <v>41</v>
          </cell>
          <cell r="AG60">
            <v>60</v>
          </cell>
          <cell r="AH60">
            <v>150</v>
          </cell>
          <cell r="AI60">
            <v>0</v>
          </cell>
          <cell r="AJ60">
            <v>0</v>
          </cell>
          <cell r="AK60">
            <v>0</v>
          </cell>
          <cell r="AL60">
            <v>0</v>
          </cell>
          <cell r="AM60">
            <v>0</v>
          </cell>
          <cell r="AN60">
            <v>0</v>
          </cell>
          <cell r="AO60">
            <v>0</v>
          </cell>
          <cell r="AP60">
            <v>0</v>
          </cell>
          <cell r="AQ60">
            <v>0</v>
          </cell>
          <cell r="AR60">
            <v>0</v>
          </cell>
          <cell r="AS60">
            <v>0</v>
          </cell>
        </row>
        <row r="61">
          <cell r="I61">
            <v>15.522000000000002</v>
          </cell>
          <cell r="N61">
            <v>4.91</v>
          </cell>
          <cell r="S61">
            <v>0.82</v>
          </cell>
          <cell r="T61">
            <v>45</v>
          </cell>
          <cell r="U61">
            <v>0</v>
          </cell>
          <cell r="V61">
            <v>0</v>
          </cell>
          <cell r="W61">
            <v>3</v>
          </cell>
          <cell r="X61">
            <v>48</v>
          </cell>
          <cell r="Y61">
            <v>58</v>
          </cell>
          <cell r="Z61">
            <v>58</v>
          </cell>
          <cell r="AA61">
            <v>58</v>
          </cell>
          <cell r="AB61">
            <v>58</v>
          </cell>
          <cell r="AC61">
            <v>232</v>
          </cell>
          <cell r="AD61">
            <v>17</v>
          </cell>
          <cell r="AE61">
            <v>23</v>
          </cell>
          <cell r="AF61">
            <v>59</v>
          </cell>
          <cell r="AG61">
            <v>59</v>
          </cell>
          <cell r="AH61">
            <v>158</v>
          </cell>
          <cell r="AI61">
            <v>16.77</v>
          </cell>
          <cell r="AJ61">
            <v>23.57</v>
          </cell>
          <cell r="AK61">
            <v>48</v>
          </cell>
          <cell r="AL61">
            <v>0</v>
          </cell>
          <cell r="AM61">
            <v>88.34</v>
          </cell>
          <cell r="AN61">
            <v>79</v>
          </cell>
          <cell r="AO61">
            <v>81.37</v>
          </cell>
          <cell r="AP61">
            <v>83.81110000000001</v>
          </cell>
          <cell r="AQ61">
            <v>86.325433000000018</v>
          </cell>
          <cell r="AR61">
            <v>88.915195990000015</v>
          </cell>
          <cell r="AS61">
            <v>91.582651869700015</v>
          </cell>
        </row>
        <row r="62">
          <cell r="I62">
            <v>0</v>
          </cell>
          <cell r="N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row>
        <row r="63">
          <cell r="I63">
            <v>0</v>
          </cell>
          <cell r="N63">
            <v>345.8</v>
          </cell>
          <cell r="S63">
            <v>415</v>
          </cell>
          <cell r="T63">
            <v>0</v>
          </cell>
          <cell r="U63">
            <v>315</v>
          </cell>
          <cell r="V63">
            <v>3741</v>
          </cell>
          <cell r="W63">
            <v>0</v>
          </cell>
          <cell r="X63">
            <v>4056</v>
          </cell>
          <cell r="Y63">
            <v>0</v>
          </cell>
          <cell r="Z63">
            <v>0</v>
          </cell>
          <cell r="AA63">
            <v>0</v>
          </cell>
          <cell r="AB63">
            <v>500</v>
          </cell>
          <cell r="AC63">
            <v>500</v>
          </cell>
          <cell r="AD63">
            <v>0</v>
          </cell>
          <cell r="AE63">
            <v>0</v>
          </cell>
          <cell r="AF63">
            <v>500</v>
          </cell>
          <cell r="AG63">
            <v>0</v>
          </cell>
          <cell r="AH63">
            <v>500</v>
          </cell>
          <cell r="AI63">
            <v>0</v>
          </cell>
          <cell r="AJ63">
            <v>0</v>
          </cell>
          <cell r="AK63">
            <v>488</v>
          </cell>
          <cell r="AL63">
            <v>108</v>
          </cell>
          <cell r="AM63">
            <v>596</v>
          </cell>
          <cell r="AN63">
            <v>2584</v>
          </cell>
          <cell r="AO63">
            <v>3143</v>
          </cell>
          <cell r="AP63">
            <v>2896</v>
          </cell>
          <cell r="AQ63">
            <v>3699</v>
          </cell>
          <cell r="AR63">
            <v>3500</v>
          </cell>
          <cell r="AS63">
            <v>3737</v>
          </cell>
        </row>
        <row r="65">
          <cell r="I65">
            <v>-44.353440000000035</v>
          </cell>
          <cell r="N65">
            <v>-320.76555999999988</v>
          </cell>
          <cell r="S65">
            <v>-745.46</v>
          </cell>
          <cell r="T65">
            <v>-123.83999999999995</v>
          </cell>
          <cell r="U65">
            <v>310.3</v>
          </cell>
          <cell r="V65">
            <v>243.10999999999999</v>
          </cell>
          <cell r="W65">
            <v>-229.05</v>
          </cell>
          <cell r="X65">
            <v>34.640000000000327</v>
          </cell>
          <cell r="Y65">
            <v>-324.34735000000001</v>
          </cell>
          <cell r="Z65">
            <v>-426.37400000000002</v>
          </cell>
          <cell r="AA65">
            <v>-123.43599999999998</v>
          </cell>
          <cell r="AB65">
            <v>-373.4380000000001</v>
          </cell>
          <cell r="AC65">
            <v>-1153.0253499999999</v>
          </cell>
          <cell r="AD65">
            <v>-369.88</v>
          </cell>
          <cell r="AE65">
            <v>-322</v>
          </cell>
          <cell r="AF65">
            <v>433</v>
          </cell>
          <cell r="AG65">
            <v>-650</v>
          </cell>
          <cell r="AH65">
            <v>-743</v>
          </cell>
          <cell r="AI65">
            <v>-215.37</v>
          </cell>
          <cell r="AJ65">
            <v>-329.73</v>
          </cell>
          <cell r="AK65">
            <v>325.02999999999997</v>
          </cell>
          <cell r="AL65">
            <v>-471</v>
          </cell>
          <cell r="AM65">
            <v>-691.06999999999994</v>
          </cell>
          <cell r="AN65">
            <v>1792.597</v>
          </cell>
          <cell r="AO65">
            <v>2014.2860000000001</v>
          </cell>
          <cell r="AP65">
            <v>2099.5738000000001</v>
          </cell>
          <cell r="AQ65">
            <v>3036.603294</v>
          </cell>
          <cell r="AR65">
            <v>2460.00827282</v>
          </cell>
          <cell r="AS65">
            <v>2720.7217310046003</v>
          </cell>
        </row>
        <row r="66">
          <cell r="I66">
            <v>-7.6027164587896313E-4</v>
          </cell>
          <cell r="N66">
            <v>-4.1556329549197416E-3</v>
          </cell>
          <cell r="S66">
            <v>-1.0567496345400556E-2</v>
          </cell>
          <cell r="T66">
            <v>-6.4855598354305747E-3</v>
          </cell>
          <cell r="U66">
            <v>1.4532679165592867E-2</v>
          </cell>
          <cell r="V66">
            <v>1.0491360298000638E-2</v>
          </cell>
          <cell r="W66">
            <v>-9.2891809347430392E-3</v>
          </cell>
          <cell r="X66">
            <v>3.9170407294270482E-4</v>
          </cell>
          <cell r="Y66">
            <v>-1.4390613786466775E-2</v>
          </cell>
          <cell r="Z66">
            <v>-1.8557052291280449E-2</v>
          </cell>
          <cell r="AA66">
            <v>-5.0925924043119884E-3</v>
          </cell>
          <cell r="AB66">
            <v>-1.4643494289011069E-2</v>
          </cell>
          <cell r="AC66">
            <v>-1.2079748349211571E-2</v>
          </cell>
          <cell r="AD66">
            <v>-1.6641235397827227E-2</v>
          </cell>
          <cell r="AE66">
            <v>-1.4035880321635212E-2</v>
          </cell>
          <cell r="AF66">
            <v>1.9193898124390929E-2</v>
          </cell>
          <cell r="AG66">
            <v>-2.730168484814469E-2</v>
          </cell>
          <cell r="AH66">
            <v>-7.8198500864885643E-3</v>
          </cell>
          <cell r="AI66">
            <v>-2.2237455440255135E-3</v>
          </cell>
          <cell r="AJ66">
            <v>-3.2881121057520158E-3</v>
          </cell>
          <cell r="AK66">
            <v>3.0275116937888728E-3</v>
          </cell>
          <cell r="AL66">
            <v>-4.2198223810445898E-3</v>
          </cell>
          <cell r="AM66">
            <v>-5.9598511978717498E-3</v>
          </cell>
          <cell r="AN66">
            <v>1.850898263910249E-2</v>
          </cell>
          <cell r="AO66">
            <v>2.008673211732874E-2</v>
          </cell>
          <cell r="AP66">
            <v>1.9556607794581245E-2</v>
          </cell>
          <cell r="AQ66">
            <v>2.7205788837314063E-2</v>
          </cell>
          <cell r="AR66">
            <v>2.1215337449955421E-2</v>
          </cell>
          <cell r="AS66">
            <v>2.2582516465523974E-2</v>
          </cell>
        </row>
        <row r="68">
          <cell r="AN68">
            <v>200.38800000000001</v>
          </cell>
          <cell r="AO68">
            <v>122.85400000000001</v>
          </cell>
          <cell r="AP68">
            <v>407.72700000000003</v>
          </cell>
          <cell r="AQ68">
            <v>481.71677000000005</v>
          </cell>
          <cell r="AR68">
            <v>558.65703310000015</v>
          </cell>
          <cell r="AS68">
            <v>638.67284409300021</v>
          </cell>
        </row>
        <row r="69">
          <cell r="AN69">
            <v>0</v>
          </cell>
          <cell r="AO69">
            <v>16.166</v>
          </cell>
          <cell r="AP69">
            <v>264.68</v>
          </cell>
          <cell r="AQ69">
            <v>301.22000000000003</v>
          </cell>
          <cell r="AR69">
            <v>339.58700000000005</v>
          </cell>
          <cell r="AS69">
            <v>379.8723500000001</v>
          </cell>
        </row>
        <row r="70">
          <cell r="AN70">
            <v>7.9960000000000013</v>
          </cell>
          <cell r="AO70">
            <v>70.296000000000006</v>
          </cell>
          <cell r="AP70">
            <v>106.65500000000003</v>
          </cell>
          <cell r="AQ70">
            <v>144.10477000000003</v>
          </cell>
          <cell r="AR70">
            <v>182.67803310000005</v>
          </cell>
          <cell r="AS70">
            <v>222.40849409300006</v>
          </cell>
        </row>
        <row r="71">
          <cell r="AN71">
            <v>6.3920000000000003</v>
          </cell>
          <cell r="AO71">
            <v>36.392000000000003</v>
          </cell>
          <cell r="AP71">
            <v>36.392000000000003</v>
          </cell>
          <cell r="AQ71">
            <v>36.392000000000003</v>
          </cell>
          <cell r="AR71">
            <v>36.392000000000003</v>
          </cell>
          <cell r="AS71">
            <v>36.392000000000003</v>
          </cell>
        </row>
        <row r="72">
          <cell r="AN72">
            <v>186</v>
          </cell>
          <cell r="AO72">
            <v>0</v>
          </cell>
          <cell r="AP72">
            <v>0</v>
          </cell>
          <cell r="AQ72">
            <v>0</v>
          </cell>
          <cell r="AR72">
            <v>0</v>
          </cell>
          <cell r="AS72">
            <v>0</v>
          </cell>
        </row>
        <row r="73">
          <cell r="AN73">
            <v>0</v>
          </cell>
          <cell r="AO73">
            <v>0</v>
          </cell>
          <cell r="AP73">
            <v>0</v>
          </cell>
          <cell r="AQ73">
            <v>0</v>
          </cell>
          <cell r="AR73">
            <v>0</v>
          </cell>
          <cell r="AS73">
            <v>0</v>
          </cell>
        </row>
        <row r="76">
          <cell r="N76">
            <v>8.0333683943848933E-2</v>
          </cell>
          <cell r="S76">
            <v>7.4831615570113988E-2</v>
          </cell>
          <cell r="X76">
            <v>6.4729492260951024E-2</v>
          </cell>
          <cell r="AC76">
            <v>9.2472509614596229E-2</v>
          </cell>
          <cell r="AH76">
            <v>8.6295660701152244E-2</v>
          </cell>
          <cell r="AN76">
            <v>7.5613307206428101E-2</v>
          </cell>
          <cell r="AO76">
            <v>8.5635377702891313E-2</v>
          </cell>
          <cell r="AP76">
            <v>8.5886021162855639E-2</v>
          </cell>
          <cell r="AQ76">
            <v>8.6132326436457352E-2</v>
          </cell>
          <cell r="AR76">
            <v>8.6548179537380865E-2</v>
          </cell>
          <cell r="AS76">
            <v>8.7462004212564393E-2</v>
          </cell>
        </row>
        <row r="77">
          <cell r="N77">
            <v>7.2954893970436308E-2</v>
          </cell>
          <cell r="S77">
            <v>7.5667635160496571E-2</v>
          </cell>
          <cell r="X77">
            <v>8.005253305959785E-2</v>
          </cell>
          <cell r="AC77">
            <v>0.10460178436536616</v>
          </cell>
          <cell r="AH77">
            <v>6.7441115476049973E-2</v>
          </cell>
          <cell r="AN77">
            <v>0.1149822836680796</v>
          </cell>
          <cell r="AO77">
            <v>9.3232787709776263E-2</v>
          </cell>
          <cell r="AP77">
            <v>8.9482079928822414E-2</v>
          </cell>
          <cell r="AQ77">
            <v>8.7456579345339319E-2</v>
          </cell>
          <cell r="AR77">
            <v>8.6362593904709906E-2</v>
          </cell>
          <cell r="AS77">
            <v>8.5876903141692093E-2</v>
          </cell>
        </row>
        <row r="78">
          <cell r="N78">
            <v>7.1180535637115988E-2</v>
          </cell>
          <cell r="S78">
            <v>0.139337048987973</v>
          </cell>
          <cell r="X78">
            <v>8.4700574241181312E-2</v>
          </cell>
        </row>
        <row r="79">
          <cell r="N79">
            <v>2.9292149929375903E-2</v>
          </cell>
          <cell r="S79">
            <v>3.3490686399591735E-3</v>
          </cell>
          <cell r="X79">
            <v>0.31315192223928839</v>
          </cell>
          <cell r="AC79">
            <v>0.46954429360992717</v>
          </cell>
          <cell r="AH79">
            <v>0.41876641351408905</v>
          </cell>
          <cell r="AN79">
            <v>2.1417848206839035E-2</v>
          </cell>
          <cell r="AO79">
            <v>7.1219652858648036E-2</v>
          </cell>
          <cell r="AP79">
            <v>7.0067360133927573E-2</v>
          </cell>
          <cell r="AQ79">
            <v>6.9253324352166468E-2</v>
          </cell>
          <cell r="AR79">
            <v>6.8647895822949209E-2</v>
          </cell>
          <cell r="AS79">
            <v>6.8180175775016102E-2</v>
          </cell>
        </row>
        <row r="80">
          <cell r="N80">
            <v>7.1072866853031741E-2</v>
          </cell>
          <cell r="S80">
            <v>6.6929119353245248E-2</v>
          </cell>
          <cell r="X80">
            <v>7.5155011371439165E-2</v>
          </cell>
          <cell r="AC80">
            <v>0.1007906416733178</v>
          </cell>
          <cell r="AH80">
            <v>0.10036327504372139</v>
          </cell>
          <cell r="AN80">
            <v>0.10221735077441975</v>
          </cell>
          <cell r="AO80">
            <v>9.9140764408226709E-2</v>
          </cell>
          <cell r="AP80">
            <v>0.10215741305373909</v>
          </cell>
          <cell r="AQ80">
            <v>0.10593568524099907</v>
          </cell>
          <cell r="AR80">
            <v>0.1183606968589752</v>
          </cell>
          <cell r="AS80">
            <v>0.13408759707908485</v>
          </cell>
        </row>
        <row r="81">
          <cell r="N81">
            <v>9.0826955218141575E-2</v>
          </cell>
          <cell r="S81">
            <v>9.8742029984490789E-2</v>
          </cell>
          <cell r="X81">
            <v>0.10634932387407701</v>
          </cell>
          <cell r="AC81">
            <v>2.9257302185845366E-2</v>
          </cell>
          <cell r="AH81">
            <v>2.5858353684815399E-2</v>
          </cell>
          <cell r="AN81">
            <v>3.1453147877013178E-2</v>
          </cell>
          <cell r="AO81">
            <v>4.9191494071146237E-2</v>
          </cell>
          <cell r="AP81">
            <v>5.4150024411224511E-2</v>
          </cell>
          <cell r="AQ81">
            <v>5.9755969585949149E-2</v>
          </cell>
          <cell r="AR81">
            <v>6.1694761981040028E-2</v>
          </cell>
          <cell r="AS81">
            <v>6.3637932502280323E-2</v>
          </cell>
        </row>
        <row r="85">
          <cell r="H85">
            <v>2776.82</v>
          </cell>
          <cell r="I85">
            <v>2876.1639999999998</v>
          </cell>
          <cell r="N85">
            <v>2842.4127399999998</v>
          </cell>
          <cell r="S85">
            <v>2202.9499999999998</v>
          </cell>
          <cell r="T85">
            <v>2135.7999999999997</v>
          </cell>
          <cell r="U85">
            <v>2058.7599999999998</v>
          </cell>
          <cell r="V85">
            <v>2031.9499999999998</v>
          </cell>
          <cell r="W85">
            <v>1941.59</v>
          </cell>
          <cell r="X85">
            <v>1890.47</v>
          </cell>
          <cell r="Y85">
            <v>1779.33</v>
          </cell>
          <cell r="Z85">
            <v>1735.23</v>
          </cell>
          <cell r="AA85">
            <v>1745.86</v>
          </cell>
          <cell r="AB85">
            <v>1752.6</v>
          </cell>
          <cell r="AC85">
            <v>1752.6</v>
          </cell>
          <cell r="AD85">
            <v>1758.01</v>
          </cell>
          <cell r="AE85">
            <v>1688.01</v>
          </cell>
          <cell r="AF85">
            <v>1651.01</v>
          </cell>
          <cell r="AG85">
            <v>1604.01</v>
          </cell>
          <cell r="AH85">
            <v>1604.01</v>
          </cell>
          <cell r="AM85">
            <v>1740.23</v>
          </cell>
          <cell r="AN85">
            <v>1660.5509999999999</v>
          </cell>
          <cell r="AO85">
            <v>1460.4798285714287</v>
          </cell>
          <cell r="AP85">
            <v>1266.1825085714286</v>
          </cell>
          <cell r="AQ85">
            <v>1042.6035085714286</v>
          </cell>
          <cell r="AR85">
            <v>819.02450857142878</v>
          </cell>
          <cell r="AS85">
            <v>571.44550857142883</v>
          </cell>
        </row>
        <row r="86">
          <cell r="H86">
            <v>497</v>
          </cell>
          <cell r="I86">
            <v>478.03</v>
          </cell>
          <cell r="N86">
            <v>485.39373999999998</v>
          </cell>
          <cell r="S86">
            <v>450.89</v>
          </cell>
          <cell r="T86">
            <v>432.67</v>
          </cell>
          <cell r="U86">
            <v>435.98</v>
          </cell>
          <cell r="V86">
            <v>448.45</v>
          </cell>
          <cell r="W86">
            <v>476.45</v>
          </cell>
          <cell r="X86">
            <v>533.61</v>
          </cell>
          <cell r="Y86">
            <v>512.66999999999996</v>
          </cell>
          <cell r="Z86">
            <v>494.67</v>
          </cell>
          <cell r="AA86">
            <v>473.73</v>
          </cell>
          <cell r="AB86">
            <v>470.17</v>
          </cell>
          <cell r="AC86">
            <v>470.17</v>
          </cell>
          <cell r="AD86">
            <v>517.61</v>
          </cell>
          <cell r="AE86">
            <v>542.61</v>
          </cell>
          <cell r="AF86">
            <v>529.61</v>
          </cell>
          <cell r="AG86">
            <v>533.61</v>
          </cell>
          <cell r="AH86">
            <v>533.61</v>
          </cell>
          <cell r="AM86">
            <v>580.85</v>
          </cell>
          <cell r="AN86">
            <v>715.76099999999997</v>
          </cell>
          <cell r="AO86">
            <v>659.75342857142857</v>
          </cell>
          <cell r="AP86">
            <v>596.17442857142862</v>
          </cell>
          <cell r="AQ86">
            <v>479.59542857142861</v>
          </cell>
          <cell r="AR86">
            <v>363.01642857142861</v>
          </cell>
          <cell r="AS86">
            <v>246.4374285714286</v>
          </cell>
        </row>
        <row r="87">
          <cell r="H87">
            <v>1719.4199999999998</v>
          </cell>
          <cell r="I87">
            <v>2062.933</v>
          </cell>
          <cell r="N87">
            <v>2069.94</v>
          </cell>
          <cell r="S87">
            <v>1613.27</v>
          </cell>
          <cell r="T87">
            <v>1565.7799999999997</v>
          </cell>
          <cell r="U87">
            <v>1500.7199999999998</v>
          </cell>
          <cell r="V87">
            <v>1467.9599999999998</v>
          </cell>
          <cell r="W87">
            <v>1369.6</v>
          </cell>
          <cell r="X87">
            <v>1262.03</v>
          </cell>
          <cell r="Y87">
            <v>1173.42</v>
          </cell>
          <cell r="Z87">
            <v>1164.8800000000001</v>
          </cell>
          <cell r="AA87">
            <v>1197.72</v>
          </cell>
          <cell r="AB87">
            <v>1225.1600000000001</v>
          </cell>
          <cell r="AC87">
            <v>1225.1600000000001</v>
          </cell>
          <cell r="AD87">
            <v>1149.57</v>
          </cell>
          <cell r="AE87">
            <v>1066.57</v>
          </cell>
          <cell r="AF87">
            <v>1044.57</v>
          </cell>
          <cell r="AG87">
            <v>1010.5699999999999</v>
          </cell>
          <cell r="AH87">
            <v>1010.5699999999999</v>
          </cell>
          <cell r="AM87">
            <v>1084.25</v>
          </cell>
          <cell r="AN87">
            <v>898.46800000000007</v>
          </cell>
          <cell r="AO87">
            <v>773.26040000000012</v>
          </cell>
          <cell r="AP87">
            <v>655.54208000000017</v>
          </cell>
          <cell r="AQ87">
            <v>558.54208000000017</v>
          </cell>
          <cell r="AR87">
            <v>454.54208000000017</v>
          </cell>
          <cell r="AS87">
            <v>326.54208000000017</v>
          </cell>
        </row>
        <row r="88">
          <cell r="H88">
            <v>428.3</v>
          </cell>
          <cell r="I88">
            <v>230.62</v>
          </cell>
          <cell r="N88">
            <v>200.37199999999999</v>
          </cell>
          <cell r="S88">
            <v>75.349999999999994</v>
          </cell>
          <cell r="T88">
            <v>74.349999999999994</v>
          </cell>
          <cell r="U88">
            <v>59.349999999999994</v>
          </cell>
          <cell r="V88">
            <v>52.83</v>
          </cell>
          <cell r="W88">
            <v>35.83</v>
          </cell>
          <cell r="X88">
            <v>38.380000000000003</v>
          </cell>
          <cell r="Y88">
            <v>37.86</v>
          </cell>
          <cell r="Z88">
            <v>23.39</v>
          </cell>
          <cell r="AA88">
            <v>22.87</v>
          </cell>
          <cell r="AB88">
            <v>8.4</v>
          </cell>
          <cell r="AC88">
            <v>8.4</v>
          </cell>
          <cell r="AD88">
            <v>34.380000000000003</v>
          </cell>
          <cell r="AE88">
            <v>22.380000000000003</v>
          </cell>
          <cell r="AF88">
            <v>21.380000000000003</v>
          </cell>
          <cell r="AG88">
            <v>7.3800000000000026</v>
          </cell>
          <cell r="AH88">
            <v>7.3800000000000026</v>
          </cell>
          <cell r="AM88">
            <v>18.940000000000001</v>
          </cell>
          <cell r="AN88">
            <v>3.8700000000000028</v>
          </cell>
          <cell r="AO88">
            <v>-0.12999999999999723</v>
          </cell>
          <cell r="AP88">
            <v>-0.12999999999999723</v>
          </cell>
          <cell r="AQ88">
            <v>-0.12999999999999723</v>
          </cell>
          <cell r="AR88">
            <v>-0.12999999999999723</v>
          </cell>
          <cell r="AS88">
            <v>-0.12999999999999723</v>
          </cell>
        </row>
        <row r="89">
          <cell r="H89">
            <v>132.1</v>
          </cell>
          <cell r="I89">
            <v>104.581</v>
          </cell>
          <cell r="N89">
            <v>86.706999999999994</v>
          </cell>
          <cell r="S89">
            <v>63.44</v>
          </cell>
          <cell r="T89">
            <v>63</v>
          </cell>
          <cell r="U89">
            <v>62.709999999999994</v>
          </cell>
          <cell r="V89">
            <v>62.709999999999994</v>
          </cell>
          <cell r="W89">
            <v>59.709999999999994</v>
          </cell>
          <cell r="X89">
            <v>56.45</v>
          </cell>
          <cell r="Y89">
            <v>55.38</v>
          </cell>
          <cell r="Z89">
            <v>52.29</v>
          </cell>
          <cell r="AA89">
            <v>51.54</v>
          </cell>
          <cell r="AB89">
            <v>48.87</v>
          </cell>
          <cell r="AC89">
            <v>48.87</v>
          </cell>
          <cell r="AD89">
            <v>56.45</v>
          </cell>
          <cell r="AE89">
            <v>56.45</v>
          </cell>
          <cell r="AF89">
            <v>55.45</v>
          </cell>
          <cell r="AG89">
            <v>52.45</v>
          </cell>
          <cell r="AH89">
            <v>52.45</v>
          </cell>
          <cell r="AM89">
            <v>56.190000000000005</v>
          </cell>
          <cell r="AN89">
            <v>42.452000000000005</v>
          </cell>
          <cell r="AO89">
            <v>27.596000000000007</v>
          </cell>
          <cell r="AP89">
            <v>14.596000000000007</v>
          </cell>
          <cell r="AQ89">
            <v>4.5960000000000072</v>
          </cell>
          <cell r="AR89">
            <v>1.5960000000000072</v>
          </cell>
          <cell r="AS89">
            <v>-1.4039999999999928</v>
          </cell>
        </row>
        <row r="90">
          <cell r="H90">
            <v>0</v>
          </cell>
          <cell r="I90">
            <v>0</v>
          </cell>
          <cell r="N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M90">
            <v>0</v>
          </cell>
          <cell r="AN90">
            <v>0</v>
          </cell>
          <cell r="AO90">
            <v>0</v>
          </cell>
          <cell r="AP90">
            <v>0</v>
          </cell>
          <cell r="AQ90">
            <v>0</v>
          </cell>
          <cell r="AR90">
            <v>0</v>
          </cell>
          <cell r="AS90">
            <v>0</v>
          </cell>
        </row>
        <row r="91">
          <cell r="H91">
            <v>0</v>
          </cell>
          <cell r="I91">
            <v>0</v>
          </cell>
          <cell r="N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M91">
            <v>0</v>
          </cell>
          <cell r="AN91">
            <v>0</v>
          </cell>
          <cell r="AO91">
            <v>0</v>
          </cell>
          <cell r="AP91">
            <v>0</v>
          </cell>
          <cell r="AQ91">
            <v>0</v>
          </cell>
          <cell r="AR91">
            <v>0</v>
          </cell>
          <cell r="AS91">
            <v>0</v>
          </cell>
        </row>
        <row r="93">
          <cell r="H93">
            <v>196.74</v>
          </cell>
          <cell r="I93">
            <v>261.39100000000002</v>
          </cell>
          <cell r="N93">
            <v>355.29174000000006</v>
          </cell>
          <cell r="S93">
            <v>28.93</v>
          </cell>
          <cell r="T93">
            <v>34.489999999999995</v>
          </cell>
          <cell r="U93">
            <v>61.55</v>
          </cell>
          <cell r="V93">
            <v>61.550000000000004</v>
          </cell>
          <cell r="W93">
            <v>61.46</v>
          </cell>
          <cell r="X93">
            <v>61.46</v>
          </cell>
          <cell r="Y93">
            <v>0</v>
          </cell>
          <cell r="Z93">
            <v>0</v>
          </cell>
          <cell r="AA93">
            <v>0</v>
          </cell>
          <cell r="AB93">
            <v>0</v>
          </cell>
          <cell r="AC93">
            <v>0</v>
          </cell>
          <cell r="AD93">
            <v>0</v>
          </cell>
          <cell r="AE93">
            <v>0</v>
          </cell>
          <cell r="AF93">
            <v>0</v>
          </cell>
          <cell r="AG93">
            <v>0</v>
          </cell>
          <cell r="AH93">
            <v>0</v>
          </cell>
          <cell r="AI93">
            <v>62.070000000000007</v>
          </cell>
          <cell r="AJ93">
            <v>26.240000000000002</v>
          </cell>
          <cell r="AK93">
            <v>29.200000000000003</v>
          </cell>
          <cell r="AL93">
            <v>29.200000000000003</v>
          </cell>
          <cell r="AM93">
            <v>29.200000000000003</v>
          </cell>
          <cell r="AN93">
            <v>5.6500000000000057</v>
          </cell>
          <cell r="AO93">
            <v>0</v>
          </cell>
          <cell r="AP93">
            <v>0</v>
          </cell>
          <cell r="AQ93">
            <v>0</v>
          </cell>
          <cell r="AR93">
            <v>0</v>
          </cell>
          <cell r="AS93">
            <v>0</v>
          </cell>
        </row>
        <row r="94">
          <cell r="H94">
            <v>151.62</v>
          </cell>
          <cell r="I94">
            <v>190.87700000000001</v>
          </cell>
          <cell r="N94">
            <v>279.79900000000004</v>
          </cell>
          <cell r="S94">
            <v>16.93</v>
          </cell>
          <cell r="T94">
            <v>24.22</v>
          </cell>
          <cell r="U94">
            <v>53.58</v>
          </cell>
          <cell r="V94">
            <v>53.580000000000005</v>
          </cell>
          <cell r="W94">
            <v>53.49</v>
          </cell>
          <cell r="X94">
            <v>53.49</v>
          </cell>
          <cell r="Y94">
            <v>0</v>
          </cell>
          <cell r="Z94">
            <v>0</v>
          </cell>
          <cell r="AA94">
            <v>0</v>
          </cell>
          <cell r="AB94">
            <v>0</v>
          </cell>
          <cell r="AC94">
            <v>0</v>
          </cell>
          <cell r="AD94">
            <v>0</v>
          </cell>
          <cell r="AE94">
            <v>0</v>
          </cell>
          <cell r="AF94">
            <v>0</v>
          </cell>
          <cell r="AG94">
            <v>0</v>
          </cell>
          <cell r="AH94">
            <v>0</v>
          </cell>
          <cell r="AI94">
            <v>52.120000000000005</v>
          </cell>
          <cell r="AJ94">
            <v>23.800000000000004</v>
          </cell>
          <cell r="AK94">
            <v>26.760000000000005</v>
          </cell>
          <cell r="AL94">
            <v>26.760000000000005</v>
          </cell>
          <cell r="AM94">
            <v>26.760000000000005</v>
          </cell>
          <cell r="AN94">
            <v>5.6500000000000057</v>
          </cell>
          <cell r="AO94">
            <v>0</v>
          </cell>
          <cell r="AP94">
            <v>0</v>
          </cell>
          <cell r="AQ94">
            <v>0</v>
          </cell>
          <cell r="AR94">
            <v>0</v>
          </cell>
          <cell r="AS94">
            <v>0</v>
          </cell>
        </row>
        <row r="95">
          <cell r="H95">
            <v>0</v>
          </cell>
          <cell r="I95">
            <v>0</v>
          </cell>
          <cell r="N95">
            <v>1.0309999999999999</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row>
        <row r="96">
          <cell r="H96">
            <v>76.22</v>
          </cell>
          <cell r="I96">
            <v>174.49799999999999</v>
          </cell>
          <cell r="N96">
            <v>275.41000000000003</v>
          </cell>
          <cell r="S96">
            <v>16.93</v>
          </cell>
          <cell r="T96">
            <v>24.22</v>
          </cell>
          <cell r="U96">
            <v>53.58</v>
          </cell>
          <cell r="V96">
            <v>53.580000000000005</v>
          </cell>
          <cell r="W96">
            <v>53.49</v>
          </cell>
          <cell r="X96">
            <v>53.49</v>
          </cell>
          <cell r="Y96">
            <v>0</v>
          </cell>
          <cell r="Z96">
            <v>0</v>
          </cell>
          <cell r="AA96">
            <v>0</v>
          </cell>
          <cell r="AB96">
            <v>0</v>
          </cell>
          <cell r="AC96">
            <v>0</v>
          </cell>
          <cell r="AD96">
            <v>0</v>
          </cell>
          <cell r="AE96">
            <v>0</v>
          </cell>
          <cell r="AF96">
            <v>0</v>
          </cell>
          <cell r="AG96">
            <v>0</v>
          </cell>
          <cell r="AH96">
            <v>0</v>
          </cell>
          <cell r="AI96">
            <v>52.120000000000005</v>
          </cell>
          <cell r="AJ96">
            <v>23.800000000000004</v>
          </cell>
          <cell r="AK96">
            <v>26.760000000000005</v>
          </cell>
          <cell r="AL96">
            <v>26.760000000000005</v>
          </cell>
          <cell r="AM96">
            <v>26.760000000000005</v>
          </cell>
          <cell r="AN96">
            <v>5.6500000000000057</v>
          </cell>
          <cell r="AO96">
            <v>0</v>
          </cell>
          <cell r="AP96">
            <v>0</v>
          </cell>
          <cell r="AQ96">
            <v>0</v>
          </cell>
          <cell r="AR96">
            <v>0</v>
          </cell>
          <cell r="AS96">
            <v>0</v>
          </cell>
        </row>
        <row r="97">
          <cell r="H97">
            <v>0</v>
          </cell>
          <cell r="I97">
            <v>11.52</v>
          </cell>
          <cell r="N97">
            <v>2.5110000000000001</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row>
        <row r="98">
          <cell r="H98">
            <v>75.400000000000006</v>
          </cell>
          <cell r="I98">
            <v>4.859</v>
          </cell>
          <cell r="N98">
            <v>0.84699999999999998</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row>
        <row r="99">
          <cell r="H99">
            <v>0</v>
          </cell>
          <cell r="I99">
            <v>0</v>
          </cell>
          <cell r="N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row>
        <row r="100">
          <cell r="H100">
            <v>0</v>
          </cell>
          <cell r="I100">
            <v>0</v>
          </cell>
          <cell r="N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row>
        <row r="101">
          <cell r="H101">
            <v>45.12</v>
          </cell>
          <cell r="I101">
            <v>70.51400000000001</v>
          </cell>
          <cell r="N101">
            <v>75.492740000000012</v>
          </cell>
          <cell r="S101">
            <v>12</v>
          </cell>
          <cell r="T101">
            <v>10.27</v>
          </cell>
          <cell r="U101">
            <v>7.97</v>
          </cell>
          <cell r="V101">
            <v>7.9700000000000006</v>
          </cell>
          <cell r="W101">
            <v>7.97</v>
          </cell>
          <cell r="X101">
            <v>7.97</v>
          </cell>
          <cell r="Y101">
            <v>0</v>
          </cell>
          <cell r="Z101">
            <v>0</v>
          </cell>
          <cell r="AA101">
            <v>0</v>
          </cell>
          <cell r="AB101">
            <v>0</v>
          </cell>
          <cell r="AC101">
            <v>0</v>
          </cell>
          <cell r="AD101">
            <v>0</v>
          </cell>
          <cell r="AE101">
            <v>0</v>
          </cell>
          <cell r="AF101">
            <v>0</v>
          </cell>
          <cell r="AG101">
            <v>0</v>
          </cell>
          <cell r="AH101">
            <v>0</v>
          </cell>
          <cell r="AI101">
            <v>9.9499999999999993</v>
          </cell>
          <cell r="AJ101">
            <v>2.4399999999999995</v>
          </cell>
          <cell r="AK101">
            <v>2.4399999999999995</v>
          </cell>
          <cell r="AL101">
            <v>2.4399999999999995</v>
          </cell>
          <cell r="AM101">
            <v>2.4399999999999995</v>
          </cell>
          <cell r="AN101">
            <v>0</v>
          </cell>
          <cell r="AO101">
            <v>0</v>
          </cell>
          <cell r="AP101">
            <v>0</v>
          </cell>
          <cell r="AQ101">
            <v>0</v>
          </cell>
          <cell r="AR101">
            <v>0</v>
          </cell>
          <cell r="AS101">
            <v>0</v>
          </cell>
        </row>
        <row r="102">
          <cell r="H102">
            <v>0</v>
          </cell>
          <cell r="I102">
            <v>0.4</v>
          </cell>
          <cell r="N102">
            <v>0.13374</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row>
        <row r="103">
          <cell r="H103">
            <v>40.119999999999997</v>
          </cell>
          <cell r="I103">
            <v>68.253</v>
          </cell>
          <cell r="N103">
            <v>75.290000000000006</v>
          </cell>
          <cell r="S103">
            <v>12</v>
          </cell>
          <cell r="T103">
            <v>10.27</v>
          </cell>
          <cell r="U103">
            <v>7.97</v>
          </cell>
          <cell r="V103">
            <v>7.9700000000000006</v>
          </cell>
          <cell r="W103">
            <v>7.97</v>
          </cell>
          <cell r="X103">
            <v>7.97</v>
          </cell>
          <cell r="Y103">
            <v>0</v>
          </cell>
          <cell r="Z103">
            <v>0</v>
          </cell>
          <cell r="AA103">
            <v>0</v>
          </cell>
          <cell r="AB103">
            <v>0</v>
          </cell>
          <cell r="AC103">
            <v>0</v>
          </cell>
          <cell r="AD103">
            <v>0</v>
          </cell>
          <cell r="AE103">
            <v>0</v>
          </cell>
          <cell r="AF103">
            <v>0</v>
          </cell>
          <cell r="AG103">
            <v>0</v>
          </cell>
          <cell r="AH103">
            <v>0</v>
          </cell>
          <cell r="AI103">
            <v>9.9499999999999993</v>
          </cell>
          <cell r="AJ103">
            <v>2.4399999999999995</v>
          </cell>
          <cell r="AK103">
            <v>2.4399999999999995</v>
          </cell>
          <cell r="AL103">
            <v>2.4399999999999995</v>
          </cell>
          <cell r="AM103">
            <v>2.4399999999999995</v>
          </cell>
          <cell r="AN103">
            <v>0</v>
          </cell>
          <cell r="AO103">
            <v>0</v>
          </cell>
          <cell r="AP103">
            <v>0</v>
          </cell>
          <cell r="AQ103">
            <v>0</v>
          </cell>
          <cell r="AR103">
            <v>0</v>
          </cell>
          <cell r="AS103">
            <v>0</v>
          </cell>
        </row>
        <row r="104">
          <cell r="H104">
            <v>0</v>
          </cell>
          <cell r="I104">
            <v>0.76</v>
          </cell>
          <cell r="N104">
            <v>2.1999999999999999E-2</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row>
        <row r="105">
          <cell r="H105">
            <v>5</v>
          </cell>
          <cell r="I105">
            <v>1.101</v>
          </cell>
          <cell r="N105">
            <v>4.7E-2</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row>
        <row r="106">
          <cell r="H106">
            <v>0</v>
          </cell>
          <cell r="I106">
            <v>0</v>
          </cell>
          <cell r="N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row>
        <row r="107">
          <cell r="H107">
            <v>0</v>
          </cell>
          <cell r="I107">
            <v>0</v>
          </cell>
          <cell r="N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row>
        <row r="109">
          <cell r="H109">
            <v>0</v>
          </cell>
          <cell r="I109">
            <v>0</v>
          </cell>
          <cell r="N109">
            <v>231.06199999999998</v>
          </cell>
          <cell r="S109">
            <v>172.04000000000002</v>
          </cell>
          <cell r="T109">
            <v>40.230000000000004</v>
          </cell>
          <cell r="U109">
            <v>42.24</v>
          </cell>
          <cell r="V109">
            <v>45.370000000000005</v>
          </cell>
          <cell r="W109">
            <v>17</v>
          </cell>
          <cell r="X109">
            <v>144.84000000000003</v>
          </cell>
          <cell r="Y109">
            <v>27.58</v>
          </cell>
          <cell r="Z109">
            <v>38.119999999999997</v>
          </cell>
          <cell r="AA109">
            <v>9.85</v>
          </cell>
          <cell r="AB109">
            <v>38.520000000000003</v>
          </cell>
          <cell r="AC109">
            <v>114.07</v>
          </cell>
          <cell r="AD109">
            <v>22</v>
          </cell>
          <cell r="AE109">
            <v>51</v>
          </cell>
          <cell r="AF109">
            <v>10</v>
          </cell>
          <cell r="AG109">
            <v>38</v>
          </cell>
          <cell r="AH109">
            <v>121</v>
          </cell>
          <cell r="AI109">
            <v>0</v>
          </cell>
          <cell r="AJ109">
            <v>25</v>
          </cell>
          <cell r="AK109">
            <v>6</v>
          </cell>
          <cell r="AL109">
            <v>1</v>
          </cell>
          <cell r="AM109">
            <v>32</v>
          </cell>
          <cell r="AN109">
            <v>131.439435</v>
          </cell>
          <cell r="AO109">
            <v>121.15264034285717</v>
          </cell>
          <cell r="AP109">
            <v>106.02110452571431</v>
          </cell>
          <cell r="AQ109">
            <v>89.8389883657143</v>
          </cell>
          <cell r="AR109">
            <v>72.413168365714299</v>
          </cell>
          <cell r="AS109">
            <v>54.057848365714307</v>
          </cell>
        </row>
        <row r="110">
          <cell r="N110">
            <v>48.702999999999996</v>
          </cell>
          <cell r="S110">
            <v>36.369999999999997</v>
          </cell>
          <cell r="T110">
            <v>14</v>
          </cell>
          <cell r="U110">
            <v>1</v>
          </cell>
          <cell r="V110">
            <v>14</v>
          </cell>
          <cell r="W110">
            <v>0</v>
          </cell>
          <cell r="X110">
            <v>29</v>
          </cell>
          <cell r="Y110">
            <v>13.47</v>
          </cell>
          <cell r="Z110">
            <v>2.5</v>
          </cell>
          <cell r="AA110">
            <v>9.69</v>
          </cell>
          <cell r="AB110">
            <v>2.35</v>
          </cell>
          <cell r="AC110">
            <v>28.01</v>
          </cell>
          <cell r="AD110">
            <v>1</v>
          </cell>
          <cell r="AE110">
            <v>2</v>
          </cell>
          <cell r="AF110">
            <v>10</v>
          </cell>
          <cell r="AG110">
            <v>2</v>
          </cell>
          <cell r="AH110">
            <v>15</v>
          </cell>
          <cell r="AI110">
            <v>0</v>
          </cell>
          <cell r="AJ110">
            <v>0</v>
          </cell>
          <cell r="AK110">
            <v>0</v>
          </cell>
          <cell r="AL110">
            <v>0</v>
          </cell>
          <cell r="AM110">
            <v>0</v>
          </cell>
          <cell r="AN110">
            <v>51.864439999999995</v>
          </cell>
          <cell r="AO110">
            <v>55.02057714285715</v>
          </cell>
          <cell r="AP110">
            <v>50.237114285714291</v>
          </cell>
          <cell r="AQ110">
            <v>43.030794285714293</v>
          </cell>
          <cell r="AR110">
            <v>33.704474285714284</v>
          </cell>
          <cell r="AS110">
            <v>24.378154285714292</v>
          </cell>
        </row>
        <row r="111">
          <cell r="N111">
            <v>161.923</v>
          </cell>
          <cell r="S111">
            <v>123.87</v>
          </cell>
          <cell r="T111">
            <v>24</v>
          </cell>
          <cell r="U111">
            <v>36</v>
          </cell>
          <cell r="V111">
            <v>12.21</v>
          </cell>
          <cell r="W111">
            <v>16</v>
          </cell>
          <cell r="X111">
            <v>88.210000000000008</v>
          </cell>
          <cell r="Y111">
            <v>13.89</v>
          </cell>
          <cell r="Z111">
            <v>30.34</v>
          </cell>
          <cell r="AA111">
            <v>0</v>
          </cell>
          <cell r="AB111">
            <v>31.39</v>
          </cell>
          <cell r="AC111">
            <v>75.62</v>
          </cell>
          <cell r="AD111">
            <v>20</v>
          </cell>
          <cell r="AE111">
            <v>46</v>
          </cell>
          <cell r="AF111">
            <v>0</v>
          </cell>
          <cell r="AG111">
            <v>31</v>
          </cell>
          <cell r="AH111">
            <v>97</v>
          </cell>
          <cell r="AI111">
            <v>0</v>
          </cell>
          <cell r="AJ111">
            <v>0</v>
          </cell>
          <cell r="AK111">
            <v>0</v>
          </cell>
          <cell r="AL111">
            <v>0</v>
          </cell>
          <cell r="AM111">
            <v>0</v>
          </cell>
          <cell r="AN111">
            <v>75.343283999999997</v>
          </cell>
          <cell r="AO111">
            <v>63.525679200000006</v>
          </cell>
          <cell r="AP111">
            <v>54.294494240000013</v>
          </cell>
          <cell r="AQ111">
            <v>46.135198080000009</v>
          </cell>
          <cell r="AR111">
            <v>38.497198080000011</v>
          </cell>
          <cell r="AS111">
            <v>29.681198080000012</v>
          </cell>
        </row>
        <row r="112">
          <cell r="N112">
            <v>12.61</v>
          </cell>
          <cell r="S112">
            <v>8.27</v>
          </cell>
          <cell r="T112">
            <v>0.21</v>
          </cell>
          <cell r="U112">
            <v>1</v>
          </cell>
          <cell r="V112">
            <v>0.16</v>
          </cell>
          <cell r="W112">
            <v>1</v>
          </cell>
          <cell r="X112">
            <v>2.37</v>
          </cell>
          <cell r="Y112">
            <v>0.16</v>
          </cell>
          <cell r="Z112">
            <v>2.62</v>
          </cell>
          <cell r="AA112">
            <v>0.13</v>
          </cell>
          <cell r="AB112">
            <v>2.15</v>
          </cell>
          <cell r="AC112">
            <v>5.0599999999999996</v>
          </cell>
          <cell r="AD112">
            <v>1</v>
          </cell>
          <cell r="AE112">
            <v>2</v>
          </cell>
          <cell r="AF112">
            <v>0</v>
          </cell>
          <cell r="AG112">
            <v>2</v>
          </cell>
          <cell r="AH112">
            <v>5</v>
          </cell>
          <cell r="AI112">
            <v>0</v>
          </cell>
          <cell r="AJ112">
            <v>0</v>
          </cell>
          <cell r="AK112">
            <v>0</v>
          </cell>
          <cell r="AL112">
            <v>0</v>
          </cell>
          <cell r="AM112">
            <v>0</v>
          </cell>
          <cell r="AN112">
            <v>0.72992000000000012</v>
          </cell>
          <cell r="AO112">
            <v>0.11968000000000018</v>
          </cell>
          <cell r="AP112">
            <v>-8.3199999999998223E-3</v>
          </cell>
          <cell r="AQ112">
            <v>-8.3199999999998223E-3</v>
          </cell>
          <cell r="AR112">
            <v>-8.3199999999998223E-3</v>
          </cell>
          <cell r="AS112">
            <v>-8.3199999999998223E-3</v>
          </cell>
        </row>
        <row r="113">
          <cell r="N113">
            <v>7.8259999999999996</v>
          </cell>
          <cell r="S113">
            <v>3.5300000000000002</v>
          </cell>
          <cell r="T113">
            <v>0.02</v>
          </cell>
          <cell r="U113">
            <v>1.24</v>
          </cell>
          <cell r="V113">
            <v>0</v>
          </cell>
          <cell r="W113">
            <v>0</v>
          </cell>
          <cell r="X113">
            <v>1.26</v>
          </cell>
          <cell r="Y113">
            <v>0.06</v>
          </cell>
          <cell r="Z113">
            <v>2.66</v>
          </cell>
          <cell r="AA113">
            <v>0.03</v>
          </cell>
          <cell r="AB113">
            <v>2.63</v>
          </cell>
          <cell r="AC113">
            <v>5.38</v>
          </cell>
          <cell r="AD113">
            <v>0</v>
          </cell>
          <cell r="AE113">
            <v>1</v>
          </cell>
          <cell r="AF113">
            <v>0</v>
          </cell>
          <cell r="AG113">
            <v>3</v>
          </cell>
          <cell r="AH113">
            <v>4</v>
          </cell>
          <cell r="AI113">
            <v>0</v>
          </cell>
          <cell r="AJ113">
            <v>0</v>
          </cell>
          <cell r="AK113">
            <v>0</v>
          </cell>
          <cell r="AL113">
            <v>0</v>
          </cell>
          <cell r="AM113">
            <v>0</v>
          </cell>
          <cell r="AN113">
            <v>3.5017909999999999</v>
          </cell>
          <cell r="AO113">
            <v>2.4867040000000005</v>
          </cell>
          <cell r="AP113">
            <v>1.4978160000000005</v>
          </cell>
          <cell r="AQ113">
            <v>0.68131600000000048</v>
          </cell>
          <cell r="AR113">
            <v>0.21981600000000048</v>
          </cell>
          <cell r="AS113">
            <v>6.81600000000051E-3</v>
          </cell>
        </row>
        <row r="114">
          <cell r="N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row>
        <row r="115">
          <cell r="N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row>
        <row r="116">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row>
        <row r="117">
          <cell r="T117">
            <v>2</v>
          </cell>
          <cell r="U117">
            <v>3</v>
          </cell>
          <cell r="V117">
            <v>19</v>
          </cell>
          <cell r="W117">
            <v>0</v>
          </cell>
          <cell r="X117">
            <v>24</v>
          </cell>
          <cell r="Y117">
            <v>0</v>
          </cell>
          <cell r="Z117">
            <v>0</v>
          </cell>
          <cell r="AA117">
            <v>0</v>
          </cell>
          <cell r="AB117">
            <v>0</v>
          </cell>
          <cell r="AC117">
            <v>0</v>
          </cell>
          <cell r="AD117">
            <v>0</v>
          </cell>
          <cell r="AE117">
            <v>0</v>
          </cell>
          <cell r="AF117">
            <v>0</v>
          </cell>
          <cell r="AG117">
            <v>0</v>
          </cell>
          <cell r="AH117">
            <v>0</v>
          </cell>
          <cell r="AI117">
            <v>0</v>
          </cell>
          <cell r="AJ117">
            <v>25</v>
          </cell>
          <cell r="AK117">
            <v>6</v>
          </cell>
          <cell r="AL117">
            <v>1</v>
          </cell>
          <cell r="AM117">
            <v>32</v>
          </cell>
          <cell r="AN117">
            <v>0</v>
          </cell>
          <cell r="AO117">
            <v>0</v>
          </cell>
          <cell r="AP117">
            <v>0</v>
          </cell>
          <cell r="AQ117">
            <v>0</v>
          </cell>
          <cell r="AR117">
            <v>0</v>
          </cell>
          <cell r="AS117">
            <v>0</v>
          </cell>
        </row>
        <row r="119">
          <cell r="I119">
            <v>438.9658</v>
          </cell>
          <cell r="N119">
            <v>480.88300000000004</v>
          </cell>
          <cell r="S119">
            <v>424</v>
          </cell>
          <cell r="T119">
            <v>84.35</v>
          </cell>
          <cell r="U119">
            <v>114.07000000000001</v>
          </cell>
          <cell r="V119">
            <v>64.930000000000007</v>
          </cell>
          <cell r="W119">
            <v>120.27</v>
          </cell>
          <cell r="X119">
            <v>383.61999999999995</v>
          </cell>
          <cell r="Y119">
            <v>94.68</v>
          </cell>
          <cell r="Z119">
            <v>99.1</v>
          </cell>
          <cell r="AA119">
            <v>44.37</v>
          </cell>
          <cell r="AB119">
            <v>54.26</v>
          </cell>
          <cell r="AC119">
            <v>292.41000000000003</v>
          </cell>
          <cell r="AD119">
            <v>79</v>
          </cell>
          <cell r="AE119">
            <v>102</v>
          </cell>
          <cell r="AF119">
            <v>45</v>
          </cell>
          <cell r="AG119">
            <v>55</v>
          </cell>
          <cell r="AH119">
            <v>281</v>
          </cell>
          <cell r="AI119">
            <v>79.650000000000006</v>
          </cell>
          <cell r="AJ119">
            <v>100.85</v>
          </cell>
          <cell r="AK119">
            <v>68.319999999999993</v>
          </cell>
          <cell r="AL119">
            <v>0</v>
          </cell>
          <cell r="AM119">
            <v>248.82</v>
          </cell>
          <cell r="AN119">
            <v>259.67899999999997</v>
          </cell>
          <cell r="AO119">
            <v>200.07117142857143</v>
          </cell>
          <cell r="AP119">
            <v>194.29732000000001</v>
          </cell>
          <cell r="AQ119">
            <v>223.57900000000001</v>
          </cell>
          <cell r="AR119">
            <v>223.57900000000001</v>
          </cell>
          <cell r="AS119">
            <v>247.57900000000001</v>
          </cell>
        </row>
        <row r="120">
          <cell r="I120">
            <v>53.753200000000007</v>
          </cell>
          <cell r="N120">
            <v>68.206000000000017</v>
          </cell>
          <cell r="S120">
            <v>52</v>
          </cell>
          <cell r="T120">
            <v>24.27</v>
          </cell>
          <cell r="U120">
            <v>0</v>
          </cell>
          <cell r="V120">
            <v>24.6</v>
          </cell>
          <cell r="W120">
            <v>2</v>
          </cell>
          <cell r="X120">
            <v>50.870000000000005</v>
          </cell>
          <cell r="Y120">
            <v>20.94</v>
          </cell>
          <cell r="Z120">
            <v>18</v>
          </cell>
          <cell r="AA120">
            <v>20.94</v>
          </cell>
          <cell r="AB120">
            <v>3.56</v>
          </cell>
          <cell r="AC120">
            <v>63.44</v>
          </cell>
          <cell r="AD120">
            <v>24</v>
          </cell>
          <cell r="AE120">
            <v>4</v>
          </cell>
          <cell r="AF120">
            <v>21</v>
          </cell>
          <cell r="AG120">
            <v>4</v>
          </cell>
          <cell r="AH120">
            <v>53</v>
          </cell>
          <cell r="AI120">
            <v>24.29</v>
          </cell>
          <cell r="AJ120">
            <v>3</v>
          </cell>
          <cell r="AK120">
            <v>20.97</v>
          </cell>
          <cell r="AL120">
            <v>0</v>
          </cell>
          <cell r="AM120">
            <v>48.26</v>
          </cell>
          <cell r="AN120">
            <v>45.088999999999999</v>
          </cell>
          <cell r="AO120">
            <v>56.007571428571424</v>
          </cell>
          <cell r="AP120">
            <v>63.578999999999994</v>
          </cell>
          <cell r="AQ120">
            <v>116.57899999999999</v>
          </cell>
          <cell r="AR120">
            <v>116.57899999999999</v>
          </cell>
          <cell r="AS120">
            <v>116.57899999999999</v>
          </cell>
        </row>
        <row r="121">
          <cell r="I121">
            <v>299.42920000000004</v>
          </cell>
          <cell r="N121">
            <v>335.27199999999999</v>
          </cell>
          <cell r="S121">
            <v>312</v>
          </cell>
          <cell r="T121">
            <v>58.64</v>
          </cell>
          <cell r="U121">
            <v>96.12</v>
          </cell>
          <cell r="V121">
            <v>33.81</v>
          </cell>
          <cell r="W121">
            <v>98.27</v>
          </cell>
          <cell r="X121">
            <v>286.83999999999997</v>
          </cell>
          <cell r="Y121">
            <v>72.150000000000006</v>
          </cell>
          <cell r="Z121">
            <v>63.54</v>
          </cell>
          <cell r="AA121">
            <v>22.16</v>
          </cell>
          <cell r="AB121">
            <v>33.56</v>
          </cell>
          <cell r="AC121">
            <v>191.41</v>
          </cell>
          <cell r="AD121">
            <v>51</v>
          </cell>
          <cell r="AE121">
            <v>83</v>
          </cell>
          <cell r="AF121">
            <v>22</v>
          </cell>
          <cell r="AG121">
            <v>34</v>
          </cell>
          <cell r="AH121">
            <v>190</v>
          </cell>
          <cell r="AI121">
            <v>50.92</v>
          </cell>
          <cell r="AJ121">
            <v>83</v>
          </cell>
          <cell r="AK121">
            <v>44.35</v>
          </cell>
          <cell r="AL121">
            <v>0</v>
          </cell>
          <cell r="AM121">
            <v>178.27</v>
          </cell>
          <cell r="AN121">
            <v>185.78199999999998</v>
          </cell>
          <cell r="AO121">
            <v>125.20760000000001</v>
          </cell>
          <cell r="AP121">
            <v>117.71832000000001</v>
          </cell>
          <cell r="AQ121">
            <v>97</v>
          </cell>
          <cell r="AR121">
            <v>104</v>
          </cell>
          <cell r="AS121">
            <v>128</v>
          </cell>
        </row>
        <row r="122">
          <cell r="I122">
            <v>61.383400000000002</v>
          </cell>
          <cell r="N122">
            <v>49.953000000000003</v>
          </cell>
          <cell r="S122">
            <v>37</v>
          </cell>
          <cell r="T122">
            <v>1</v>
          </cell>
          <cell r="U122">
            <v>15</v>
          </cell>
          <cell r="V122">
            <v>6.52</v>
          </cell>
          <cell r="W122">
            <v>17</v>
          </cell>
          <cell r="X122">
            <v>39.519999999999996</v>
          </cell>
          <cell r="Y122">
            <v>0.52</v>
          </cell>
          <cell r="Z122">
            <v>14.47</v>
          </cell>
          <cell r="AA122">
            <v>0.52</v>
          </cell>
          <cell r="AB122">
            <v>14.47</v>
          </cell>
          <cell r="AC122">
            <v>29.98</v>
          </cell>
          <cell r="AD122">
            <v>4</v>
          </cell>
          <cell r="AE122">
            <v>12</v>
          </cell>
          <cell r="AF122">
            <v>1</v>
          </cell>
          <cell r="AG122">
            <v>14</v>
          </cell>
          <cell r="AH122">
            <v>31</v>
          </cell>
          <cell r="AI122">
            <v>4.4400000000000004</v>
          </cell>
          <cell r="AJ122">
            <v>12</v>
          </cell>
          <cell r="AK122">
            <v>3</v>
          </cell>
          <cell r="AL122">
            <v>0</v>
          </cell>
          <cell r="AM122">
            <v>19.440000000000001</v>
          </cell>
          <cell r="AN122">
            <v>15.069999999999999</v>
          </cell>
          <cell r="AO122">
            <v>4</v>
          </cell>
          <cell r="AP122">
            <v>0</v>
          </cell>
          <cell r="AQ122">
            <v>0</v>
          </cell>
          <cell r="AR122">
            <v>0</v>
          </cell>
          <cell r="AS122">
            <v>0</v>
          </cell>
        </row>
        <row r="123">
          <cell r="I123">
            <v>24.399999999999977</v>
          </cell>
          <cell r="N123">
            <v>27.451999999999998</v>
          </cell>
          <cell r="S123">
            <v>23</v>
          </cell>
          <cell r="T123">
            <v>0.44</v>
          </cell>
          <cell r="U123">
            <v>2.95</v>
          </cell>
          <cell r="V123">
            <v>0</v>
          </cell>
          <cell r="W123">
            <v>3</v>
          </cell>
          <cell r="X123">
            <v>6.3900000000000006</v>
          </cell>
          <cell r="Y123">
            <v>1.07</v>
          </cell>
          <cell r="Z123">
            <v>3.09</v>
          </cell>
          <cell r="AA123">
            <v>0.75</v>
          </cell>
          <cell r="AB123">
            <v>2.67</v>
          </cell>
          <cell r="AC123">
            <v>7.58</v>
          </cell>
          <cell r="AD123">
            <v>0</v>
          </cell>
          <cell r="AE123">
            <v>3</v>
          </cell>
          <cell r="AF123">
            <v>1</v>
          </cell>
          <cell r="AG123">
            <v>3</v>
          </cell>
          <cell r="AH123">
            <v>7</v>
          </cell>
          <cell r="AI123">
            <v>0</v>
          </cell>
          <cell r="AJ123">
            <v>2.85</v>
          </cell>
          <cell r="AK123">
            <v>0</v>
          </cell>
          <cell r="AL123">
            <v>0</v>
          </cell>
          <cell r="AM123">
            <v>2.85</v>
          </cell>
          <cell r="AN123">
            <v>13.738</v>
          </cell>
          <cell r="AO123">
            <v>14.855999999999998</v>
          </cell>
          <cell r="AP123">
            <v>13</v>
          </cell>
          <cell r="AQ123">
            <v>10</v>
          </cell>
          <cell r="AR123">
            <v>3</v>
          </cell>
          <cell r="AS123">
            <v>3</v>
          </cell>
        </row>
        <row r="124">
          <cell r="I124">
            <v>0</v>
          </cell>
          <cell r="N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row>
        <row r="125">
          <cell r="I125">
            <v>0</v>
          </cell>
          <cell r="N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row>
        <row r="127">
          <cell r="I127">
            <v>148.72499999999999</v>
          </cell>
          <cell r="N127">
            <v>178.09999999999997</v>
          </cell>
          <cell r="S127">
            <v>125.06999999999998</v>
          </cell>
          <cell r="T127">
            <v>11.64</v>
          </cell>
          <cell r="U127">
            <v>9.9700000000000006</v>
          </cell>
          <cell r="V127">
            <v>38.119999999999997</v>
          </cell>
          <cell r="W127">
            <v>30</v>
          </cell>
          <cell r="X127">
            <v>89.73</v>
          </cell>
          <cell r="Y127">
            <v>45</v>
          </cell>
          <cell r="Z127">
            <v>55</v>
          </cell>
          <cell r="AA127">
            <v>55</v>
          </cell>
          <cell r="AB127">
            <v>61</v>
          </cell>
          <cell r="AC127">
            <v>216</v>
          </cell>
          <cell r="AD127">
            <v>8</v>
          </cell>
          <cell r="AE127">
            <v>32</v>
          </cell>
          <cell r="AF127">
            <v>8</v>
          </cell>
          <cell r="AG127">
            <v>8</v>
          </cell>
          <cell r="AH127">
            <v>56</v>
          </cell>
          <cell r="AI127">
            <v>7.64</v>
          </cell>
          <cell r="AJ127">
            <v>32.659999999999997</v>
          </cell>
          <cell r="AK127">
            <v>58.14</v>
          </cell>
          <cell r="AL127">
            <v>0.14000000000000001</v>
          </cell>
          <cell r="AM127">
            <v>98.58</v>
          </cell>
          <cell r="AN127">
            <v>180</v>
          </cell>
          <cell r="AO127">
            <v>0</v>
          </cell>
          <cell r="AP127">
            <v>0</v>
          </cell>
          <cell r="AQ127">
            <v>0</v>
          </cell>
          <cell r="AR127">
            <v>0</v>
          </cell>
          <cell r="AS127">
            <v>0</v>
          </cell>
        </row>
        <row r="128">
          <cell r="I128">
            <v>14.730999999999995</v>
          </cell>
          <cell r="N128">
            <v>5.21</v>
          </cell>
          <cell r="S128">
            <v>59.699999999999996</v>
          </cell>
          <cell r="T128">
            <v>6.05</v>
          </cell>
          <cell r="U128">
            <v>3.31</v>
          </cell>
          <cell r="V128">
            <v>37.07</v>
          </cell>
          <cell r="W128">
            <v>30</v>
          </cell>
          <cell r="X128">
            <v>76.430000000000007</v>
          </cell>
          <cell r="Y128">
            <v>0</v>
          </cell>
          <cell r="Z128">
            <v>0</v>
          </cell>
          <cell r="AA128">
            <v>0</v>
          </cell>
          <cell r="AB128">
            <v>0</v>
          </cell>
          <cell r="AC128">
            <v>0</v>
          </cell>
          <cell r="AD128">
            <v>8</v>
          </cell>
          <cell r="AE128">
            <v>29</v>
          </cell>
          <cell r="AF128">
            <v>8</v>
          </cell>
          <cell r="AG128">
            <v>8</v>
          </cell>
          <cell r="AH128">
            <v>53</v>
          </cell>
          <cell r="AI128">
            <v>7.5</v>
          </cell>
          <cell r="AJ128">
            <v>30</v>
          </cell>
          <cell r="AK128">
            <v>58</v>
          </cell>
          <cell r="AL128">
            <v>0</v>
          </cell>
          <cell r="AM128">
            <v>95.5</v>
          </cell>
          <cell r="AN128">
            <v>180</v>
          </cell>
          <cell r="AO128">
            <v>0</v>
          </cell>
          <cell r="AP128">
            <v>0</v>
          </cell>
          <cell r="AQ128">
            <v>0</v>
          </cell>
          <cell r="AR128">
            <v>0</v>
          </cell>
          <cell r="AS128">
            <v>0</v>
          </cell>
        </row>
        <row r="129">
          <cell r="I129">
            <v>79.481000000000009</v>
          </cell>
          <cell r="N129">
            <v>153.90999999999997</v>
          </cell>
          <cell r="S129">
            <v>48.809999999999995</v>
          </cell>
          <cell r="T129">
            <v>5.59</v>
          </cell>
          <cell r="U129">
            <v>4</v>
          </cell>
          <cell r="V129">
            <v>1.05</v>
          </cell>
          <cell r="W129">
            <v>0</v>
          </cell>
          <cell r="X129">
            <v>10.64</v>
          </cell>
          <cell r="Y129">
            <v>45</v>
          </cell>
          <cell r="Z129">
            <v>55</v>
          </cell>
          <cell r="AA129">
            <v>55</v>
          </cell>
          <cell r="AB129">
            <v>61</v>
          </cell>
          <cell r="AC129">
            <v>216</v>
          </cell>
          <cell r="AD129">
            <v>0</v>
          </cell>
          <cell r="AE129">
            <v>0</v>
          </cell>
          <cell r="AF129">
            <v>0</v>
          </cell>
          <cell r="AG129">
            <v>0</v>
          </cell>
          <cell r="AH129">
            <v>0</v>
          </cell>
          <cell r="AI129">
            <v>0.14000000000000001</v>
          </cell>
          <cell r="AJ129">
            <v>7.0000000000000007E-2</v>
          </cell>
          <cell r="AK129">
            <v>0.14000000000000001</v>
          </cell>
          <cell r="AL129">
            <v>0.14000000000000001</v>
          </cell>
          <cell r="AM129">
            <v>0.49</v>
          </cell>
          <cell r="AN129">
            <v>0</v>
          </cell>
          <cell r="AO129">
            <v>0</v>
          </cell>
          <cell r="AP129">
            <v>0</v>
          </cell>
          <cell r="AQ129">
            <v>0</v>
          </cell>
          <cell r="AR129">
            <v>0</v>
          </cell>
          <cell r="AS129">
            <v>0</v>
          </cell>
        </row>
        <row r="130">
          <cell r="I130">
            <v>47.835000000000001</v>
          </cell>
          <cell r="N130">
            <v>1.1299999999999999</v>
          </cell>
          <cell r="S130">
            <v>13.07</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row>
        <row r="131">
          <cell r="I131">
            <v>6.6779999999999973</v>
          </cell>
          <cell r="N131">
            <v>17.850000000000001</v>
          </cell>
          <cell r="S131">
            <v>3.4899999999999998</v>
          </cell>
          <cell r="T131">
            <v>0</v>
          </cell>
          <cell r="U131">
            <v>2.66</v>
          </cell>
          <cell r="V131">
            <v>0</v>
          </cell>
          <cell r="W131">
            <v>0</v>
          </cell>
          <cell r="X131">
            <v>2.66</v>
          </cell>
          <cell r="Y131">
            <v>0</v>
          </cell>
          <cell r="Z131">
            <v>0</v>
          </cell>
          <cell r="AA131">
            <v>0</v>
          </cell>
          <cell r="AB131">
            <v>0</v>
          </cell>
          <cell r="AC131">
            <v>0</v>
          </cell>
          <cell r="AD131">
            <v>0</v>
          </cell>
          <cell r="AE131">
            <v>3</v>
          </cell>
          <cell r="AF131">
            <v>0</v>
          </cell>
          <cell r="AG131">
            <v>0</v>
          </cell>
          <cell r="AH131">
            <v>3</v>
          </cell>
          <cell r="AI131">
            <v>0</v>
          </cell>
          <cell r="AJ131">
            <v>2.59</v>
          </cell>
          <cell r="AK131">
            <v>0</v>
          </cell>
          <cell r="AL131">
            <v>0</v>
          </cell>
          <cell r="AM131">
            <v>2.59</v>
          </cell>
          <cell r="AN131">
            <v>0</v>
          </cell>
          <cell r="AO131">
            <v>0</v>
          </cell>
          <cell r="AP131">
            <v>0</v>
          </cell>
          <cell r="AQ131">
            <v>0</v>
          </cell>
          <cell r="AR131">
            <v>0</v>
          </cell>
          <cell r="AS131">
            <v>0</v>
          </cell>
        </row>
        <row r="132">
          <cell r="I132">
            <v>0</v>
          </cell>
          <cell r="N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N132">
            <v>0</v>
          </cell>
          <cell r="AO132">
            <v>0</v>
          </cell>
          <cell r="AP132">
            <v>0</v>
          </cell>
          <cell r="AQ132">
            <v>0</v>
          </cell>
          <cell r="AR132">
            <v>0</v>
          </cell>
          <cell r="AS132">
            <v>0</v>
          </cell>
        </row>
        <row r="133">
          <cell r="I133">
            <v>0</v>
          </cell>
          <cell r="N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N133">
            <v>0</v>
          </cell>
          <cell r="AO133">
            <v>0</v>
          </cell>
          <cell r="AP133">
            <v>0</v>
          </cell>
          <cell r="AQ133">
            <v>0</v>
          </cell>
          <cell r="AR133">
            <v>0</v>
          </cell>
          <cell r="AS133">
            <v>0</v>
          </cell>
        </row>
        <row r="135">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row>
        <row r="137">
          <cell r="I137">
            <v>-225.58980000000003</v>
          </cell>
          <cell r="N137">
            <v>-208.88226000000003</v>
          </cell>
          <cell r="S137">
            <v>-625.29174000000012</v>
          </cell>
          <cell r="T137">
            <v>-67.150000000000006</v>
          </cell>
          <cell r="U137">
            <v>-77.040000000000006</v>
          </cell>
          <cell r="V137">
            <v>-26.810000000000002</v>
          </cell>
          <cell r="W137">
            <v>-90.36</v>
          </cell>
          <cell r="X137">
            <v>-261.3599999999999</v>
          </cell>
          <cell r="Y137">
            <v>-111.84</v>
          </cell>
          <cell r="Z137">
            <v>-44.1</v>
          </cell>
          <cell r="AA137">
            <v>10.63</v>
          </cell>
          <cell r="AB137">
            <v>6.74</v>
          </cell>
          <cell r="AC137">
            <v>-138.57</v>
          </cell>
          <cell r="AD137">
            <v>-132.46</v>
          </cell>
          <cell r="AE137">
            <v>-70</v>
          </cell>
          <cell r="AF137">
            <v>-37</v>
          </cell>
          <cell r="AG137">
            <v>-47</v>
          </cell>
          <cell r="AH137">
            <v>-286.45999999999998</v>
          </cell>
          <cell r="AI137">
            <v>-9.9399999999999977</v>
          </cell>
          <cell r="AJ137">
            <v>-41.949999999999996</v>
          </cell>
          <cell r="AK137">
            <v>19.02000000000001</v>
          </cell>
          <cell r="AL137">
            <v>29.340000000000003</v>
          </cell>
          <cell r="AM137">
            <v>-121.04</v>
          </cell>
          <cell r="AN137">
            <v>-103.22899999999997</v>
          </cell>
          <cell r="AO137">
            <v>-205.72117142857144</v>
          </cell>
          <cell r="AP137">
            <v>-194.29732000000001</v>
          </cell>
          <cell r="AQ137">
            <v>-223.57900000000001</v>
          </cell>
          <cell r="AR137">
            <v>-223.57900000000001</v>
          </cell>
          <cell r="AS137">
            <v>-247.57900000000001</v>
          </cell>
        </row>
        <row r="138">
          <cell r="I138">
            <v>-3.866882220172911E-3</v>
          </cell>
          <cell r="N138">
            <v>-2.7061446476801128E-3</v>
          </cell>
          <cell r="S138">
            <v>-8.8640144035349398E-3</v>
          </cell>
          <cell r="T138">
            <v>-3.5166775108944059E-3</v>
          </cell>
          <cell r="U138">
            <v>-3.6081134480092638E-3</v>
          </cell>
          <cell r="V138">
            <v>-1.1569798428258697E-3</v>
          </cell>
          <cell r="W138">
            <v>-3.6645727538239729E-3</v>
          </cell>
          <cell r="X138">
            <v>-2.9554207997778384E-3</v>
          </cell>
          <cell r="Y138">
            <v>-4.9621069692058354E-3</v>
          </cell>
          <cell r="Z138">
            <v>-1.9193618889647764E-3</v>
          </cell>
          <cell r="AA138">
            <v>4.3856133751771302E-4</v>
          </cell>
          <cell r="AB138">
            <v>2.6429327360347503E-4</v>
          </cell>
          <cell r="AC138">
            <v>-1.4517380114411598E-3</v>
          </cell>
          <cell r="AD138">
            <v>-5.9594950816378141E-3</v>
          </cell>
          <cell r="AE138">
            <v>-3.0512783307902638E-3</v>
          </cell>
          <cell r="AF138">
            <v>-1.6401252438855989E-3</v>
          </cell>
          <cell r="AG138">
            <v>-1.9741218274812312E-3</v>
          </cell>
          <cell r="AH138">
            <v>-3.0149047857005577E-3</v>
          </cell>
          <cell r="AM138">
            <v>-1.2739093599846245E-3</v>
          </cell>
          <cell r="AN138">
            <v>-1.0658635314306063E-3</v>
          </cell>
          <cell r="AO138">
            <v>-2.0514793139349511E-3</v>
          </cell>
          <cell r="AP138">
            <v>-1.8097941986027098E-3</v>
          </cell>
          <cell r="AQ138">
            <v>-2.0031075756508881E-3</v>
          </cell>
          <cell r="AR138">
            <v>-1.9281658456726061E-3</v>
          </cell>
          <cell r="AS138">
            <v>-2.0549535736436937E-3</v>
          </cell>
        </row>
        <row r="140">
          <cell r="AN140">
            <v>3.1779999999999999</v>
          </cell>
          <cell r="AO140">
            <v>15.640171428571428</v>
          </cell>
          <cell r="AP140">
            <v>23.722319999999996</v>
          </cell>
          <cell r="AQ140">
            <v>77.335183999999998</v>
          </cell>
          <cell r="AR140">
            <v>78.0706208</v>
          </cell>
          <cell r="AS140">
            <v>78.953144960000003</v>
          </cell>
        </row>
        <row r="141">
          <cell r="AN141">
            <v>0</v>
          </cell>
          <cell r="AO141">
            <v>10.918571428571429</v>
          </cell>
          <cell r="AP141">
            <v>18.489999999999998</v>
          </cell>
          <cell r="AQ141">
            <v>71.489999999999995</v>
          </cell>
          <cell r="AR141">
            <v>71.489999999999995</v>
          </cell>
          <cell r="AS141">
            <v>71.489999999999995</v>
          </cell>
        </row>
        <row r="142">
          <cell r="AN142">
            <v>2.1280000000000001</v>
          </cell>
          <cell r="AO142">
            <v>2.5536000000000003</v>
          </cell>
          <cell r="AP142">
            <v>3.0643200000000004</v>
          </cell>
          <cell r="AQ142">
            <v>3.6771840000000005</v>
          </cell>
          <cell r="AR142">
            <v>4.4126208000000009</v>
          </cell>
          <cell r="AS142">
            <v>5.2951449600000009</v>
          </cell>
        </row>
        <row r="143">
          <cell r="AN143">
            <v>0</v>
          </cell>
          <cell r="AO143">
            <v>0</v>
          </cell>
          <cell r="AP143">
            <v>0</v>
          </cell>
          <cell r="AQ143">
            <v>0</v>
          </cell>
          <cell r="AR143">
            <v>0</v>
          </cell>
          <cell r="AS143">
            <v>0</v>
          </cell>
        </row>
        <row r="144">
          <cell r="AN144">
            <v>1.05</v>
          </cell>
          <cell r="AO144">
            <v>2.1680000000000001</v>
          </cell>
          <cell r="AP144">
            <v>2.1680000000000001</v>
          </cell>
          <cell r="AQ144">
            <v>2.1680000000000001</v>
          </cell>
          <cell r="AR144">
            <v>2.1680000000000001</v>
          </cell>
          <cell r="AS144">
            <v>2.1680000000000001</v>
          </cell>
        </row>
        <row r="145">
          <cell r="AN145">
            <v>0</v>
          </cell>
          <cell r="AO145">
            <v>0</v>
          </cell>
          <cell r="AP145">
            <v>0</v>
          </cell>
          <cell r="AQ145">
            <v>0</v>
          </cell>
          <cell r="AR145">
            <v>0</v>
          </cell>
          <cell r="AS145">
            <v>0</v>
          </cell>
        </row>
        <row r="149">
          <cell r="I149">
            <v>-900.8</v>
          </cell>
          <cell r="N149">
            <v>447</v>
          </cell>
          <cell r="S149">
            <v>-944.58000000000015</v>
          </cell>
          <cell r="T149">
            <v>79</v>
          </cell>
          <cell r="U149">
            <v>154.30000000000001</v>
          </cell>
          <cell r="V149">
            <v>-461</v>
          </cell>
          <cell r="W149">
            <v>1629</v>
          </cell>
          <cell r="X149">
            <v>1401.3</v>
          </cell>
          <cell r="Y149">
            <v>158.16</v>
          </cell>
          <cell r="Z149">
            <v>531.53</v>
          </cell>
          <cell r="AA149">
            <v>432.54</v>
          </cell>
          <cell r="AB149">
            <v>1250.0999999999999</v>
          </cell>
          <cell r="AC149">
            <v>2372.33</v>
          </cell>
          <cell r="AD149">
            <v>279</v>
          </cell>
          <cell r="AE149">
            <v>1522</v>
          </cell>
          <cell r="AF149">
            <v>-51</v>
          </cell>
          <cell r="AG149">
            <v>1772</v>
          </cell>
          <cell r="AH149">
            <v>3522</v>
          </cell>
          <cell r="AM149">
            <v>4113.3</v>
          </cell>
          <cell r="AN149">
            <v>4105.32</v>
          </cell>
          <cell r="AO149">
            <v>4920.4901488833748</v>
          </cell>
          <cell r="AP149">
            <v>4427.5223880597014</v>
          </cell>
          <cell r="AQ149">
            <v>1492</v>
          </cell>
          <cell r="AR149">
            <v>1149</v>
          </cell>
          <cell r="AS149">
            <v>2103</v>
          </cell>
        </row>
        <row r="150">
          <cell r="I150">
            <v>-1.5440802305475503E-2</v>
          </cell>
          <cell r="N150">
            <v>5.7910454315891176E-3</v>
          </cell>
          <cell r="S150">
            <v>-1.33901828373601E-2</v>
          </cell>
          <cell r="T150">
            <v>1.7229886836697836E-2</v>
          </cell>
          <cell r="U150">
            <v>7.2265304390943591E-3</v>
          </cell>
          <cell r="V150">
            <v>-1.851340367669892E-2</v>
          </cell>
          <cell r="W150">
            <v>6.7362276937822263E-2</v>
          </cell>
          <cell r="X150">
            <v>1.5845696230213827E-2</v>
          </cell>
          <cell r="Y150">
            <v>7.017228525121556E-3</v>
          </cell>
          <cell r="Z150">
            <v>3.453676280612742E-2</v>
          </cell>
          <cell r="AA150">
            <v>1.7845279485410318E-2</v>
          </cell>
          <cell r="AB150">
            <v>4.9019736102626763E-2</v>
          </cell>
          <cell r="AC150">
            <v>2.759873706920539E-2</v>
          </cell>
          <cell r="AD150">
            <v>1.4352098226200078E-2</v>
          </cell>
          <cell r="AE150">
            <v>6.6343508849468297E-2</v>
          </cell>
          <cell r="AF150">
            <v>-2.2607131740044742E-3</v>
          </cell>
          <cell r="AG150">
            <v>7.4428593155249828E-2</v>
          </cell>
          <cell r="AH150">
            <v>3.7488971747069007E-2</v>
          </cell>
          <cell r="AM150">
            <v>4.329123736305978E-2</v>
          </cell>
          <cell r="AN150">
            <v>4.2388387690016349E-2</v>
          </cell>
          <cell r="AO150">
            <v>4.9067792511378897E-2</v>
          </cell>
          <cell r="AP150">
            <v>4.0225139309416964E-2</v>
          </cell>
          <cell r="AQ150">
            <v>1.2381729364338902E-2</v>
          </cell>
          <cell r="AR150">
            <v>8.9518074050253613E-3</v>
          </cell>
          <cell r="AS150">
            <v>1.6533985187347222E-2</v>
          </cell>
        </row>
        <row r="151">
          <cell r="I151">
            <v>-900.8</v>
          </cell>
          <cell r="N151">
            <v>447</v>
          </cell>
          <cell r="S151">
            <v>-944.58000000000015</v>
          </cell>
          <cell r="T151">
            <v>329</v>
          </cell>
          <cell r="U151">
            <v>154.30000000000001</v>
          </cell>
          <cell r="V151">
            <v>-429</v>
          </cell>
          <cell r="W151">
            <v>1661</v>
          </cell>
          <cell r="X151">
            <v>1401.3</v>
          </cell>
          <cell r="Y151">
            <v>158.16</v>
          </cell>
          <cell r="Z151">
            <v>793.53</v>
          </cell>
          <cell r="AA151">
            <v>432.54</v>
          </cell>
          <cell r="AB151">
            <v>1250.0999999999999</v>
          </cell>
          <cell r="AC151">
            <v>2634.33</v>
          </cell>
          <cell r="AD151">
            <v>319</v>
          </cell>
          <cell r="AE151">
            <v>1522</v>
          </cell>
          <cell r="AF151">
            <v>-51</v>
          </cell>
          <cell r="AG151">
            <v>1772</v>
          </cell>
          <cell r="AH151">
            <v>3562</v>
          </cell>
          <cell r="AM151">
            <v>4113.3</v>
          </cell>
          <cell r="AN151">
            <v>4105.32</v>
          </cell>
          <cell r="AO151">
            <v>4920.4901488833748</v>
          </cell>
          <cell r="AP151">
            <v>4318.5223880597014</v>
          </cell>
          <cell r="AQ151">
            <v>1382</v>
          </cell>
          <cell r="AR151">
            <v>1038</v>
          </cell>
          <cell r="AS151">
            <v>1992</v>
          </cell>
        </row>
        <row r="153">
          <cell r="I153">
            <v>-128</v>
          </cell>
          <cell r="N153">
            <v>-254</v>
          </cell>
          <cell r="S153">
            <v>-537</v>
          </cell>
          <cell r="T153">
            <v>-596</v>
          </cell>
          <cell r="U153">
            <v>67</v>
          </cell>
          <cell r="V153">
            <v>-66</v>
          </cell>
          <cell r="W153">
            <v>-59</v>
          </cell>
          <cell r="X153">
            <v>-654</v>
          </cell>
          <cell r="Y153">
            <v>92</v>
          </cell>
          <cell r="Z153">
            <v>708</v>
          </cell>
          <cell r="AA153">
            <v>0</v>
          </cell>
          <cell r="AB153">
            <v>301.12</v>
          </cell>
          <cell r="AC153">
            <v>1101.1199999999999</v>
          </cell>
          <cell r="AD153">
            <v>158</v>
          </cell>
          <cell r="AE153">
            <v>1437</v>
          </cell>
          <cell r="AF153">
            <v>-304</v>
          </cell>
          <cell r="AG153">
            <v>592</v>
          </cell>
          <cell r="AH153">
            <v>1883</v>
          </cell>
          <cell r="AI153">
            <v>158</v>
          </cell>
          <cell r="AJ153">
            <v>1437</v>
          </cell>
          <cell r="AK153">
            <v>-304</v>
          </cell>
          <cell r="AL153">
            <v>592</v>
          </cell>
          <cell r="AM153">
            <v>1883</v>
          </cell>
          <cell r="AN153">
            <v>1830.1799999999998</v>
          </cell>
          <cell r="AO153">
            <v>2529</v>
          </cell>
          <cell r="AP153">
            <v>2019</v>
          </cell>
          <cell r="AQ153">
            <v>1848</v>
          </cell>
          <cell r="AR153">
            <v>1476</v>
          </cell>
          <cell r="AS153">
            <v>2430</v>
          </cell>
        </row>
        <row r="154">
          <cell r="I154">
            <v>585</v>
          </cell>
          <cell r="N154">
            <v>616</v>
          </cell>
          <cell r="S154">
            <v>240</v>
          </cell>
          <cell r="T154">
            <v>47</v>
          </cell>
          <cell r="U154">
            <v>87</v>
          </cell>
          <cell r="V154">
            <v>84</v>
          </cell>
          <cell r="W154">
            <v>1</v>
          </cell>
          <cell r="X154">
            <v>219</v>
          </cell>
          <cell r="Y154">
            <v>550</v>
          </cell>
          <cell r="Z154">
            <v>1500</v>
          </cell>
          <cell r="AA154">
            <v>0</v>
          </cell>
          <cell r="AB154">
            <v>301.12</v>
          </cell>
          <cell r="AC154">
            <v>2351.12</v>
          </cell>
          <cell r="AD154">
            <v>550</v>
          </cell>
          <cell r="AE154">
            <v>1800</v>
          </cell>
          <cell r="AF154">
            <v>0</v>
          </cell>
          <cell r="AG154">
            <v>788</v>
          </cell>
          <cell r="AH154">
            <v>3138</v>
          </cell>
          <cell r="AI154">
            <v>550</v>
          </cell>
          <cell r="AJ154">
            <v>1800</v>
          </cell>
          <cell r="AK154">
            <v>0</v>
          </cell>
          <cell r="AL154">
            <v>788</v>
          </cell>
          <cell r="AM154">
            <v>3138</v>
          </cell>
          <cell r="AN154">
            <v>2785.18</v>
          </cell>
          <cell r="AO154">
            <v>3795</v>
          </cell>
          <cell r="AP154">
            <v>3720</v>
          </cell>
          <cell r="AQ154">
            <v>3748</v>
          </cell>
          <cell r="AR154">
            <v>2828</v>
          </cell>
          <cell r="AS154">
            <v>4578</v>
          </cell>
        </row>
        <row r="155">
          <cell r="I155">
            <v>713</v>
          </cell>
          <cell r="N155">
            <v>870</v>
          </cell>
          <cell r="S155">
            <v>777</v>
          </cell>
          <cell r="T155">
            <v>643</v>
          </cell>
          <cell r="U155">
            <v>20</v>
          </cell>
          <cell r="V155">
            <v>150</v>
          </cell>
          <cell r="W155">
            <v>60</v>
          </cell>
          <cell r="X155">
            <v>873</v>
          </cell>
          <cell r="Y155">
            <v>458</v>
          </cell>
          <cell r="Z155">
            <v>792</v>
          </cell>
          <cell r="AA155">
            <v>0</v>
          </cell>
          <cell r="AB155">
            <v>0</v>
          </cell>
          <cell r="AC155">
            <v>1250</v>
          </cell>
          <cell r="AD155">
            <v>392</v>
          </cell>
          <cell r="AE155">
            <v>363</v>
          </cell>
          <cell r="AF155">
            <v>304</v>
          </cell>
          <cell r="AG155">
            <v>196</v>
          </cell>
          <cell r="AH155">
            <v>1255</v>
          </cell>
          <cell r="AI155">
            <v>392</v>
          </cell>
          <cell r="AJ155">
            <v>363</v>
          </cell>
          <cell r="AK155">
            <v>304</v>
          </cell>
          <cell r="AL155">
            <v>196</v>
          </cell>
          <cell r="AM155">
            <v>1255</v>
          </cell>
          <cell r="AN155">
            <v>955</v>
          </cell>
          <cell r="AO155">
            <v>1266</v>
          </cell>
          <cell r="AP155">
            <v>1701</v>
          </cell>
          <cell r="AQ155">
            <v>1900</v>
          </cell>
          <cell r="AR155">
            <v>1352</v>
          </cell>
          <cell r="AS155">
            <v>2148</v>
          </cell>
        </row>
        <row r="156">
          <cell r="I156">
            <v>-416.8</v>
          </cell>
          <cell r="N156">
            <v>-193</v>
          </cell>
          <cell r="S156">
            <v>-131</v>
          </cell>
          <cell r="T156">
            <v>-260</v>
          </cell>
          <cell r="U156">
            <v>-71</v>
          </cell>
          <cell r="V156">
            <v>-136</v>
          </cell>
          <cell r="W156">
            <v>-72</v>
          </cell>
          <cell r="X156">
            <v>-539</v>
          </cell>
          <cell r="Y156">
            <v>-14.5</v>
          </cell>
          <cell r="Z156">
            <v>-276.5</v>
          </cell>
          <cell r="AA156">
            <v>-14.5</v>
          </cell>
          <cell r="AB156">
            <v>-14.5</v>
          </cell>
          <cell r="AC156">
            <v>-320</v>
          </cell>
          <cell r="AD156">
            <v>-62</v>
          </cell>
          <cell r="AE156">
            <v>-138</v>
          </cell>
          <cell r="AF156">
            <v>-115</v>
          </cell>
          <cell r="AG156">
            <v>-32</v>
          </cell>
          <cell r="AH156">
            <v>-347</v>
          </cell>
          <cell r="AI156">
            <v>-260</v>
          </cell>
          <cell r="AJ156">
            <v>-71</v>
          </cell>
          <cell r="AK156">
            <v>-136</v>
          </cell>
          <cell r="AL156">
            <v>-72</v>
          </cell>
          <cell r="AM156">
            <v>-539</v>
          </cell>
          <cell r="AN156">
            <v>-100</v>
          </cell>
          <cell r="AO156">
            <v>-102.85359801488836</v>
          </cell>
          <cell r="AP156">
            <v>0</v>
          </cell>
          <cell r="AQ156">
            <v>0</v>
          </cell>
          <cell r="AR156">
            <v>0</v>
          </cell>
          <cell r="AS156">
            <v>0</v>
          </cell>
        </row>
        <row r="157">
          <cell r="I157">
            <v>-371</v>
          </cell>
          <cell r="N157">
            <v>3</v>
          </cell>
          <cell r="S157">
            <v>-473</v>
          </cell>
          <cell r="T157">
            <v>391</v>
          </cell>
          <cell r="U157">
            <v>93.2</v>
          </cell>
          <cell r="V157">
            <v>-182</v>
          </cell>
          <cell r="W157">
            <v>394</v>
          </cell>
          <cell r="X157">
            <v>696.2</v>
          </cell>
          <cell r="Y157">
            <v>302.39</v>
          </cell>
          <cell r="Z157">
            <v>-201.01</v>
          </cell>
          <cell r="AA157">
            <v>193.38</v>
          </cell>
          <cell r="AB157">
            <v>105.23</v>
          </cell>
          <cell r="AC157">
            <v>399.99</v>
          </cell>
          <cell r="AD157">
            <v>453</v>
          </cell>
          <cell r="AE157">
            <v>-126</v>
          </cell>
          <cell r="AF157">
            <v>155</v>
          </cell>
          <cell r="AG157">
            <v>586</v>
          </cell>
          <cell r="AH157">
            <v>1068</v>
          </cell>
          <cell r="AI157">
            <v>391</v>
          </cell>
          <cell r="AJ157">
            <v>93.2</v>
          </cell>
          <cell r="AK157">
            <v>-182</v>
          </cell>
          <cell r="AL157">
            <v>394</v>
          </cell>
          <cell r="AM157">
            <v>696.2</v>
          </cell>
          <cell r="AN157">
            <v>387.57</v>
          </cell>
          <cell r="AO157">
            <v>398.62968982630281</v>
          </cell>
          <cell r="AP157">
            <v>-206</v>
          </cell>
          <cell r="AQ157">
            <v>-192</v>
          </cell>
          <cell r="AR157">
            <v>-279</v>
          </cell>
          <cell r="AS157">
            <v>-279</v>
          </cell>
        </row>
        <row r="158">
          <cell r="I158">
            <v>15</v>
          </cell>
          <cell r="N158">
            <v>382</v>
          </cell>
          <cell r="S158">
            <v>-594.46</v>
          </cell>
          <cell r="T158">
            <v>349</v>
          </cell>
          <cell r="U158">
            <v>-138.9</v>
          </cell>
          <cell r="V158">
            <v>-349</v>
          </cell>
          <cell r="W158">
            <v>1023</v>
          </cell>
          <cell r="X158">
            <v>884.09999999999991</v>
          </cell>
          <cell r="Y158">
            <v>-336.64</v>
          </cell>
          <cell r="Z158">
            <v>60.76</v>
          </cell>
          <cell r="AA158">
            <v>-70.19</v>
          </cell>
          <cell r="AB158">
            <v>492.41</v>
          </cell>
          <cell r="AC158">
            <v>146.34</v>
          </cell>
          <cell r="AD158">
            <v>-520</v>
          </cell>
          <cell r="AE158">
            <v>59</v>
          </cell>
          <cell r="AF158">
            <v>-71</v>
          </cell>
          <cell r="AG158">
            <v>261</v>
          </cell>
          <cell r="AH158">
            <v>-271</v>
          </cell>
          <cell r="AI158">
            <v>349</v>
          </cell>
          <cell r="AJ158">
            <v>-138.9</v>
          </cell>
          <cell r="AK158">
            <v>-349</v>
          </cell>
          <cell r="AL158">
            <v>1023</v>
          </cell>
          <cell r="AM158">
            <v>884.09999999999991</v>
          </cell>
          <cell r="AN158">
            <v>187.57</v>
          </cell>
          <cell r="AO158">
            <v>244.34929280397029</v>
          </cell>
          <cell r="AP158">
            <v>-156</v>
          </cell>
          <cell r="AQ158">
            <v>-164</v>
          </cell>
          <cell r="AR158">
            <v>-48</v>
          </cell>
          <cell r="AS158">
            <v>-48</v>
          </cell>
        </row>
        <row r="160">
          <cell r="I160">
            <v>0</v>
          </cell>
          <cell r="N160">
            <v>509</v>
          </cell>
          <cell r="S160">
            <v>790.87999999999988</v>
          </cell>
          <cell r="T160">
            <v>195</v>
          </cell>
          <cell r="U160">
            <v>204</v>
          </cell>
          <cell r="V160">
            <v>272</v>
          </cell>
          <cell r="W160">
            <v>343</v>
          </cell>
          <cell r="X160">
            <v>1014</v>
          </cell>
          <cell r="Y160">
            <v>114.91</v>
          </cell>
          <cell r="Z160">
            <v>240.28</v>
          </cell>
          <cell r="AA160">
            <v>323.85000000000002</v>
          </cell>
          <cell r="AB160">
            <v>365.84</v>
          </cell>
          <cell r="AC160">
            <v>1044.8800000000001</v>
          </cell>
          <cell r="AD160">
            <v>250</v>
          </cell>
          <cell r="AE160">
            <v>290</v>
          </cell>
          <cell r="AF160">
            <v>284</v>
          </cell>
          <cell r="AG160">
            <v>365</v>
          </cell>
          <cell r="AH160">
            <v>1189</v>
          </cell>
          <cell r="AI160">
            <v>250</v>
          </cell>
          <cell r="AJ160">
            <v>290</v>
          </cell>
          <cell r="AK160">
            <v>284</v>
          </cell>
          <cell r="AL160">
            <v>365</v>
          </cell>
          <cell r="AM160">
            <v>1189</v>
          </cell>
          <cell r="AN160">
            <v>1800</v>
          </cell>
          <cell r="AO160">
            <v>1851.3647642679905</v>
          </cell>
          <cell r="AP160">
            <v>2770.5223880597014</v>
          </cell>
          <cell r="AQ160">
            <v>3091.4179104477612</v>
          </cell>
          <cell r="AR160">
            <v>3304.1044776119402</v>
          </cell>
          <cell r="AS160">
            <v>3304.1044776119406</v>
          </cell>
        </row>
        <row r="164">
          <cell r="I164">
            <v>-103</v>
          </cell>
          <cell r="N164">
            <v>78</v>
          </cell>
          <cell r="S164">
            <v>-681</v>
          </cell>
          <cell r="T164">
            <v>-50</v>
          </cell>
          <cell r="U164">
            <v>285</v>
          </cell>
          <cell r="V164">
            <v>179</v>
          </cell>
          <cell r="W164">
            <v>-49</v>
          </cell>
          <cell r="X164">
            <v>365</v>
          </cell>
          <cell r="Y164">
            <v>-578</v>
          </cell>
          <cell r="Z164">
            <v>-690</v>
          </cell>
          <cell r="AA164">
            <v>57</v>
          </cell>
          <cell r="AB164">
            <v>111</v>
          </cell>
          <cell r="AC164">
            <v>-1100</v>
          </cell>
          <cell r="AD164">
            <v>-1341</v>
          </cell>
          <cell r="AE164">
            <v>69</v>
          </cell>
          <cell r="AF164">
            <v>331</v>
          </cell>
          <cell r="AG164">
            <v>586</v>
          </cell>
          <cell r="AH164">
            <v>-355</v>
          </cell>
          <cell r="AI164">
            <v>-1343</v>
          </cell>
          <cell r="AJ164">
            <v>1232</v>
          </cell>
          <cell r="AK164">
            <v>103</v>
          </cell>
          <cell r="AL164">
            <v>660</v>
          </cell>
          <cell r="AM164">
            <v>652</v>
          </cell>
          <cell r="AN164">
            <v>367</v>
          </cell>
          <cell r="AO164">
            <v>0</v>
          </cell>
          <cell r="AP164">
            <v>-323</v>
          </cell>
          <cell r="AQ164">
            <v>-343</v>
          </cell>
          <cell r="AR164">
            <v>-364</v>
          </cell>
          <cell r="AS164">
            <v>-364</v>
          </cell>
        </row>
        <row r="165">
          <cell r="I165">
            <v>-1.7655446685878964E-3</v>
          </cell>
          <cell r="N165">
            <v>1.0105179947739399E-3</v>
          </cell>
          <cell r="S165">
            <v>-9.653723890239288E-3</v>
          </cell>
          <cell r="T165">
            <v>-2.6185238353644128E-3</v>
          </cell>
          <cell r="U165">
            <v>1.3347771711872276E-2</v>
          </cell>
          <cell r="V165">
            <v>7.7247068954058419E-3</v>
          </cell>
          <cell r="W165">
            <v>-1.9872074472927696E-3</v>
          </cell>
          <cell r="X165">
            <v>4.127366819402018E-3</v>
          </cell>
          <cell r="Y165">
            <v>-2.5644651539708265E-2</v>
          </cell>
          <cell r="Z165">
            <v>-3.0030832276319638E-2</v>
          </cell>
          <cell r="AA165">
            <v>2.351645930245499E-3</v>
          </cell>
          <cell r="AB165">
            <v>4.352604357564651E-3</v>
          </cell>
          <cell r="AC165">
            <v>-1.1524224670457358E-2</v>
          </cell>
          <cell r="AD165">
            <v>-6.0332801634276817E-2</v>
          </cell>
          <cell r="AE165">
            <v>3.0076886403504026E-3</v>
          </cell>
          <cell r="AF165">
            <v>1.4672471776381981E-2</v>
          </cell>
          <cell r="AG165">
            <v>2.4613518955404288E-2</v>
          </cell>
          <cell r="AH165">
            <v>-3.7362675379588699E-3</v>
          </cell>
          <cell r="AM165">
            <v>6.8621026330962917E-3</v>
          </cell>
          <cell r="AN165">
            <v>3.789360703242622E-3</v>
          </cell>
          <cell r="AO165">
            <v>0</v>
          </cell>
          <cell r="AP165">
            <v>-3.0086031353838295E-3</v>
          </cell>
          <cell r="AQ165">
            <v>-3.0730341331173974E-3</v>
          </cell>
          <cell r="AR165">
            <v>-3.1391694560975254E-3</v>
          </cell>
          <cell r="AS165">
            <v>-3.0212703856397531E-3</v>
          </cell>
        </row>
        <row r="166">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N166">
            <v>0</v>
          </cell>
          <cell r="AO166">
            <v>0</v>
          </cell>
          <cell r="AP166">
            <v>0</v>
          </cell>
          <cell r="AQ166">
            <v>0</v>
          </cell>
          <cell r="AR166">
            <v>0</v>
          </cell>
          <cell r="AS166">
            <v>0</v>
          </cell>
        </row>
        <row r="168">
          <cell r="I168">
            <v>3</v>
          </cell>
          <cell r="N168">
            <v>266</v>
          </cell>
          <cell r="S168">
            <v>84</v>
          </cell>
          <cell r="T168">
            <v>0</v>
          </cell>
          <cell r="U168">
            <v>0</v>
          </cell>
          <cell r="V168">
            <v>0</v>
          </cell>
          <cell r="W168">
            <v>0</v>
          </cell>
          <cell r="X168">
            <v>0</v>
          </cell>
          <cell r="Y168">
            <v>289.19</v>
          </cell>
          <cell r="Z168">
            <v>0</v>
          </cell>
          <cell r="AA168">
            <v>0</v>
          </cell>
          <cell r="AB168">
            <v>37.42</v>
          </cell>
          <cell r="AC168">
            <v>326.61</v>
          </cell>
          <cell r="AD168">
            <v>298</v>
          </cell>
          <cell r="AE168">
            <v>0</v>
          </cell>
          <cell r="AF168">
            <v>0</v>
          </cell>
          <cell r="AG168">
            <v>37</v>
          </cell>
          <cell r="AH168">
            <v>335</v>
          </cell>
          <cell r="AI168">
            <v>298</v>
          </cell>
          <cell r="AJ168">
            <v>0</v>
          </cell>
          <cell r="AK168">
            <v>0</v>
          </cell>
          <cell r="AL168">
            <v>656</v>
          </cell>
          <cell r="AM168">
            <v>954</v>
          </cell>
          <cell r="AN168">
            <v>0</v>
          </cell>
          <cell r="AO168">
            <v>0</v>
          </cell>
          <cell r="AP168">
            <v>0</v>
          </cell>
          <cell r="AQ168">
            <v>0</v>
          </cell>
          <cell r="AR168">
            <v>0</v>
          </cell>
          <cell r="AS168">
            <v>0</v>
          </cell>
        </row>
        <row r="169">
          <cell r="I169">
            <v>5.1423631123919306E-5</v>
          </cell>
          <cell r="N169">
            <v>3.4461254693572826E-3</v>
          </cell>
          <cell r="S169">
            <v>1.1907677045229078E-3</v>
          </cell>
          <cell r="T169">
            <v>0</v>
          </cell>
          <cell r="U169">
            <v>0</v>
          </cell>
          <cell r="V169">
            <v>0</v>
          </cell>
          <cell r="W169">
            <v>0</v>
          </cell>
          <cell r="X169">
            <v>0</v>
          </cell>
          <cell r="Y169">
            <v>1.28307556726094E-2</v>
          </cell>
          <cell r="Z169">
            <v>0</v>
          </cell>
          <cell r="AA169">
            <v>0</v>
          </cell>
          <cell r="AB169">
            <v>1.4673374329735968E-3</v>
          </cell>
          <cell r="AC169">
            <v>3.4217518360164343E-3</v>
          </cell>
          <cell r="AD169">
            <v>1.3407289252061515E-2</v>
          </cell>
          <cell r="AE169">
            <v>0</v>
          </cell>
          <cell r="AF169">
            <v>0</v>
          </cell>
          <cell r="AG169">
            <v>1.5540959067405437E-3</v>
          </cell>
          <cell r="AH169">
            <v>3.5257735921583708E-3</v>
          </cell>
          <cell r="AM169">
            <v>1.0040561214683838E-2</v>
          </cell>
          <cell r="AN169">
            <v>0</v>
          </cell>
          <cell r="AO169">
            <v>0</v>
          </cell>
          <cell r="AP169">
            <v>0</v>
          </cell>
          <cell r="AQ169">
            <v>0</v>
          </cell>
          <cell r="AR169">
            <v>0</v>
          </cell>
          <cell r="AS169">
            <v>0</v>
          </cell>
        </row>
        <row r="171">
          <cell r="I171">
            <v>0</v>
          </cell>
          <cell r="N171">
            <v>27</v>
          </cell>
          <cell r="S171">
            <v>779</v>
          </cell>
          <cell r="T171">
            <v>641.29999999999995</v>
          </cell>
          <cell r="U171">
            <v>0</v>
          </cell>
          <cell r="V171">
            <v>102</v>
          </cell>
          <cell r="W171">
            <v>0</v>
          </cell>
          <cell r="X171">
            <v>743.3</v>
          </cell>
          <cell r="Y171">
            <v>1287</v>
          </cell>
          <cell r="Z171">
            <v>1770</v>
          </cell>
          <cell r="AA171">
            <v>0</v>
          </cell>
          <cell r="AB171">
            <v>40</v>
          </cell>
          <cell r="AC171">
            <v>3097</v>
          </cell>
          <cell r="AD171">
            <v>1283</v>
          </cell>
          <cell r="AE171">
            <v>0</v>
          </cell>
          <cell r="AF171">
            <v>40</v>
          </cell>
          <cell r="AG171">
            <v>0</v>
          </cell>
          <cell r="AH171">
            <v>1323</v>
          </cell>
          <cell r="AI171">
            <v>1283</v>
          </cell>
          <cell r="AJ171">
            <v>0</v>
          </cell>
          <cell r="AK171">
            <v>-150</v>
          </cell>
          <cell r="AL171">
            <v>16</v>
          </cell>
          <cell r="AM171">
            <v>1149</v>
          </cell>
          <cell r="AN171">
            <v>410</v>
          </cell>
          <cell r="AO171">
            <v>0</v>
          </cell>
          <cell r="AP171">
            <v>0</v>
          </cell>
          <cell r="AQ171">
            <v>0</v>
          </cell>
          <cell r="AR171">
            <v>0</v>
          </cell>
          <cell r="AS171">
            <v>0</v>
          </cell>
        </row>
        <row r="172">
          <cell r="I172">
            <v>0</v>
          </cell>
          <cell r="N172">
            <v>3.4979469049867154E-4</v>
          </cell>
          <cell r="S172">
            <v>1.1042952878849347E-2</v>
          </cell>
          <cell r="T172">
            <v>3.3585186712383953E-2</v>
          </cell>
          <cell r="U172">
            <v>0</v>
          </cell>
          <cell r="V172">
            <v>4.4017882867675752E-3</v>
          </cell>
          <cell r="W172">
            <v>0</v>
          </cell>
          <cell r="X172">
            <v>8.4051281009904638E-3</v>
          </cell>
          <cell r="Y172">
            <v>5.7101499189627224E-2</v>
          </cell>
          <cell r="Z172">
            <v>7.7035613230559061E-2</v>
          </cell>
          <cell r="AA172">
            <v>0</v>
          </cell>
          <cell r="AB172">
            <v>1.5685060747980726E-3</v>
          </cell>
          <cell r="AC172">
            <v>3.2445930731278577E-2</v>
          </cell>
          <cell r="AD172">
            <v>5.7723329229513162E-2</v>
          </cell>
          <cell r="AE172">
            <v>0</v>
          </cell>
          <cell r="AF172">
            <v>1.773108371768215E-3</v>
          </cell>
          <cell r="AG172">
            <v>0</v>
          </cell>
          <cell r="AH172">
            <v>1.3924174514703057E-2</v>
          </cell>
          <cell r="AM172">
            <v>1.209287718623871E-2</v>
          </cell>
          <cell r="AN172">
            <v>4.233345744766962E-3</v>
          </cell>
          <cell r="AO172">
            <v>0</v>
          </cell>
          <cell r="AP172">
            <v>0</v>
          </cell>
          <cell r="AQ172">
            <v>0</v>
          </cell>
          <cell r="AR172">
            <v>0</v>
          </cell>
          <cell r="AS172">
            <v>0</v>
          </cell>
        </row>
        <row r="176">
          <cell r="I176">
            <v>-1270.74324</v>
          </cell>
          <cell r="N176">
            <v>261.35218000000009</v>
          </cell>
          <cell r="S176">
            <v>-2133.3317400000005</v>
          </cell>
          <cell r="T176">
            <v>479.31</v>
          </cell>
          <cell r="U176">
            <v>672.56</v>
          </cell>
          <cell r="V176">
            <v>36.299999999999983</v>
          </cell>
          <cell r="W176">
            <v>1260.5899999999999</v>
          </cell>
          <cell r="X176">
            <v>2282.88</v>
          </cell>
          <cell r="Y176">
            <v>720.16264999999999</v>
          </cell>
          <cell r="Z176">
            <v>1141.056</v>
          </cell>
          <cell r="AA176">
            <v>376.73400000000004</v>
          </cell>
          <cell r="AB176">
            <v>1071.8219999999999</v>
          </cell>
          <cell r="AC176">
            <v>3404.34465</v>
          </cell>
          <cell r="AD176">
            <v>16.659999999999854</v>
          </cell>
          <cell r="AE176">
            <v>1199</v>
          </cell>
          <cell r="AF176">
            <v>716</v>
          </cell>
          <cell r="AG176">
            <v>1698</v>
          </cell>
          <cell r="AH176">
            <v>3795.54</v>
          </cell>
          <cell r="AI176">
            <v>12.690000000000055</v>
          </cell>
          <cell r="AJ176">
            <v>860.31999999999994</v>
          </cell>
          <cell r="AK176">
            <v>297.04999999999995</v>
          </cell>
          <cell r="AL176">
            <v>890.34</v>
          </cell>
          <cell r="AM176">
            <v>6056.1900000000005</v>
          </cell>
          <cell r="AN176">
            <v>6571.6880000000001</v>
          </cell>
          <cell r="AO176">
            <v>6729.0549774548035</v>
          </cell>
          <cell r="AP176">
            <v>5900.7988680597009</v>
          </cell>
          <cell r="AQ176">
            <v>3852.0242939999998</v>
          </cell>
          <cell r="AR176">
            <v>2910.4292728199998</v>
          </cell>
          <cell r="AS176">
            <v>4101.1427310046001</v>
          </cell>
        </row>
        <row r="177">
          <cell r="I177">
            <v>-2.1782077208991356E-2</v>
          </cell>
          <cell r="N177">
            <v>3.3859112931204863E-3</v>
          </cell>
          <cell r="S177">
            <v>-3.0241696893162633E-2</v>
          </cell>
          <cell r="T177">
            <v>2.5101693190570332E-2</v>
          </cell>
          <cell r="U177">
            <v>3.1498867868550232E-2</v>
          </cell>
          <cell r="V177">
            <v>1.5665187726437541E-3</v>
          </cell>
          <cell r="W177">
            <v>5.1123547673118212E-2</v>
          </cell>
          <cell r="X177">
            <v>2.5814474423771171E-2</v>
          </cell>
          <cell r="Y177">
            <v>3.1952111091977313E-2</v>
          </cell>
          <cell r="Z177">
            <v>4.9662117904185767E-2</v>
          </cell>
          <cell r="AA177">
            <v>1.5542894348861542E-2</v>
          </cell>
          <cell r="AB177">
            <v>4.2028982952555485E-2</v>
          </cell>
          <cell r="AC177">
            <v>3.5665847820245018E-2</v>
          </cell>
          <cell r="AD177">
            <v>7.4954845281658691E-4</v>
          </cell>
          <cell r="AE177">
            <v>5.226403883739323E-2</v>
          </cell>
          <cell r="AF177">
            <v>3.173863985465105E-2</v>
          </cell>
          <cell r="AG177">
            <v>7.1320401341768744E-2</v>
          </cell>
          <cell r="AH177">
            <v>3.9946909552181435E-2</v>
          </cell>
          <cell r="AM177">
            <v>6.3739566480876433E-2</v>
          </cell>
          <cell r="AN177">
            <v>6.785421324569782E-2</v>
          </cell>
          <cell r="AO177">
            <v>6.710304531477268E-2</v>
          </cell>
          <cell r="AP177">
            <v>5.4963349770011667E-2</v>
          </cell>
          <cell r="AQ177">
            <v>3.4511376492884681E-2</v>
          </cell>
          <cell r="AR177">
            <v>2.5099809553210648E-2</v>
          </cell>
          <cell r="AS177">
            <v>3.4040277693587744E-2</v>
          </cell>
        </row>
        <row r="183">
          <cell r="B183">
            <v>1987</v>
          </cell>
          <cell r="C183">
            <v>1988</v>
          </cell>
          <cell r="D183">
            <v>1989</v>
          </cell>
          <cell r="E183">
            <v>1990</v>
          </cell>
          <cell r="F183">
            <v>1991</v>
          </cell>
          <cell r="G183">
            <v>1992</v>
          </cell>
          <cell r="H183">
            <v>1993</v>
          </cell>
          <cell r="I183">
            <v>1994</v>
          </cell>
          <cell r="J183" t="str">
            <v>1995</v>
          </cell>
          <cell r="K183" t="str">
            <v>1995</v>
          </cell>
          <cell r="L183" t="str">
            <v>1995</v>
          </cell>
          <cell r="M183" t="str">
            <v>1995</v>
          </cell>
          <cell r="N183">
            <v>1995</v>
          </cell>
          <cell r="O183">
            <v>1996</v>
          </cell>
          <cell r="P183">
            <v>1996</v>
          </cell>
          <cell r="Q183">
            <v>1996</v>
          </cell>
          <cell r="R183">
            <v>1996</v>
          </cell>
          <cell r="S183">
            <v>1996</v>
          </cell>
          <cell r="T183">
            <v>1997</v>
          </cell>
          <cell r="U183">
            <v>1997</v>
          </cell>
          <cell r="V183">
            <v>1997</v>
          </cell>
          <cell r="W183">
            <v>1997</v>
          </cell>
          <cell r="X183">
            <v>1997</v>
          </cell>
          <cell r="Y183">
            <v>1998</v>
          </cell>
          <cell r="Z183">
            <v>1998</v>
          </cell>
          <cell r="AA183">
            <v>1998</v>
          </cell>
          <cell r="AB183">
            <v>1998</v>
          </cell>
          <cell r="AC183">
            <v>1998</v>
          </cell>
          <cell r="AD183">
            <v>1998</v>
          </cell>
          <cell r="AE183">
            <v>1998</v>
          </cell>
          <cell r="AF183">
            <v>1998</v>
          </cell>
          <cell r="AG183">
            <v>1998</v>
          </cell>
          <cell r="AH183">
            <v>1998</v>
          </cell>
          <cell r="AN183">
            <v>1999</v>
          </cell>
          <cell r="AO183">
            <v>2000</v>
          </cell>
          <cell r="AP183">
            <v>2001</v>
          </cell>
          <cell r="AQ183">
            <v>2002</v>
          </cell>
          <cell r="AR183">
            <v>2003</v>
          </cell>
          <cell r="AS183">
            <v>2004</v>
          </cell>
        </row>
        <row r="184">
          <cell r="J184" t="str">
            <v>Q1</v>
          </cell>
          <cell r="K184" t="str">
            <v>Q2</v>
          </cell>
          <cell r="L184" t="str">
            <v>Q3</v>
          </cell>
          <cell r="M184" t="str">
            <v>Q4</v>
          </cell>
          <cell r="O184" t="str">
            <v>Q1</v>
          </cell>
          <cell r="P184" t="str">
            <v>Q2</v>
          </cell>
          <cell r="Q184" t="str">
            <v>Q3</v>
          </cell>
          <cell r="R184" t="str">
            <v>Q4</v>
          </cell>
          <cell r="T184" t="str">
            <v>Q1</v>
          </cell>
          <cell r="U184" t="str">
            <v>Q2</v>
          </cell>
          <cell r="V184" t="str">
            <v>Q3</v>
          </cell>
          <cell r="W184" t="str">
            <v>Q4</v>
          </cell>
          <cell r="Y184" t="str">
            <v>Q1</v>
          </cell>
          <cell r="Z184" t="str">
            <v>Q2</v>
          </cell>
          <cell r="AA184" t="str">
            <v>Q3</v>
          </cell>
          <cell r="AB184" t="str">
            <v>Q4</v>
          </cell>
          <cell r="AD184" t="str">
            <v>Q1</v>
          </cell>
          <cell r="AE184" t="str">
            <v>Q2</v>
          </cell>
          <cell r="AF184" t="str">
            <v>Q3</v>
          </cell>
          <cell r="AG184" t="str">
            <v>Q4</v>
          </cell>
        </row>
        <row r="185">
          <cell r="O185" t="str">
            <v>Prel.</v>
          </cell>
          <cell r="P185" t="str">
            <v>Prel.</v>
          </cell>
          <cell r="Q185" t="str">
            <v>Prel.</v>
          </cell>
          <cell r="R185" t="str">
            <v>Prel.</v>
          </cell>
          <cell r="S185" t="str">
            <v>Prel.</v>
          </cell>
          <cell r="T185" t="str">
            <v>Prel.</v>
          </cell>
          <cell r="U185" t="str">
            <v>Prel.</v>
          </cell>
          <cell r="V185" t="str">
            <v>Prel.</v>
          </cell>
          <cell r="W185" t="str">
            <v>Prel.</v>
          </cell>
          <cell r="X185" t="str">
            <v>Prel.</v>
          </cell>
          <cell r="Y185" t="str">
            <v>Prog.</v>
          </cell>
          <cell r="Z185" t="str">
            <v>Prog.</v>
          </cell>
          <cell r="AA185" t="str">
            <v>Prog.</v>
          </cell>
          <cell r="AB185" t="str">
            <v>Prog.</v>
          </cell>
          <cell r="AC185" t="str">
            <v>Prog.</v>
          </cell>
          <cell r="AD185" t="str">
            <v>Prog.</v>
          </cell>
          <cell r="AE185" t="str">
            <v>Prog.</v>
          </cell>
          <cell r="AF185" t="str">
            <v>Prog.</v>
          </cell>
          <cell r="AG185" t="str">
            <v>Prog.</v>
          </cell>
          <cell r="AH185" t="str">
            <v>Prog.</v>
          </cell>
          <cell r="AN185" t="str">
            <v>Proj.</v>
          </cell>
          <cell r="AO185" t="str">
            <v>Proj.</v>
          </cell>
          <cell r="AP185" t="str">
            <v>Proj.</v>
          </cell>
          <cell r="AQ185" t="str">
            <v>Proj.</v>
          </cell>
          <cell r="AR185" t="str">
            <v>Proj.</v>
          </cell>
          <cell r="AS185" t="str">
            <v>Proj.</v>
          </cell>
        </row>
        <row r="190">
          <cell r="I190">
            <v>290.07499999999999</v>
          </cell>
          <cell r="N190">
            <v>694.61</v>
          </cell>
          <cell r="S190">
            <v>536.88</v>
          </cell>
          <cell r="T190">
            <v>64.17</v>
          </cell>
          <cell r="U190">
            <v>359.34000000000003</v>
          </cell>
          <cell r="V190">
            <v>3794.07</v>
          </cell>
          <cell r="W190">
            <v>102</v>
          </cell>
          <cell r="X190">
            <v>4319.58</v>
          </cell>
          <cell r="Y190">
            <v>74</v>
          </cell>
          <cell r="Z190">
            <v>150</v>
          </cell>
          <cell r="AA190">
            <v>180</v>
          </cell>
          <cell r="AB190">
            <v>687</v>
          </cell>
          <cell r="AC190">
            <v>1091</v>
          </cell>
          <cell r="AD190">
            <v>95</v>
          </cell>
          <cell r="AE190">
            <v>204</v>
          </cell>
          <cell r="AF190">
            <v>735</v>
          </cell>
          <cell r="AG190">
            <v>410</v>
          </cell>
          <cell r="AH190">
            <v>1444</v>
          </cell>
          <cell r="AM190">
            <v>1424.91</v>
          </cell>
          <cell r="AN190">
            <v>3364</v>
          </cell>
          <cell r="AO190">
            <v>3935.96</v>
          </cell>
          <cell r="AP190">
            <v>3719.7088000000003</v>
          </cell>
          <cell r="AQ190">
            <v>4554.7280639999999</v>
          </cell>
          <cell r="AR190">
            <v>4389.0733059200002</v>
          </cell>
          <cell r="AS190">
            <v>4660.8025750976003</v>
          </cell>
        </row>
        <row r="191">
          <cell r="I191">
            <v>153.26900000000001</v>
          </cell>
          <cell r="N191">
            <v>261.63</v>
          </cell>
          <cell r="S191">
            <v>43.58</v>
          </cell>
          <cell r="T191">
            <v>12</v>
          </cell>
          <cell r="U191">
            <v>39.61</v>
          </cell>
          <cell r="V191">
            <v>47.05</v>
          </cell>
          <cell r="W191">
            <v>63</v>
          </cell>
          <cell r="X191">
            <v>161.66</v>
          </cell>
          <cell r="Y191">
            <v>16</v>
          </cell>
          <cell r="Z191">
            <v>92</v>
          </cell>
          <cell r="AA191">
            <v>122</v>
          </cell>
          <cell r="AB191">
            <v>129</v>
          </cell>
          <cell r="AC191">
            <v>359</v>
          </cell>
          <cell r="AD191">
            <v>43</v>
          </cell>
          <cell r="AE191">
            <v>118</v>
          </cell>
          <cell r="AF191">
            <v>52</v>
          </cell>
          <cell r="AG191">
            <v>211</v>
          </cell>
          <cell r="AH191">
            <v>424</v>
          </cell>
          <cell r="AM191">
            <v>682.57</v>
          </cell>
          <cell r="AN191">
            <v>348</v>
          </cell>
          <cell r="AO191">
            <v>348</v>
          </cell>
          <cell r="AP191">
            <v>365.40000000000003</v>
          </cell>
          <cell r="AQ191">
            <v>383.67000000000007</v>
          </cell>
          <cell r="AR191">
            <v>402.85350000000011</v>
          </cell>
          <cell r="AS191">
            <v>422.99617500000011</v>
          </cell>
        </row>
        <row r="192">
          <cell r="I192">
            <v>0</v>
          </cell>
          <cell r="N192">
            <v>261.63</v>
          </cell>
          <cell r="S192">
            <v>43.58</v>
          </cell>
          <cell r="T192">
            <v>12</v>
          </cell>
          <cell r="U192">
            <v>39.61</v>
          </cell>
          <cell r="V192">
            <v>47.05</v>
          </cell>
          <cell r="W192">
            <v>63</v>
          </cell>
          <cell r="X192">
            <v>161.66</v>
          </cell>
          <cell r="Y192">
            <v>16</v>
          </cell>
          <cell r="Z192">
            <v>25.333333333333329</v>
          </cell>
          <cell r="AA192">
            <v>55.333333333333329</v>
          </cell>
          <cell r="AB192">
            <v>62.333333333333329</v>
          </cell>
          <cell r="AC192">
            <v>159</v>
          </cell>
          <cell r="AD192">
            <v>43</v>
          </cell>
          <cell r="AE192">
            <v>118</v>
          </cell>
          <cell r="AF192">
            <v>52</v>
          </cell>
          <cell r="AG192">
            <v>11</v>
          </cell>
          <cell r="AH192">
            <v>224</v>
          </cell>
          <cell r="AM192">
            <v>682.57</v>
          </cell>
          <cell r="AN192">
            <v>348</v>
          </cell>
          <cell r="AO192">
            <v>348</v>
          </cell>
          <cell r="AP192">
            <v>365.40000000000003</v>
          </cell>
          <cell r="AQ192">
            <v>383.67000000000007</v>
          </cell>
          <cell r="AR192">
            <v>402.85350000000011</v>
          </cell>
          <cell r="AS192">
            <v>422.99617500000011</v>
          </cell>
        </row>
        <row r="193">
          <cell r="I193">
            <v>0</v>
          </cell>
          <cell r="N193">
            <v>220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M193">
            <v>0</v>
          </cell>
          <cell r="AN193">
            <v>0</v>
          </cell>
          <cell r="AO193">
            <v>0</v>
          </cell>
          <cell r="AP193">
            <v>0</v>
          </cell>
          <cell r="AQ193">
            <v>0</v>
          </cell>
          <cell r="AR193">
            <v>0</v>
          </cell>
          <cell r="AS193">
            <v>0</v>
          </cell>
        </row>
        <row r="194">
          <cell r="I194">
            <v>0</v>
          </cell>
          <cell r="N194">
            <v>180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M194">
            <v>0</v>
          </cell>
          <cell r="AN194">
            <v>0</v>
          </cell>
          <cell r="AO194">
            <v>0</v>
          </cell>
          <cell r="AP194">
            <v>0</v>
          </cell>
          <cell r="AQ194">
            <v>0</v>
          </cell>
          <cell r="AR194">
            <v>0</v>
          </cell>
          <cell r="AS194">
            <v>0</v>
          </cell>
        </row>
        <row r="195">
          <cell r="I195">
            <v>0</v>
          </cell>
          <cell r="N195">
            <v>41.629999999999995</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M195">
            <v>0</v>
          </cell>
          <cell r="AN195">
            <v>0</v>
          </cell>
          <cell r="AO195">
            <v>0</v>
          </cell>
          <cell r="AP195">
            <v>0</v>
          </cell>
          <cell r="AQ195">
            <v>0</v>
          </cell>
          <cell r="AR195">
            <v>0</v>
          </cell>
          <cell r="AS195">
            <v>0</v>
          </cell>
        </row>
        <row r="196">
          <cell r="I196">
            <v>0</v>
          </cell>
          <cell r="N196">
            <v>0</v>
          </cell>
          <cell r="S196">
            <v>0</v>
          </cell>
          <cell r="T196">
            <v>0</v>
          </cell>
          <cell r="U196">
            <v>0</v>
          </cell>
          <cell r="V196">
            <v>0</v>
          </cell>
          <cell r="W196">
            <v>0</v>
          </cell>
          <cell r="X196">
            <v>0</v>
          </cell>
          <cell r="Y196">
            <v>0</v>
          </cell>
          <cell r="Z196">
            <v>66.666666666666671</v>
          </cell>
          <cell r="AA196">
            <v>66.666666666666671</v>
          </cell>
          <cell r="AB196">
            <v>66.666666666666671</v>
          </cell>
          <cell r="AC196">
            <v>200</v>
          </cell>
          <cell r="AD196">
            <v>0</v>
          </cell>
          <cell r="AE196">
            <v>0</v>
          </cell>
          <cell r="AF196">
            <v>0</v>
          </cell>
          <cell r="AG196">
            <v>200</v>
          </cell>
          <cell r="AH196">
            <v>200</v>
          </cell>
          <cell r="AM196">
            <v>0</v>
          </cell>
          <cell r="AN196">
            <v>0</v>
          </cell>
          <cell r="AO196">
            <v>0</v>
          </cell>
          <cell r="AP196">
            <v>0</v>
          </cell>
          <cell r="AQ196">
            <v>0</v>
          </cell>
          <cell r="AR196">
            <v>0</v>
          </cell>
          <cell r="AS196">
            <v>0</v>
          </cell>
        </row>
        <row r="197">
          <cell r="I197">
            <v>0</v>
          </cell>
          <cell r="N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M197">
            <v>0</v>
          </cell>
          <cell r="AN197">
            <v>0</v>
          </cell>
          <cell r="AO197">
            <v>0</v>
          </cell>
          <cell r="AP197">
            <v>0</v>
          </cell>
          <cell r="AQ197">
            <v>0</v>
          </cell>
          <cell r="AR197">
            <v>0</v>
          </cell>
          <cell r="AS197">
            <v>0</v>
          </cell>
        </row>
        <row r="198">
          <cell r="I198">
            <v>106.419</v>
          </cell>
          <cell r="N198">
            <v>82.27000000000001</v>
          </cell>
          <cell r="S198">
            <v>50.36</v>
          </cell>
          <cell r="T198">
            <v>5.4</v>
          </cell>
          <cell r="U198">
            <v>4.7300000000000004</v>
          </cell>
          <cell r="V198">
            <v>5.83</v>
          </cell>
          <cell r="W198">
            <v>6</v>
          </cell>
          <cell r="X198">
            <v>21.96</v>
          </cell>
          <cell r="Y198">
            <v>0</v>
          </cell>
          <cell r="Z198">
            <v>0</v>
          </cell>
          <cell r="AA198">
            <v>0</v>
          </cell>
          <cell r="AB198">
            <v>0</v>
          </cell>
          <cell r="AC198">
            <v>0</v>
          </cell>
          <cell r="AD198">
            <v>23</v>
          </cell>
          <cell r="AE198">
            <v>26</v>
          </cell>
          <cell r="AF198">
            <v>83</v>
          </cell>
          <cell r="AG198">
            <v>80</v>
          </cell>
          <cell r="AH198">
            <v>212</v>
          </cell>
          <cell r="AM198">
            <v>58</v>
          </cell>
          <cell r="AN198">
            <v>353</v>
          </cell>
          <cell r="AO198">
            <v>363.59000000000003</v>
          </cell>
          <cell r="AP198">
            <v>374.49770000000007</v>
          </cell>
          <cell r="AQ198">
            <v>385.73263100000008</v>
          </cell>
          <cell r="AR198">
            <v>397.30460993000008</v>
          </cell>
          <cell r="AS198">
            <v>409.2237482279001</v>
          </cell>
        </row>
        <row r="199">
          <cell r="I199">
            <v>14.865</v>
          </cell>
          <cell r="N199">
            <v>0</v>
          </cell>
          <cell r="S199">
            <v>27.119999999999997</v>
          </cell>
          <cell r="T199">
            <v>1.77</v>
          </cell>
          <cell r="U199">
            <v>0</v>
          </cell>
          <cell r="V199">
            <v>0.19</v>
          </cell>
          <cell r="W199">
            <v>30</v>
          </cell>
          <cell r="X199">
            <v>31.96</v>
          </cell>
          <cell r="Y199">
            <v>0</v>
          </cell>
          <cell r="Z199">
            <v>0</v>
          </cell>
          <cell r="AA199">
            <v>0</v>
          </cell>
          <cell r="AB199">
            <v>0</v>
          </cell>
          <cell r="AC199">
            <v>0</v>
          </cell>
          <cell r="AD199">
            <v>12</v>
          </cell>
          <cell r="AE199">
            <v>37</v>
          </cell>
          <cell r="AF199">
            <v>41</v>
          </cell>
          <cell r="AG199">
            <v>60</v>
          </cell>
          <cell r="AH199">
            <v>150</v>
          </cell>
          <cell r="AM199">
            <v>0</v>
          </cell>
          <cell r="AN199">
            <v>0</v>
          </cell>
          <cell r="AO199">
            <v>0</v>
          </cell>
          <cell r="AP199">
            <v>0</v>
          </cell>
          <cell r="AQ199">
            <v>0</v>
          </cell>
          <cell r="AR199">
            <v>0</v>
          </cell>
          <cell r="AS199">
            <v>0</v>
          </cell>
        </row>
        <row r="200">
          <cell r="I200">
            <v>15.522000000000002</v>
          </cell>
          <cell r="N200">
            <v>4.91</v>
          </cell>
          <cell r="S200">
            <v>0.82</v>
          </cell>
          <cell r="T200">
            <v>45</v>
          </cell>
          <cell r="U200">
            <v>0</v>
          </cell>
          <cell r="V200">
            <v>0</v>
          </cell>
          <cell r="W200">
            <v>3</v>
          </cell>
          <cell r="X200">
            <v>48</v>
          </cell>
          <cell r="Y200">
            <v>58</v>
          </cell>
          <cell r="Z200">
            <v>58</v>
          </cell>
          <cell r="AA200">
            <v>58</v>
          </cell>
          <cell r="AB200">
            <v>58</v>
          </cell>
          <cell r="AC200">
            <v>232</v>
          </cell>
          <cell r="AD200">
            <v>17</v>
          </cell>
          <cell r="AE200">
            <v>23</v>
          </cell>
          <cell r="AF200">
            <v>59</v>
          </cell>
          <cell r="AG200">
            <v>59</v>
          </cell>
          <cell r="AH200">
            <v>158</v>
          </cell>
          <cell r="AM200">
            <v>88.34</v>
          </cell>
          <cell r="AN200">
            <v>79</v>
          </cell>
          <cell r="AO200">
            <v>81.37</v>
          </cell>
          <cell r="AP200">
            <v>83.81110000000001</v>
          </cell>
          <cell r="AQ200">
            <v>86.325433000000018</v>
          </cell>
          <cell r="AR200">
            <v>88.915195990000015</v>
          </cell>
          <cell r="AS200">
            <v>91.582651869700015</v>
          </cell>
        </row>
        <row r="201">
          <cell r="I201">
            <v>0</v>
          </cell>
          <cell r="N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M201">
            <v>0</v>
          </cell>
          <cell r="AN201">
            <v>0</v>
          </cell>
          <cell r="AO201">
            <v>0</v>
          </cell>
          <cell r="AP201">
            <v>0</v>
          </cell>
          <cell r="AQ201">
            <v>0</v>
          </cell>
          <cell r="AR201">
            <v>0</v>
          </cell>
          <cell r="AS201">
            <v>0</v>
          </cell>
        </row>
        <row r="202">
          <cell r="I202">
            <v>0</v>
          </cell>
          <cell r="N202">
            <v>345.8</v>
          </cell>
          <cell r="S202">
            <v>415</v>
          </cell>
          <cell r="T202">
            <v>0</v>
          </cell>
          <cell r="U202">
            <v>315</v>
          </cell>
          <cell r="V202">
            <v>3741</v>
          </cell>
          <cell r="W202">
            <v>0</v>
          </cell>
          <cell r="X202">
            <v>4056</v>
          </cell>
          <cell r="Y202">
            <v>0</v>
          </cell>
          <cell r="Z202">
            <v>0</v>
          </cell>
          <cell r="AA202">
            <v>0</v>
          </cell>
          <cell r="AB202">
            <v>500</v>
          </cell>
          <cell r="AC202">
            <v>500</v>
          </cell>
          <cell r="AD202">
            <v>0</v>
          </cell>
          <cell r="AE202">
            <v>0</v>
          </cell>
          <cell r="AF202">
            <v>500</v>
          </cell>
          <cell r="AG202">
            <v>0</v>
          </cell>
          <cell r="AH202">
            <v>500</v>
          </cell>
          <cell r="AM202">
            <v>596</v>
          </cell>
          <cell r="AN202">
            <v>2584</v>
          </cell>
          <cell r="AO202">
            <v>3143</v>
          </cell>
          <cell r="AP202">
            <v>2896</v>
          </cell>
          <cell r="AQ202">
            <v>3699</v>
          </cell>
          <cell r="AR202">
            <v>3500</v>
          </cell>
          <cell r="AS202">
            <v>3737</v>
          </cell>
        </row>
        <row r="204">
          <cell r="I204">
            <v>772.21799999999996</v>
          </cell>
          <cell r="N204">
            <v>955.40599999999995</v>
          </cell>
          <cell r="S204">
            <v>987</v>
          </cell>
          <cell r="T204">
            <v>273.53999999999996</v>
          </cell>
          <cell r="U204">
            <v>68.55</v>
          </cell>
          <cell r="V204">
            <v>3586.8</v>
          </cell>
          <cell r="W204">
            <v>356.05</v>
          </cell>
          <cell r="X204">
            <v>4284.9399999999996</v>
          </cell>
          <cell r="Y204">
            <v>303.77735000000001</v>
          </cell>
          <cell r="Z204">
            <v>576.37400000000002</v>
          </cell>
          <cell r="AA204">
            <v>303.43599999999998</v>
          </cell>
          <cell r="AB204">
            <v>1060.4380000000001</v>
          </cell>
          <cell r="AC204">
            <v>2244.0253499999999</v>
          </cell>
          <cell r="AD204">
            <v>299</v>
          </cell>
          <cell r="AE204">
            <v>526</v>
          </cell>
          <cell r="AF204">
            <v>302</v>
          </cell>
          <cell r="AG204">
            <v>1060</v>
          </cell>
          <cell r="AH204">
            <v>2187</v>
          </cell>
          <cell r="AM204">
            <v>2115.98</v>
          </cell>
          <cell r="AN204">
            <v>1571.403</v>
          </cell>
          <cell r="AO204">
            <v>1921.674</v>
          </cell>
          <cell r="AP204">
            <v>1620.1350000000002</v>
          </cell>
          <cell r="AQ204">
            <v>1518.1247699999999</v>
          </cell>
          <cell r="AR204">
            <v>1929.0650331000002</v>
          </cell>
          <cell r="AS204">
            <v>1940.080844093</v>
          </cell>
        </row>
        <row r="205">
          <cell r="I205">
            <v>17.63</v>
          </cell>
          <cell r="N205">
            <v>149.54500000000002</v>
          </cell>
          <cell r="S205">
            <v>225</v>
          </cell>
          <cell r="T205">
            <v>91.44</v>
          </cell>
          <cell r="U205">
            <v>24.73</v>
          </cell>
          <cell r="V205">
            <v>93.47</v>
          </cell>
          <cell r="W205">
            <v>29</v>
          </cell>
          <cell r="X205">
            <v>238.64</v>
          </cell>
          <cell r="Y205">
            <v>104.401</v>
          </cell>
          <cell r="Z205">
            <v>52.994999999999997</v>
          </cell>
          <cell r="AA205">
            <v>103.06699999999999</v>
          </cell>
          <cell r="AB205">
            <v>58.484999999999999</v>
          </cell>
          <cell r="AC205">
            <v>318.94799999999998</v>
          </cell>
          <cell r="AD205">
            <v>92</v>
          </cell>
          <cell r="AE205">
            <v>36</v>
          </cell>
          <cell r="AF205">
            <v>103</v>
          </cell>
          <cell r="AG205">
            <v>58</v>
          </cell>
          <cell r="AH205">
            <v>289</v>
          </cell>
          <cell r="AM205">
            <v>263.49</v>
          </cell>
          <cell r="AN205">
            <v>354.63</v>
          </cell>
          <cell r="AO205">
            <v>252.68100000000001</v>
          </cell>
          <cell r="AP205">
            <v>417.19500000000005</v>
          </cell>
          <cell r="AQ205">
            <v>274.73500000000001</v>
          </cell>
          <cell r="AR205">
            <v>576.10200000000009</v>
          </cell>
          <cell r="AS205">
            <v>616.38735000000008</v>
          </cell>
        </row>
        <row r="206">
          <cell r="I206">
            <v>62.453000000000003</v>
          </cell>
          <cell r="N206">
            <v>97.19</v>
          </cell>
          <cell r="S206">
            <v>125</v>
          </cell>
          <cell r="T206">
            <v>39.15</v>
          </cell>
          <cell r="U206">
            <v>11.82</v>
          </cell>
          <cell r="V206">
            <v>44.05</v>
          </cell>
          <cell r="W206">
            <v>10.050000000000001</v>
          </cell>
          <cell r="X206">
            <v>105.07</v>
          </cell>
          <cell r="Y206">
            <v>49.695</v>
          </cell>
          <cell r="Z206">
            <v>23.795000000000002</v>
          </cell>
          <cell r="AA206">
            <v>52.015000000000001</v>
          </cell>
          <cell r="AB206">
            <v>29.170999999999999</v>
          </cell>
          <cell r="AC206">
            <v>154.67600000000002</v>
          </cell>
          <cell r="AD206">
            <v>47</v>
          </cell>
          <cell r="AE206">
            <v>16</v>
          </cell>
          <cell r="AF206">
            <v>52</v>
          </cell>
          <cell r="AG206">
            <v>29</v>
          </cell>
          <cell r="AH206">
            <v>144</v>
          </cell>
          <cell r="AM206">
            <v>202.6</v>
          </cell>
          <cell r="AN206">
            <v>189.63</v>
          </cell>
          <cell r="AO206">
            <v>206.642</v>
          </cell>
          <cell r="AP206">
            <v>243.00100000000003</v>
          </cell>
          <cell r="AQ206">
            <v>280.45077000000003</v>
          </cell>
          <cell r="AR206">
            <v>319.02403310000005</v>
          </cell>
          <cell r="AS206">
            <v>358.75449409300006</v>
          </cell>
        </row>
        <row r="207">
          <cell r="I207">
            <v>13.134999999999998</v>
          </cell>
          <cell r="N207">
            <v>17.222000000000001</v>
          </cell>
          <cell r="S207">
            <v>29</v>
          </cell>
          <cell r="T207">
            <v>1</v>
          </cell>
          <cell r="U207">
            <v>10</v>
          </cell>
          <cell r="V207">
            <v>4.13</v>
          </cell>
          <cell r="W207">
            <v>0</v>
          </cell>
          <cell r="X207">
            <v>15.129999999999999</v>
          </cell>
          <cell r="Y207">
            <v>7.7210000000000001</v>
          </cell>
          <cell r="Z207">
            <v>16.337</v>
          </cell>
          <cell r="AA207">
            <v>2.7029999999999998</v>
          </cell>
          <cell r="AB207">
            <v>23.408000000000001</v>
          </cell>
          <cell r="AC207">
            <v>50.168999999999997</v>
          </cell>
          <cell r="AD207">
            <v>4</v>
          </cell>
          <cell r="AE207">
            <v>9</v>
          </cell>
          <cell r="AF207">
            <v>2</v>
          </cell>
          <cell r="AG207">
            <v>24</v>
          </cell>
          <cell r="AH207">
            <v>39</v>
          </cell>
          <cell r="AM207">
            <v>52.09</v>
          </cell>
          <cell r="AN207">
            <v>46.98</v>
          </cell>
          <cell r="AO207">
            <v>47.412000000000006</v>
          </cell>
          <cell r="AP207">
            <v>7</v>
          </cell>
          <cell r="AQ207">
            <v>0</v>
          </cell>
          <cell r="AR207">
            <v>0</v>
          </cell>
          <cell r="AS207">
            <v>0</v>
          </cell>
        </row>
        <row r="208">
          <cell r="I208">
            <v>437</v>
          </cell>
          <cell r="N208">
            <v>205.52299999999997</v>
          </cell>
          <cell r="S208">
            <v>26</v>
          </cell>
          <cell r="T208">
            <v>0.95</v>
          </cell>
          <cell r="U208">
            <v>22</v>
          </cell>
          <cell r="V208">
            <v>24.15</v>
          </cell>
          <cell r="W208">
            <v>17</v>
          </cell>
          <cell r="X208">
            <v>64.099999999999994</v>
          </cell>
          <cell r="Y208">
            <v>1.93</v>
          </cell>
          <cell r="Z208">
            <v>42.981999999999999</v>
          </cell>
          <cell r="AA208">
            <v>5.4969999999999999</v>
          </cell>
          <cell r="AB208">
            <v>32.773000000000003</v>
          </cell>
          <cell r="AC208">
            <v>83.182000000000002</v>
          </cell>
          <cell r="AD208">
            <v>16</v>
          </cell>
          <cell r="AE208">
            <v>25</v>
          </cell>
          <cell r="AF208">
            <v>5</v>
          </cell>
          <cell r="AG208">
            <v>32</v>
          </cell>
          <cell r="AH208">
            <v>78</v>
          </cell>
          <cell r="AM208">
            <v>109.86</v>
          </cell>
          <cell r="AN208">
            <v>100.54</v>
          </cell>
          <cell r="AO208">
            <v>0</v>
          </cell>
          <cell r="AP208">
            <v>0</v>
          </cell>
          <cell r="AQ208">
            <v>0</v>
          </cell>
          <cell r="AR208">
            <v>0</v>
          </cell>
          <cell r="AS208">
            <v>0</v>
          </cell>
        </row>
        <row r="209">
          <cell r="I209">
            <v>0</v>
          </cell>
          <cell r="N209">
            <v>0</v>
          </cell>
          <cell r="S209">
            <v>0</v>
          </cell>
          <cell r="T209">
            <v>141</v>
          </cell>
          <cell r="U209">
            <v>0</v>
          </cell>
          <cell r="V209">
            <v>3421</v>
          </cell>
          <cell r="W209">
            <v>300</v>
          </cell>
          <cell r="X209">
            <v>3862</v>
          </cell>
          <cell r="Y209">
            <v>140.03035</v>
          </cell>
          <cell r="Z209">
            <v>299.65800000000002</v>
          </cell>
          <cell r="AA209">
            <v>140.154</v>
          </cell>
          <cell r="AB209">
            <v>299.65699999999998</v>
          </cell>
          <cell r="AC209">
            <v>879.49935000000005</v>
          </cell>
          <cell r="AD209">
            <v>140</v>
          </cell>
          <cell r="AE209">
            <v>300</v>
          </cell>
          <cell r="AF209">
            <v>140</v>
          </cell>
          <cell r="AG209">
            <v>300</v>
          </cell>
          <cell r="AH209">
            <v>880</v>
          </cell>
          <cell r="AM209">
            <v>878.44</v>
          </cell>
          <cell r="AN209">
            <v>879.62300000000005</v>
          </cell>
          <cell r="AO209">
            <v>887.93899999999996</v>
          </cell>
          <cell r="AP209">
            <v>887.93899999999996</v>
          </cell>
          <cell r="AQ209">
            <v>887.93899999999996</v>
          </cell>
          <cell r="AR209">
            <v>887.93899999999996</v>
          </cell>
          <cell r="AS209">
            <v>887.93899999999996</v>
          </cell>
        </row>
        <row r="210">
          <cell r="I210">
            <v>242</v>
          </cell>
          <cell r="N210">
            <v>485.92600000000004</v>
          </cell>
          <cell r="S210">
            <v>582</v>
          </cell>
          <cell r="T210">
            <v>0</v>
          </cell>
          <cell r="U210">
            <v>0</v>
          </cell>
          <cell r="V210">
            <v>0</v>
          </cell>
          <cell r="W210">
            <v>0</v>
          </cell>
          <cell r="X210">
            <v>0</v>
          </cell>
          <cell r="Y210">
            <v>0</v>
          </cell>
          <cell r="Z210">
            <v>140.607</v>
          </cell>
          <cell r="AA210">
            <v>0</v>
          </cell>
          <cell r="AB210">
            <v>616.94399999999996</v>
          </cell>
          <cell r="AC210">
            <v>757.55099999999993</v>
          </cell>
          <cell r="AD210">
            <v>0</v>
          </cell>
          <cell r="AE210">
            <v>140</v>
          </cell>
          <cell r="AF210">
            <v>0</v>
          </cell>
          <cell r="AG210">
            <v>617</v>
          </cell>
          <cell r="AH210">
            <v>757</v>
          </cell>
          <cell r="AM210">
            <v>609.5</v>
          </cell>
          <cell r="AN210">
            <v>0</v>
          </cell>
          <cell r="AO210">
            <v>527</v>
          </cell>
          <cell r="AP210">
            <v>65</v>
          </cell>
          <cell r="AQ210">
            <v>75</v>
          </cell>
          <cell r="AR210">
            <v>146</v>
          </cell>
          <cell r="AS210">
            <v>77</v>
          </cell>
        </row>
        <row r="212">
          <cell r="I212">
            <v>458.18955999999997</v>
          </cell>
          <cell r="N212">
            <v>-59.969559999999944</v>
          </cell>
          <cell r="S212">
            <v>-295.34000000000003</v>
          </cell>
          <cell r="T212">
            <v>-17.350000000000009</v>
          </cell>
          <cell r="U212">
            <v>19.509999999999991</v>
          </cell>
          <cell r="V212">
            <v>35.840000000000003</v>
          </cell>
          <cell r="W212">
            <v>25</v>
          </cell>
          <cell r="X212">
            <v>0</v>
          </cell>
          <cell r="Y212">
            <v>-94.57</v>
          </cell>
          <cell r="Z212">
            <v>0</v>
          </cell>
          <cell r="AA212">
            <v>0</v>
          </cell>
          <cell r="AB212">
            <v>0</v>
          </cell>
          <cell r="AC212">
            <v>0</v>
          </cell>
          <cell r="AD212">
            <v>-165.88</v>
          </cell>
          <cell r="AE212">
            <v>0</v>
          </cell>
          <cell r="AF212">
            <v>0</v>
          </cell>
          <cell r="AG212">
            <v>0</v>
          </cell>
          <cell r="AH212">
            <v>0</v>
          </cell>
          <cell r="AM212">
            <v>0</v>
          </cell>
          <cell r="AN212">
            <v>-123.45</v>
          </cell>
          <cell r="AO212">
            <v>0</v>
          </cell>
          <cell r="AP212">
            <v>0</v>
          </cell>
          <cell r="AQ212">
            <v>0</v>
          </cell>
          <cell r="AR212">
            <v>0</v>
          </cell>
          <cell r="AS212">
            <v>0</v>
          </cell>
        </row>
        <row r="214">
          <cell r="I214">
            <v>-23.953440000000001</v>
          </cell>
          <cell r="N214">
            <v>-320.76555999999988</v>
          </cell>
          <cell r="S214">
            <v>-745.46</v>
          </cell>
          <cell r="T214">
            <v>-226.71999999999997</v>
          </cell>
          <cell r="U214">
            <v>310.3</v>
          </cell>
          <cell r="V214">
            <v>243.10999999999999</v>
          </cell>
          <cell r="W214">
            <v>-229.05</v>
          </cell>
          <cell r="X214">
            <v>34.640000000000327</v>
          </cell>
          <cell r="Y214">
            <v>-324.34735000000001</v>
          </cell>
          <cell r="Z214">
            <v>-426.37400000000002</v>
          </cell>
          <cell r="AA214">
            <v>-123.43599999999998</v>
          </cell>
          <cell r="AB214">
            <v>-373.4380000000001</v>
          </cell>
          <cell r="AC214">
            <v>-1153.0253499999999</v>
          </cell>
          <cell r="AD214">
            <v>-369.88</v>
          </cell>
          <cell r="AE214">
            <v>-322</v>
          </cell>
          <cell r="AF214">
            <v>433</v>
          </cell>
          <cell r="AG214">
            <v>-650</v>
          </cell>
          <cell r="AH214">
            <v>-743</v>
          </cell>
          <cell r="AM214">
            <v>-691.06999999999994</v>
          </cell>
          <cell r="AN214">
            <v>1669.1469999999999</v>
          </cell>
          <cell r="AO214">
            <v>2014.2860000000001</v>
          </cell>
          <cell r="AP214">
            <v>2099.5738000000001</v>
          </cell>
          <cell r="AQ214">
            <v>3036.603294</v>
          </cell>
          <cell r="AR214">
            <v>2460.00827282</v>
          </cell>
          <cell r="AS214">
            <v>2720.7217310046003</v>
          </cell>
        </row>
        <row r="215">
          <cell r="I215">
            <v>-7.6027164587896313E-4</v>
          </cell>
          <cell r="N215">
            <v>-4.1556329549197416E-3</v>
          </cell>
          <cell r="S215">
            <v>-1.0567496345400556E-2</v>
          </cell>
          <cell r="T215">
            <v>-6.4855598354305747E-3</v>
          </cell>
          <cell r="U215">
            <v>1.4532679165592867E-2</v>
          </cell>
          <cell r="V215">
            <v>1.0491360298000638E-2</v>
          </cell>
          <cell r="W215">
            <v>-9.2891809347430392E-3</v>
          </cell>
          <cell r="X215">
            <v>3.9170407294270482E-4</v>
          </cell>
          <cell r="Y215">
            <v>-1.4390613786466775E-2</v>
          </cell>
          <cell r="Z215">
            <v>-1.8557052291280449E-2</v>
          </cell>
          <cell r="AA215">
            <v>-5.0925924043119884E-3</v>
          </cell>
          <cell r="AB215">
            <v>-1.4643494289011069E-2</v>
          </cell>
          <cell r="AC215">
            <v>-1.2079748349211571E-2</v>
          </cell>
          <cell r="AD215">
            <v>-1.6641235397827227E-2</v>
          </cell>
          <cell r="AE215">
            <v>-1.4035880321635212E-2</v>
          </cell>
          <cell r="AF215">
            <v>1.9193898124390929E-2</v>
          </cell>
          <cell r="AG215">
            <v>-2.730168484814469E-2</v>
          </cell>
          <cell r="AH215">
            <v>-7.8198500864885643E-3</v>
          </cell>
          <cell r="AM215">
            <v>-5.9598511978717498E-3</v>
          </cell>
          <cell r="AN215">
            <v>1.850898263910249E-2</v>
          </cell>
          <cell r="AO215">
            <v>2.008673211732874E-2</v>
          </cell>
          <cell r="AP215">
            <v>1.9556607794581245E-2</v>
          </cell>
          <cell r="AQ215">
            <v>2.7205788837314063E-2</v>
          </cell>
          <cell r="AR215">
            <v>2.1215337449955421E-2</v>
          </cell>
          <cell r="AS215">
            <v>2.2582516465523974E-2</v>
          </cell>
        </row>
        <row r="219">
          <cell r="I219">
            <v>148.72499999999999</v>
          </cell>
          <cell r="N219">
            <v>178.09999999999997</v>
          </cell>
          <cell r="S219">
            <v>125.06999999999998</v>
          </cell>
          <cell r="T219">
            <v>11.64</v>
          </cell>
          <cell r="U219">
            <v>9.9700000000000006</v>
          </cell>
          <cell r="V219">
            <v>38.119999999999997</v>
          </cell>
          <cell r="W219">
            <v>30</v>
          </cell>
          <cell r="X219">
            <v>89.73</v>
          </cell>
          <cell r="Y219">
            <v>45</v>
          </cell>
          <cell r="Z219">
            <v>55</v>
          </cell>
          <cell r="AA219">
            <v>55</v>
          </cell>
          <cell r="AB219">
            <v>61</v>
          </cell>
          <cell r="AC219">
            <v>216</v>
          </cell>
          <cell r="AD219">
            <v>8</v>
          </cell>
          <cell r="AE219">
            <v>32</v>
          </cell>
          <cell r="AF219">
            <v>8</v>
          </cell>
          <cell r="AG219">
            <v>8</v>
          </cell>
          <cell r="AH219">
            <v>56</v>
          </cell>
          <cell r="AM219">
            <v>98.58</v>
          </cell>
          <cell r="AN219">
            <v>180</v>
          </cell>
          <cell r="AO219">
            <v>0</v>
          </cell>
          <cell r="AP219">
            <v>0</v>
          </cell>
          <cell r="AQ219">
            <v>0</v>
          </cell>
          <cell r="AR219">
            <v>0</v>
          </cell>
          <cell r="AS219">
            <v>0</v>
          </cell>
        </row>
        <row r="220">
          <cell r="I220">
            <v>14.730999999999995</v>
          </cell>
          <cell r="N220">
            <v>5.21</v>
          </cell>
          <cell r="S220">
            <v>59.699999999999996</v>
          </cell>
          <cell r="T220">
            <v>6.05</v>
          </cell>
          <cell r="U220">
            <v>3.31</v>
          </cell>
          <cell r="V220">
            <v>37.07</v>
          </cell>
          <cell r="W220">
            <v>30</v>
          </cell>
          <cell r="X220">
            <v>76.430000000000007</v>
          </cell>
          <cell r="Y220">
            <v>0</v>
          </cell>
          <cell r="Z220">
            <v>0</v>
          </cell>
          <cell r="AA220">
            <v>0</v>
          </cell>
          <cell r="AB220">
            <v>0</v>
          </cell>
          <cell r="AC220">
            <v>0</v>
          </cell>
          <cell r="AD220">
            <v>8</v>
          </cell>
          <cell r="AE220">
            <v>29</v>
          </cell>
          <cell r="AF220">
            <v>8</v>
          </cell>
          <cell r="AG220">
            <v>8</v>
          </cell>
          <cell r="AH220">
            <v>53</v>
          </cell>
          <cell r="AM220">
            <v>95.5</v>
          </cell>
          <cell r="AN220">
            <v>180</v>
          </cell>
          <cell r="AO220">
            <v>0</v>
          </cell>
          <cell r="AP220">
            <v>0</v>
          </cell>
          <cell r="AQ220">
            <v>0</v>
          </cell>
          <cell r="AR220">
            <v>0</v>
          </cell>
          <cell r="AS220">
            <v>0</v>
          </cell>
        </row>
        <row r="221">
          <cell r="I221">
            <v>79.481000000000009</v>
          </cell>
          <cell r="N221">
            <v>153.90999999999997</v>
          </cell>
          <cell r="S221">
            <v>48.809999999999995</v>
          </cell>
          <cell r="T221">
            <v>5.59</v>
          </cell>
          <cell r="U221">
            <v>4</v>
          </cell>
          <cell r="V221">
            <v>1.05</v>
          </cell>
          <cell r="W221">
            <v>0</v>
          </cell>
          <cell r="X221">
            <v>10.64</v>
          </cell>
          <cell r="Y221">
            <v>45</v>
          </cell>
          <cell r="Z221">
            <v>55</v>
          </cell>
          <cell r="AA221">
            <v>55</v>
          </cell>
          <cell r="AB221">
            <v>61</v>
          </cell>
          <cell r="AC221">
            <v>216</v>
          </cell>
          <cell r="AD221">
            <v>0</v>
          </cell>
          <cell r="AE221">
            <v>0</v>
          </cell>
          <cell r="AF221">
            <v>0</v>
          </cell>
          <cell r="AG221">
            <v>0</v>
          </cell>
          <cell r="AH221">
            <v>0</v>
          </cell>
          <cell r="AM221">
            <v>0.49</v>
          </cell>
          <cell r="AN221">
            <v>0</v>
          </cell>
          <cell r="AO221">
            <v>0</v>
          </cell>
          <cell r="AP221">
            <v>0</v>
          </cell>
          <cell r="AQ221">
            <v>0</v>
          </cell>
          <cell r="AR221">
            <v>0</v>
          </cell>
          <cell r="AS221">
            <v>0</v>
          </cell>
        </row>
        <row r="222">
          <cell r="I222">
            <v>47.835000000000001</v>
          </cell>
          <cell r="N222">
            <v>1.1299999999999999</v>
          </cell>
          <cell r="S222">
            <v>13.07</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M222">
            <v>0</v>
          </cell>
          <cell r="AN222">
            <v>0</v>
          </cell>
          <cell r="AO222">
            <v>0</v>
          </cell>
          <cell r="AP222">
            <v>0</v>
          </cell>
          <cell r="AQ222">
            <v>0</v>
          </cell>
          <cell r="AR222">
            <v>0</v>
          </cell>
          <cell r="AS222">
            <v>0</v>
          </cell>
        </row>
        <row r="223">
          <cell r="I223">
            <v>6.6779999999999973</v>
          </cell>
          <cell r="N223">
            <v>17.850000000000001</v>
          </cell>
          <cell r="S223">
            <v>3.4899999999999998</v>
          </cell>
          <cell r="T223">
            <v>0</v>
          </cell>
          <cell r="U223">
            <v>2.66</v>
          </cell>
          <cell r="V223">
            <v>0</v>
          </cell>
          <cell r="W223">
            <v>0</v>
          </cell>
          <cell r="X223">
            <v>2.66</v>
          </cell>
          <cell r="Y223">
            <v>0</v>
          </cell>
          <cell r="Z223">
            <v>0</v>
          </cell>
          <cell r="AA223">
            <v>0</v>
          </cell>
          <cell r="AB223">
            <v>0</v>
          </cell>
          <cell r="AC223">
            <v>0</v>
          </cell>
          <cell r="AD223">
            <v>0</v>
          </cell>
          <cell r="AE223">
            <v>3</v>
          </cell>
          <cell r="AF223">
            <v>0</v>
          </cell>
          <cell r="AG223">
            <v>0</v>
          </cell>
          <cell r="AH223">
            <v>3</v>
          </cell>
          <cell r="AM223">
            <v>2.59</v>
          </cell>
          <cell r="AN223">
            <v>0</v>
          </cell>
          <cell r="AO223">
            <v>0</v>
          </cell>
          <cell r="AP223">
            <v>0</v>
          </cell>
          <cell r="AQ223">
            <v>0</v>
          </cell>
          <cell r="AR223">
            <v>0</v>
          </cell>
          <cell r="AS223">
            <v>0</v>
          </cell>
        </row>
        <row r="224">
          <cell r="I224">
            <v>0</v>
          </cell>
          <cell r="N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M224">
            <v>0</v>
          </cell>
          <cell r="AN224">
            <v>0</v>
          </cell>
          <cell r="AO224">
            <v>0</v>
          </cell>
          <cell r="AP224">
            <v>0</v>
          </cell>
          <cell r="AQ224">
            <v>0</v>
          </cell>
          <cell r="AR224">
            <v>0</v>
          </cell>
          <cell r="AS224">
            <v>0</v>
          </cell>
        </row>
        <row r="225">
          <cell r="I225">
            <v>0</v>
          </cell>
          <cell r="N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M225">
            <v>0</v>
          </cell>
          <cell r="AN225">
            <v>0</v>
          </cell>
          <cell r="AO225">
            <v>0</v>
          </cell>
          <cell r="AP225">
            <v>0</v>
          </cell>
          <cell r="AQ225">
            <v>0</v>
          </cell>
          <cell r="AR225">
            <v>0</v>
          </cell>
          <cell r="AS225">
            <v>0</v>
          </cell>
        </row>
        <row r="227">
          <cell r="I227">
            <v>438.9658</v>
          </cell>
          <cell r="N227">
            <v>480.88300000000004</v>
          </cell>
          <cell r="S227">
            <v>424</v>
          </cell>
          <cell r="T227">
            <v>84.35</v>
          </cell>
          <cell r="U227">
            <v>114.07000000000001</v>
          </cell>
          <cell r="V227">
            <v>64.930000000000007</v>
          </cell>
          <cell r="W227">
            <v>120.27</v>
          </cell>
          <cell r="X227">
            <v>383.61999999999995</v>
          </cell>
          <cell r="Y227">
            <v>94.68</v>
          </cell>
          <cell r="Z227">
            <v>99.1</v>
          </cell>
          <cell r="AA227">
            <v>44.37</v>
          </cell>
          <cell r="AB227">
            <v>54.26</v>
          </cell>
          <cell r="AC227">
            <v>292.41000000000003</v>
          </cell>
          <cell r="AD227">
            <v>79</v>
          </cell>
          <cell r="AE227">
            <v>102</v>
          </cell>
          <cell r="AF227">
            <v>45</v>
          </cell>
          <cell r="AG227">
            <v>55</v>
          </cell>
          <cell r="AH227">
            <v>281</v>
          </cell>
          <cell r="AM227">
            <v>248.82</v>
          </cell>
          <cell r="AN227">
            <v>259.67899999999997</v>
          </cell>
          <cell r="AO227">
            <v>200.07117142857143</v>
          </cell>
          <cell r="AP227">
            <v>194.29732000000001</v>
          </cell>
          <cell r="AQ227">
            <v>223.57900000000001</v>
          </cell>
          <cell r="AR227">
            <v>223.57900000000001</v>
          </cell>
          <cell r="AS227">
            <v>247.57900000000001</v>
          </cell>
        </row>
        <row r="228">
          <cell r="I228">
            <v>53.753200000000007</v>
          </cell>
          <cell r="N228">
            <v>68.206000000000017</v>
          </cell>
          <cell r="S228">
            <v>52</v>
          </cell>
          <cell r="T228">
            <v>24.27</v>
          </cell>
          <cell r="U228">
            <v>0</v>
          </cell>
          <cell r="V228">
            <v>24.6</v>
          </cell>
          <cell r="W228">
            <v>2</v>
          </cell>
          <cell r="X228">
            <v>50.870000000000005</v>
          </cell>
          <cell r="Y228">
            <v>20.94</v>
          </cell>
          <cell r="Z228">
            <v>18</v>
          </cell>
          <cell r="AA228">
            <v>20.94</v>
          </cell>
          <cell r="AB228">
            <v>3.56</v>
          </cell>
          <cell r="AC228">
            <v>63.44</v>
          </cell>
          <cell r="AD228">
            <v>24</v>
          </cell>
          <cell r="AE228">
            <v>4</v>
          </cell>
          <cell r="AF228">
            <v>21</v>
          </cell>
          <cell r="AG228">
            <v>4</v>
          </cell>
          <cell r="AH228">
            <v>53</v>
          </cell>
          <cell r="AM228">
            <v>48.26</v>
          </cell>
          <cell r="AN228">
            <v>45.088999999999999</v>
          </cell>
          <cell r="AO228">
            <v>56.007571428571424</v>
          </cell>
          <cell r="AP228">
            <v>63.578999999999994</v>
          </cell>
          <cell r="AQ228">
            <v>116.57899999999999</v>
          </cell>
          <cell r="AR228">
            <v>116.57899999999999</v>
          </cell>
          <cell r="AS228">
            <v>116.57899999999999</v>
          </cell>
        </row>
        <row r="229">
          <cell r="I229">
            <v>299.42920000000004</v>
          </cell>
          <cell r="N229">
            <v>335.27199999999999</v>
          </cell>
          <cell r="S229">
            <v>312</v>
          </cell>
          <cell r="T229">
            <v>58.64</v>
          </cell>
          <cell r="U229">
            <v>96.12</v>
          </cell>
          <cell r="V229">
            <v>33.81</v>
          </cell>
          <cell r="W229">
            <v>98.27</v>
          </cell>
          <cell r="X229">
            <v>286.83999999999997</v>
          </cell>
          <cell r="Y229">
            <v>72.150000000000006</v>
          </cell>
          <cell r="Z229">
            <v>63.54</v>
          </cell>
          <cell r="AA229">
            <v>22.16</v>
          </cell>
          <cell r="AB229">
            <v>33.56</v>
          </cell>
          <cell r="AC229">
            <v>191.41</v>
          </cell>
          <cell r="AD229">
            <v>51</v>
          </cell>
          <cell r="AE229">
            <v>83</v>
          </cell>
          <cell r="AF229">
            <v>22</v>
          </cell>
          <cell r="AG229">
            <v>34</v>
          </cell>
          <cell r="AH229">
            <v>190</v>
          </cell>
          <cell r="AM229">
            <v>178.27</v>
          </cell>
          <cell r="AN229">
            <v>185.78199999999998</v>
          </cell>
          <cell r="AO229">
            <v>125.20760000000001</v>
          </cell>
          <cell r="AP229">
            <v>117.71832000000001</v>
          </cell>
          <cell r="AQ229">
            <v>97</v>
          </cell>
          <cell r="AR229">
            <v>104</v>
          </cell>
          <cell r="AS229">
            <v>128</v>
          </cell>
        </row>
        <row r="230">
          <cell r="I230">
            <v>61.383400000000002</v>
          </cell>
          <cell r="N230">
            <v>49.953000000000003</v>
          </cell>
          <cell r="S230">
            <v>37</v>
          </cell>
          <cell r="T230">
            <v>1</v>
          </cell>
          <cell r="U230">
            <v>15</v>
          </cell>
          <cell r="V230">
            <v>6.52</v>
          </cell>
          <cell r="W230">
            <v>17</v>
          </cell>
          <cell r="X230">
            <v>39.519999999999996</v>
          </cell>
          <cell r="Y230">
            <v>0.52</v>
          </cell>
          <cell r="Z230">
            <v>14.47</v>
          </cell>
          <cell r="AA230">
            <v>0.52</v>
          </cell>
          <cell r="AB230">
            <v>14.47</v>
          </cell>
          <cell r="AC230">
            <v>29.98</v>
          </cell>
          <cell r="AD230">
            <v>4</v>
          </cell>
          <cell r="AE230">
            <v>12</v>
          </cell>
          <cell r="AF230">
            <v>1</v>
          </cell>
          <cell r="AG230">
            <v>14</v>
          </cell>
          <cell r="AH230">
            <v>31</v>
          </cell>
          <cell r="AM230">
            <v>19.440000000000001</v>
          </cell>
          <cell r="AN230">
            <v>15.069999999999999</v>
          </cell>
          <cell r="AO230">
            <v>4</v>
          </cell>
          <cell r="AP230">
            <v>0</v>
          </cell>
          <cell r="AQ230">
            <v>0</v>
          </cell>
          <cell r="AR230">
            <v>0</v>
          </cell>
          <cell r="AS230">
            <v>0</v>
          </cell>
        </row>
        <row r="231">
          <cell r="I231">
            <v>24.399999999999977</v>
          </cell>
          <cell r="N231">
            <v>27.451999999999998</v>
          </cell>
          <cell r="S231">
            <v>23</v>
          </cell>
          <cell r="T231">
            <v>0.44</v>
          </cell>
          <cell r="U231">
            <v>2.95</v>
          </cell>
          <cell r="V231">
            <v>0</v>
          </cell>
          <cell r="W231">
            <v>3</v>
          </cell>
          <cell r="X231">
            <v>6.3900000000000006</v>
          </cell>
          <cell r="Y231">
            <v>1.07</v>
          </cell>
          <cell r="Z231">
            <v>3.09</v>
          </cell>
          <cell r="AA231">
            <v>0.75</v>
          </cell>
          <cell r="AB231">
            <v>2.67</v>
          </cell>
          <cell r="AC231">
            <v>7.58</v>
          </cell>
          <cell r="AD231">
            <v>0</v>
          </cell>
          <cell r="AE231">
            <v>3</v>
          </cell>
          <cell r="AF231">
            <v>1</v>
          </cell>
          <cell r="AG231">
            <v>3</v>
          </cell>
          <cell r="AH231">
            <v>7</v>
          </cell>
          <cell r="AM231">
            <v>2.85</v>
          </cell>
          <cell r="AN231">
            <v>13.738</v>
          </cell>
          <cell r="AO231">
            <v>14.855999999999998</v>
          </cell>
          <cell r="AP231">
            <v>13</v>
          </cell>
          <cell r="AQ231">
            <v>10</v>
          </cell>
          <cell r="AR231">
            <v>3</v>
          </cell>
          <cell r="AS231">
            <v>3</v>
          </cell>
        </row>
        <row r="232">
          <cell r="I232">
            <v>0</v>
          </cell>
          <cell r="N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M232">
            <v>0</v>
          </cell>
          <cell r="AN232">
            <v>0</v>
          </cell>
          <cell r="AO232">
            <v>0</v>
          </cell>
          <cell r="AP232">
            <v>0</v>
          </cell>
          <cell r="AQ232">
            <v>0</v>
          </cell>
          <cell r="AR232">
            <v>0</v>
          </cell>
          <cell r="AS232">
            <v>0</v>
          </cell>
        </row>
        <row r="233">
          <cell r="I233">
            <v>0</v>
          </cell>
          <cell r="N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M233">
            <v>0</v>
          </cell>
          <cell r="AN233">
            <v>0</v>
          </cell>
          <cell r="AO233">
            <v>0</v>
          </cell>
          <cell r="AP233">
            <v>0</v>
          </cell>
          <cell r="AQ233">
            <v>0</v>
          </cell>
          <cell r="AR233">
            <v>0</v>
          </cell>
          <cell r="AS233">
            <v>0</v>
          </cell>
        </row>
        <row r="235">
          <cell r="I235">
            <v>261.39100000000002</v>
          </cell>
          <cell r="N235">
            <v>93.900740000000042</v>
          </cell>
          <cell r="S235">
            <v>-326.36174000000005</v>
          </cell>
          <cell r="T235">
            <v>5.5599999999999952</v>
          </cell>
          <cell r="U235">
            <v>27.060000000000002</v>
          </cell>
          <cell r="V235">
            <v>0</v>
          </cell>
          <cell r="W235">
            <v>-9.0000000000003411E-2</v>
          </cell>
          <cell r="X235">
            <v>0</v>
          </cell>
          <cell r="Y235">
            <v>-62.16</v>
          </cell>
          <cell r="Z235">
            <v>0</v>
          </cell>
          <cell r="AA235">
            <v>0</v>
          </cell>
          <cell r="AB235">
            <v>0</v>
          </cell>
          <cell r="AC235">
            <v>0</v>
          </cell>
          <cell r="AD235">
            <v>-61.46</v>
          </cell>
          <cell r="AE235">
            <v>0</v>
          </cell>
          <cell r="AF235">
            <v>0</v>
          </cell>
          <cell r="AG235">
            <v>0</v>
          </cell>
          <cell r="AH235">
            <v>0</v>
          </cell>
          <cell r="AM235">
            <v>0</v>
          </cell>
          <cell r="AN235">
            <v>-23.549999999999997</v>
          </cell>
          <cell r="AO235">
            <v>-5.6500000000000057</v>
          </cell>
          <cell r="AP235">
            <v>0</v>
          </cell>
          <cell r="AQ235">
            <v>0</v>
          </cell>
          <cell r="AR235">
            <v>0</v>
          </cell>
          <cell r="AS235">
            <v>0</v>
          </cell>
        </row>
        <row r="237">
          <cell r="I237">
            <v>-28.849800000000016</v>
          </cell>
          <cell r="N237">
            <v>-208.88226000000003</v>
          </cell>
          <cell r="S237">
            <v>-625.29174000000012</v>
          </cell>
          <cell r="T237">
            <v>-67.150000000000006</v>
          </cell>
          <cell r="U237">
            <v>-77.040000000000006</v>
          </cell>
          <cell r="V237">
            <v>-26.810000000000009</v>
          </cell>
          <cell r="W237">
            <v>-90.36</v>
          </cell>
          <cell r="X237">
            <v>-293.88999999999993</v>
          </cell>
          <cell r="Y237">
            <v>-111.84</v>
          </cell>
          <cell r="Z237">
            <v>-44.1</v>
          </cell>
          <cell r="AA237">
            <v>10.63</v>
          </cell>
          <cell r="AB237">
            <v>6.74</v>
          </cell>
          <cell r="AC237">
            <v>-76.41</v>
          </cell>
          <cell r="AD237">
            <v>-132.46</v>
          </cell>
          <cell r="AE237">
            <v>-70</v>
          </cell>
          <cell r="AF237">
            <v>-37</v>
          </cell>
          <cell r="AG237">
            <v>-47</v>
          </cell>
          <cell r="AH237">
            <v>-225</v>
          </cell>
          <cell r="AM237">
            <v>-150.24</v>
          </cell>
          <cell r="AN237">
            <v>-103.22899999999997</v>
          </cell>
          <cell r="AO237">
            <v>-205.72117142857144</v>
          </cell>
          <cell r="AP237">
            <v>-194.29732000000001</v>
          </cell>
          <cell r="AQ237">
            <v>-223.57900000000001</v>
          </cell>
          <cell r="AR237">
            <v>-223.57900000000001</v>
          </cell>
          <cell r="AS237">
            <v>-247.57900000000001</v>
          </cell>
        </row>
        <row r="238">
          <cell r="I238">
            <v>-3.866882220172911E-3</v>
          </cell>
          <cell r="N238">
            <v>-2.7061446476801128E-3</v>
          </cell>
          <cell r="S238">
            <v>-8.8640144035349398E-3</v>
          </cell>
          <cell r="T238">
            <v>-3.5166775108944059E-3</v>
          </cell>
          <cell r="U238">
            <v>-3.6081134480092638E-3</v>
          </cell>
          <cell r="V238">
            <v>-1.1569798428258697E-3</v>
          </cell>
          <cell r="W238">
            <v>-3.6645727538239729E-3</v>
          </cell>
          <cell r="X238">
            <v>-2.9554207997778384E-3</v>
          </cell>
          <cell r="Y238">
            <v>-4.9621069692058354E-3</v>
          </cell>
          <cell r="Z238">
            <v>-1.9193618889647764E-3</v>
          </cell>
          <cell r="AA238">
            <v>4.3856133751771302E-4</v>
          </cell>
          <cell r="AB238">
            <v>2.6429327360347503E-4</v>
          </cell>
          <cell r="AC238">
            <v>-1.4517380114411598E-3</v>
          </cell>
          <cell r="AD238">
            <v>-5.9594950816378141E-3</v>
          </cell>
          <cell r="AE238">
            <v>-3.0512783307902638E-3</v>
          </cell>
          <cell r="AF238">
            <v>-1.6401252438855989E-3</v>
          </cell>
          <cell r="AG238">
            <v>-1.9741218274812312E-3</v>
          </cell>
          <cell r="AH238">
            <v>-3.0149047857005577E-3</v>
          </cell>
          <cell r="AM238">
            <v>-1.2739093599846245E-3</v>
          </cell>
          <cell r="AN238">
            <v>-1.0658635314306063E-3</v>
          </cell>
          <cell r="AO238">
            <v>-2.0514793139349511E-3</v>
          </cell>
          <cell r="AP238">
            <v>-1.8097941986027098E-3</v>
          </cell>
          <cell r="AQ238">
            <v>-2.0031075756508881E-3</v>
          </cell>
          <cell r="AR238">
            <v>-1.9281658456726061E-3</v>
          </cell>
          <cell r="AS238">
            <v>-2.0549535736436937E-3</v>
          </cell>
        </row>
        <row r="242">
          <cell r="I242">
            <v>-900.8</v>
          </cell>
          <cell r="N242">
            <v>447</v>
          </cell>
          <cell r="S242">
            <v>-944.58000000000015</v>
          </cell>
          <cell r="T242">
            <v>79</v>
          </cell>
          <cell r="U242">
            <v>154.30000000000001</v>
          </cell>
          <cell r="V242">
            <v>-461</v>
          </cell>
          <cell r="W242">
            <v>1629</v>
          </cell>
          <cell r="X242">
            <v>1401.3</v>
          </cell>
          <cell r="Y242">
            <v>158.16</v>
          </cell>
          <cell r="Z242">
            <v>531.53</v>
          </cell>
          <cell r="AA242">
            <v>432.54</v>
          </cell>
          <cell r="AB242">
            <v>1250.0999999999999</v>
          </cell>
          <cell r="AC242">
            <v>2372.33</v>
          </cell>
          <cell r="AD242">
            <v>279</v>
          </cell>
          <cell r="AE242">
            <v>1522</v>
          </cell>
          <cell r="AF242">
            <v>-51</v>
          </cell>
          <cell r="AG242">
            <v>1772</v>
          </cell>
          <cell r="AH242">
            <v>3522</v>
          </cell>
          <cell r="AM242">
            <v>4113.3</v>
          </cell>
          <cell r="AN242">
            <v>4105.32</v>
          </cell>
          <cell r="AO242">
            <v>4920.4901488833748</v>
          </cell>
          <cell r="AP242">
            <v>4427.5223880597014</v>
          </cell>
          <cell r="AQ242">
            <v>1492</v>
          </cell>
          <cell r="AR242">
            <v>1149</v>
          </cell>
          <cell r="AS242">
            <v>2103</v>
          </cell>
        </row>
        <row r="243">
          <cell r="I243">
            <v>-1.5440802305475503E-2</v>
          </cell>
          <cell r="N243">
            <v>5.7910454315891176E-3</v>
          </cell>
          <cell r="S243">
            <v>-1.33901828373601E-2</v>
          </cell>
          <cell r="T243">
            <v>1.7229886836697836E-2</v>
          </cell>
          <cell r="U243">
            <v>7.2265304390943591E-3</v>
          </cell>
          <cell r="V243">
            <v>-1.851340367669892E-2</v>
          </cell>
          <cell r="W243">
            <v>6.7362276937822263E-2</v>
          </cell>
          <cell r="X243">
            <v>1.5845696230213827E-2</v>
          </cell>
          <cell r="Y243">
            <v>7.017228525121556E-3</v>
          </cell>
          <cell r="Z243">
            <v>3.453676280612742E-2</v>
          </cell>
          <cell r="AA243">
            <v>1.7845279485410318E-2</v>
          </cell>
          <cell r="AB243">
            <v>4.9019736102626763E-2</v>
          </cell>
          <cell r="AC243">
            <v>2.759873706920539E-2</v>
          </cell>
          <cell r="AD243">
            <v>1.4352098226200078E-2</v>
          </cell>
          <cell r="AE243">
            <v>6.6343508849468297E-2</v>
          </cell>
          <cell r="AF243">
            <v>-2.2607131740044742E-3</v>
          </cell>
          <cell r="AG243">
            <v>7.4428593155249828E-2</v>
          </cell>
          <cell r="AH243">
            <v>3.7488971747069007E-2</v>
          </cell>
          <cell r="AM243">
            <v>4.329123736305978E-2</v>
          </cell>
          <cell r="AN243">
            <v>4.2388387690016349E-2</v>
          </cell>
          <cell r="AO243">
            <v>4.9067792511378897E-2</v>
          </cell>
          <cell r="AP243">
            <v>4.0225139309416964E-2</v>
          </cell>
          <cell r="AQ243">
            <v>1.2381729364338902E-2</v>
          </cell>
          <cell r="AR243">
            <v>8.9518074050253613E-3</v>
          </cell>
          <cell r="AS243">
            <v>1.6533985187347222E-2</v>
          </cell>
        </row>
        <row r="244">
          <cell r="I244">
            <v>-900.8</v>
          </cell>
          <cell r="N244">
            <v>447</v>
          </cell>
          <cell r="S244">
            <v>-944.58000000000015</v>
          </cell>
          <cell r="T244">
            <v>329</v>
          </cell>
          <cell r="U244">
            <v>154.30000000000001</v>
          </cell>
          <cell r="V244">
            <v>-429</v>
          </cell>
          <cell r="W244">
            <v>1661</v>
          </cell>
          <cell r="X244">
            <v>1401.3</v>
          </cell>
          <cell r="Y244">
            <v>158.16</v>
          </cell>
          <cell r="Z244">
            <v>793.53</v>
          </cell>
          <cell r="AA244">
            <v>432.54</v>
          </cell>
          <cell r="AB244">
            <v>1250.0999999999999</v>
          </cell>
          <cell r="AC244">
            <v>2634.33</v>
          </cell>
          <cell r="AD244">
            <v>319</v>
          </cell>
          <cell r="AE244">
            <v>1522</v>
          </cell>
          <cell r="AF244">
            <v>-51</v>
          </cell>
          <cell r="AG244">
            <v>1772</v>
          </cell>
          <cell r="AH244">
            <v>3562</v>
          </cell>
          <cell r="AN244">
            <v>4105.32</v>
          </cell>
          <cell r="AO244">
            <v>4920.4901488833748</v>
          </cell>
          <cell r="AP244">
            <v>4318.5223880597014</v>
          </cell>
          <cell r="AQ244">
            <v>1382</v>
          </cell>
          <cell r="AR244">
            <v>1038</v>
          </cell>
          <cell r="AS244">
            <v>1992</v>
          </cell>
        </row>
        <row r="246">
          <cell r="I246">
            <v>-128</v>
          </cell>
          <cell r="N246">
            <v>-254</v>
          </cell>
          <cell r="S246">
            <v>-537</v>
          </cell>
          <cell r="T246">
            <v>-596</v>
          </cell>
          <cell r="U246">
            <v>67</v>
          </cell>
          <cell r="V246">
            <v>-66</v>
          </cell>
          <cell r="W246">
            <v>-59</v>
          </cell>
          <cell r="X246">
            <v>-654</v>
          </cell>
          <cell r="Y246">
            <v>92</v>
          </cell>
          <cell r="Z246">
            <v>708</v>
          </cell>
          <cell r="AA246">
            <v>0</v>
          </cell>
          <cell r="AB246">
            <v>301.12</v>
          </cell>
          <cell r="AC246">
            <v>1101.1199999999999</v>
          </cell>
          <cell r="AD246">
            <v>158</v>
          </cell>
          <cell r="AE246">
            <v>1437</v>
          </cell>
          <cell r="AF246">
            <v>-304</v>
          </cell>
          <cell r="AG246">
            <v>592</v>
          </cell>
          <cell r="AH246">
            <v>1883</v>
          </cell>
          <cell r="AM246">
            <v>1883</v>
          </cell>
          <cell r="AN246">
            <v>1830.1799999999998</v>
          </cell>
          <cell r="AO246">
            <v>2529</v>
          </cell>
          <cell r="AP246">
            <v>2019</v>
          </cell>
          <cell r="AQ246">
            <v>1848</v>
          </cell>
          <cell r="AR246">
            <v>1476</v>
          </cell>
          <cell r="AS246">
            <v>2430</v>
          </cell>
        </row>
        <row r="247">
          <cell r="I247">
            <v>585</v>
          </cell>
          <cell r="N247">
            <v>616</v>
          </cell>
          <cell r="S247">
            <v>240</v>
          </cell>
          <cell r="T247">
            <v>47</v>
          </cell>
          <cell r="U247">
            <v>87</v>
          </cell>
          <cell r="V247">
            <v>84</v>
          </cell>
          <cell r="W247">
            <v>1</v>
          </cell>
          <cell r="X247">
            <v>219</v>
          </cell>
          <cell r="Y247">
            <v>550</v>
          </cell>
          <cell r="Z247">
            <v>1500</v>
          </cell>
          <cell r="AA247">
            <v>0</v>
          </cell>
          <cell r="AB247">
            <v>301.12</v>
          </cell>
          <cell r="AC247">
            <v>2351.12</v>
          </cell>
          <cell r="AD247">
            <v>550</v>
          </cell>
          <cell r="AE247">
            <v>1800</v>
          </cell>
          <cell r="AF247">
            <v>0</v>
          </cell>
          <cell r="AG247">
            <v>788</v>
          </cell>
          <cell r="AH247">
            <v>3138</v>
          </cell>
          <cell r="AM247">
            <v>3138</v>
          </cell>
          <cell r="AN247">
            <v>2785.18</v>
          </cell>
          <cell r="AO247">
            <v>3795</v>
          </cell>
          <cell r="AP247">
            <v>3720</v>
          </cell>
          <cell r="AQ247">
            <v>3748</v>
          </cell>
          <cell r="AR247">
            <v>2828</v>
          </cell>
          <cell r="AS247">
            <v>4578</v>
          </cell>
        </row>
        <row r="248">
          <cell r="I248">
            <v>713</v>
          </cell>
          <cell r="N248">
            <v>870</v>
          </cell>
          <cell r="S248">
            <v>777</v>
          </cell>
          <cell r="T248">
            <v>643</v>
          </cell>
          <cell r="U248">
            <v>20</v>
          </cell>
          <cell r="V248">
            <v>150</v>
          </cell>
          <cell r="W248">
            <v>60</v>
          </cell>
          <cell r="X248">
            <v>873</v>
          </cell>
          <cell r="Y248">
            <v>458</v>
          </cell>
          <cell r="Z248">
            <v>792</v>
          </cell>
          <cell r="AA248">
            <v>0</v>
          </cell>
          <cell r="AB248">
            <v>0</v>
          </cell>
          <cell r="AC248">
            <v>1250</v>
          </cell>
          <cell r="AD248">
            <v>392</v>
          </cell>
          <cell r="AE248">
            <v>363</v>
          </cell>
          <cell r="AF248">
            <v>304</v>
          </cell>
          <cell r="AG248">
            <v>196</v>
          </cell>
          <cell r="AH248">
            <v>1255</v>
          </cell>
          <cell r="AM248">
            <v>1255</v>
          </cell>
          <cell r="AN248">
            <v>955</v>
          </cell>
          <cell r="AO248">
            <v>1266</v>
          </cell>
          <cell r="AP248">
            <v>1701</v>
          </cell>
          <cell r="AQ248">
            <v>1900</v>
          </cell>
          <cell r="AR248">
            <v>1352</v>
          </cell>
          <cell r="AS248">
            <v>2148</v>
          </cell>
        </row>
        <row r="249">
          <cell r="I249">
            <v>-416.8</v>
          </cell>
          <cell r="N249">
            <v>-193</v>
          </cell>
          <cell r="S249">
            <v>-131</v>
          </cell>
          <cell r="T249">
            <v>-260</v>
          </cell>
          <cell r="U249">
            <v>-71</v>
          </cell>
          <cell r="V249">
            <v>-136</v>
          </cell>
          <cell r="W249">
            <v>-72</v>
          </cell>
          <cell r="X249">
            <v>-539</v>
          </cell>
          <cell r="Y249">
            <v>-14.5</v>
          </cell>
          <cell r="Z249">
            <v>-276.5</v>
          </cell>
          <cell r="AA249">
            <v>-14.5</v>
          </cell>
          <cell r="AB249">
            <v>-14.5</v>
          </cell>
          <cell r="AC249">
            <v>-320</v>
          </cell>
          <cell r="AD249">
            <v>-62</v>
          </cell>
          <cell r="AE249">
            <v>-138</v>
          </cell>
          <cell r="AF249">
            <v>-115</v>
          </cell>
          <cell r="AG249">
            <v>-32</v>
          </cell>
          <cell r="AH249">
            <v>-347</v>
          </cell>
          <cell r="AM249">
            <v>-539</v>
          </cell>
          <cell r="AN249">
            <v>-100</v>
          </cell>
          <cell r="AO249">
            <v>-102.85359801488836</v>
          </cell>
          <cell r="AP249">
            <v>0</v>
          </cell>
          <cell r="AQ249">
            <v>0</v>
          </cell>
          <cell r="AR249">
            <v>0</v>
          </cell>
          <cell r="AS249">
            <v>0</v>
          </cell>
        </row>
        <row r="250">
          <cell r="I250">
            <v>-371</v>
          </cell>
          <cell r="N250">
            <v>3</v>
          </cell>
          <cell r="S250">
            <v>-473</v>
          </cell>
          <cell r="T250">
            <v>391</v>
          </cell>
          <cell r="U250">
            <v>93.2</v>
          </cell>
          <cell r="V250">
            <v>-182</v>
          </cell>
          <cell r="W250">
            <v>394</v>
          </cell>
          <cell r="X250">
            <v>696.2</v>
          </cell>
          <cell r="Y250">
            <v>302.39</v>
          </cell>
          <cell r="Z250">
            <v>-201.01</v>
          </cell>
          <cell r="AA250">
            <v>193.38</v>
          </cell>
          <cell r="AB250">
            <v>105.23</v>
          </cell>
          <cell r="AC250">
            <v>399.99</v>
          </cell>
          <cell r="AD250">
            <v>453</v>
          </cell>
          <cell r="AE250">
            <v>-126</v>
          </cell>
          <cell r="AF250">
            <v>155</v>
          </cell>
          <cell r="AG250">
            <v>586</v>
          </cell>
          <cell r="AH250">
            <v>1068</v>
          </cell>
          <cell r="AM250">
            <v>696.2</v>
          </cell>
          <cell r="AN250">
            <v>387.57</v>
          </cell>
          <cell r="AO250">
            <v>398.62968982630281</v>
          </cell>
          <cell r="AP250">
            <v>-206</v>
          </cell>
          <cell r="AQ250">
            <v>-192</v>
          </cell>
          <cell r="AR250">
            <v>-279</v>
          </cell>
          <cell r="AS250">
            <v>-279</v>
          </cell>
        </row>
        <row r="251">
          <cell r="I251">
            <v>15</v>
          </cell>
          <cell r="N251">
            <v>382</v>
          </cell>
          <cell r="S251">
            <v>-594.46</v>
          </cell>
          <cell r="T251">
            <v>349</v>
          </cell>
          <cell r="U251">
            <v>-138.9</v>
          </cell>
          <cell r="V251">
            <v>-349</v>
          </cell>
          <cell r="W251">
            <v>1023</v>
          </cell>
          <cell r="X251">
            <v>884.09999999999991</v>
          </cell>
          <cell r="Y251">
            <v>-336.64</v>
          </cell>
          <cell r="Z251">
            <v>60.76</v>
          </cell>
          <cell r="AA251">
            <v>-70.19</v>
          </cell>
          <cell r="AB251">
            <v>492.41</v>
          </cell>
          <cell r="AC251">
            <v>146.34</v>
          </cell>
          <cell r="AD251">
            <v>-520</v>
          </cell>
          <cell r="AE251">
            <v>59</v>
          </cell>
          <cell r="AF251">
            <v>-71</v>
          </cell>
          <cell r="AG251">
            <v>261</v>
          </cell>
          <cell r="AH251">
            <v>-271</v>
          </cell>
          <cell r="AM251">
            <v>884.09999999999991</v>
          </cell>
          <cell r="AN251">
            <v>187.57</v>
          </cell>
          <cell r="AO251">
            <v>244.34929280397029</v>
          </cell>
          <cell r="AP251">
            <v>-156</v>
          </cell>
          <cell r="AQ251">
            <v>-164</v>
          </cell>
          <cell r="AR251">
            <v>-48</v>
          </cell>
          <cell r="AS251">
            <v>-48</v>
          </cell>
        </row>
        <row r="253">
          <cell r="I253">
            <v>0</v>
          </cell>
          <cell r="N253">
            <v>509</v>
          </cell>
          <cell r="S253">
            <v>790.87999999999988</v>
          </cell>
          <cell r="T253">
            <v>195</v>
          </cell>
          <cell r="U253">
            <v>204</v>
          </cell>
          <cell r="V253">
            <v>272</v>
          </cell>
          <cell r="W253">
            <v>343</v>
          </cell>
          <cell r="X253">
            <v>1014</v>
          </cell>
          <cell r="Y253">
            <v>114.91</v>
          </cell>
          <cell r="Z253">
            <v>240.28</v>
          </cell>
          <cell r="AA253">
            <v>323.85000000000002</v>
          </cell>
          <cell r="AB253">
            <v>365.84</v>
          </cell>
          <cell r="AC253">
            <v>1044.8800000000001</v>
          </cell>
          <cell r="AD253">
            <v>250</v>
          </cell>
          <cell r="AE253">
            <v>290</v>
          </cell>
          <cell r="AF253">
            <v>284</v>
          </cell>
          <cell r="AG253">
            <v>365</v>
          </cell>
          <cell r="AH253">
            <v>1189</v>
          </cell>
          <cell r="AM253">
            <v>1189</v>
          </cell>
          <cell r="AN253">
            <v>1800</v>
          </cell>
          <cell r="AO253">
            <v>1851.3647642679905</v>
          </cell>
          <cell r="AP253">
            <v>2770.5223880597014</v>
          </cell>
          <cell r="AQ253">
            <v>3091.4179104477612</v>
          </cell>
          <cell r="AR253">
            <v>3304.1044776119402</v>
          </cell>
          <cell r="AS253">
            <v>3304.1044776119406</v>
          </cell>
        </row>
        <row r="257">
          <cell r="I257">
            <v>-103</v>
          </cell>
          <cell r="N257">
            <v>78</v>
          </cell>
          <cell r="S257">
            <v>-681</v>
          </cell>
          <cell r="T257">
            <v>-50</v>
          </cell>
          <cell r="U257">
            <v>285</v>
          </cell>
          <cell r="V257">
            <v>179</v>
          </cell>
          <cell r="W257">
            <v>-49</v>
          </cell>
          <cell r="X257">
            <v>365</v>
          </cell>
          <cell r="Y257">
            <v>-578</v>
          </cell>
          <cell r="Z257">
            <v>-690</v>
          </cell>
          <cell r="AA257">
            <v>57</v>
          </cell>
          <cell r="AB257">
            <v>111</v>
          </cell>
          <cell r="AC257">
            <v>-1100</v>
          </cell>
          <cell r="AD257">
            <v>-1341</v>
          </cell>
          <cell r="AE257">
            <v>69</v>
          </cell>
          <cell r="AF257">
            <v>331</v>
          </cell>
          <cell r="AG257">
            <v>586</v>
          </cell>
          <cell r="AH257">
            <v>-355</v>
          </cell>
          <cell r="AM257">
            <v>652</v>
          </cell>
          <cell r="AN257">
            <v>367</v>
          </cell>
          <cell r="AO257">
            <v>0</v>
          </cell>
          <cell r="AP257">
            <v>-323</v>
          </cell>
          <cell r="AQ257">
            <v>-343</v>
          </cell>
          <cell r="AR257">
            <v>-364</v>
          </cell>
          <cell r="AS257">
            <v>-364</v>
          </cell>
        </row>
        <row r="258">
          <cell r="I258">
            <v>-1.7655446685878964E-3</v>
          </cell>
          <cell r="N258">
            <v>1.0105179947739399E-3</v>
          </cell>
          <cell r="S258">
            <v>-9.653723890239288E-3</v>
          </cell>
          <cell r="T258">
            <v>-2.6185238353644128E-3</v>
          </cell>
          <cell r="U258">
            <v>1.3347771711872276E-2</v>
          </cell>
          <cell r="V258">
            <v>7.7247068954058419E-3</v>
          </cell>
          <cell r="W258">
            <v>-1.9872074472927696E-3</v>
          </cell>
          <cell r="X258">
            <v>4.127366819402018E-3</v>
          </cell>
          <cell r="Y258">
            <v>-2.5644651539708265E-2</v>
          </cell>
          <cell r="Z258">
            <v>-3.0030832276319638E-2</v>
          </cell>
          <cell r="AA258">
            <v>2.351645930245499E-3</v>
          </cell>
          <cell r="AB258">
            <v>4.352604357564651E-3</v>
          </cell>
          <cell r="AC258">
            <v>-1.1524224670457358E-2</v>
          </cell>
          <cell r="AD258">
            <v>-6.0332801634276817E-2</v>
          </cell>
          <cell r="AE258">
            <v>3.0076886403504026E-3</v>
          </cell>
          <cell r="AF258">
            <v>1.4672471776381981E-2</v>
          </cell>
          <cell r="AG258">
            <v>2.4613518955404288E-2</v>
          </cell>
          <cell r="AH258">
            <v>-3.7362675379588699E-3</v>
          </cell>
          <cell r="AM258">
            <v>6.8621026330962917E-3</v>
          </cell>
          <cell r="AN258">
            <v>3.789360703242622E-3</v>
          </cell>
          <cell r="AO258">
            <v>0</v>
          </cell>
          <cell r="AP258">
            <v>-3.0086031353838295E-3</v>
          </cell>
          <cell r="AQ258">
            <v>-3.0730341331173974E-3</v>
          </cell>
          <cell r="AR258">
            <v>-3.1391694560975254E-3</v>
          </cell>
          <cell r="AS258">
            <v>-3.0212703856397531E-3</v>
          </cell>
        </row>
        <row r="259">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N259">
            <v>0</v>
          </cell>
          <cell r="AO259">
            <v>0</v>
          </cell>
          <cell r="AP259">
            <v>0</v>
          </cell>
          <cell r="AQ259">
            <v>0</v>
          </cell>
          <cell r="AR259">
            <v>0</v>
          </cell>
          <cell r="AS259">
            <v>0</v>
          </cell>
        </row>
        <row r="261">
          <cell r="I261">
            <v>3</v>
          </cell>
          <cell r="N261">
            <v>266</v>
          </cell>
          <cell r="S261">
            <v>84</v>
          </cell>
          <cell r="T261">
            <v>0</v>
          </cell>
          <cell r="U261">
            <v>0</v>
          </cell>
          <cell r="V261">
            <v>0</v>
          </cell>
          <cell r="W261">
            <v>0</v>
          </cell>
          <cell r="X261">
            <v>0</v>
          </cell>
          <cell r="Y261">
            <v>289.19</v>
          </cell>
          <cell r="Z261">
            <v>0</v>
          </cell>
          <cell r="AA261">
            <v>0</v>
          </cell>
          <cell r="AB261">
            <v>37.42</v>
          </cell>
          <cell r="AC261">
            <v>326.61</v>
          </cell>
          <cell r="AD261">
            <v>298</v>
          </cell>
          <cell r="AE261">
            <v>0</v>
          </cell>
          <cell r="AF261">
            <v>0</v>
          </cell>
          <cell r="AG261">
            <v>37</v>
          </cell>
          <cell r="AH261">
            <v>335</v>
          </cell>
          <cell r="AM261">
            <v>954</v>
          </cell>
          <cell r="AN261">
            <v>0</v>
          </cell>
          <cell r="AO261">
            <v>0</v>
          </cell>
          <cell r="AP261">
            <v>0</v>
          </cell>
          <cell r="AQ261">
            <v>0</v>
          </cell>
          <cell r="AR261">
            <v>0</v>
          </cell>
          <cell r="AS261">
            <v>0</v>
          </cell>
        </row>
        <row r="262">
          <cell r="I262">
            <v>5.1423631123919306E-5</v>
          </cell>
          <cell r="N262">
            <v>3.4461254693572826E-3</v>
          </cell>
          <cell r="S262">
            <v>1.1907677045229078E-3</v>
          </cell>
          <cell r="T262">
            <v>0</v>
          </cell>
          <cell r="U262">
            <v>0</v>
          </cell>
          <cell r="V262">
            <v>0</v>
          </cell>
          <cell r="W262">
            <v>0</v>
          </cell>
          <cell r="X262">
            <v>0</v>
          </cell>
          <cell r="Y262">
            <v>1.28307556726094E-2</v>
          </cell>
          <cell r="Z262">
            <v>0</v>
          </cell>
          <cell r="AA262">
            <v>0</v>
          </cell>
          <cell r="AB262">
            <v>1.4673374329735968E-3</v>
          </cell>
          <cell r="AC262">
            <v>3.4217518360164343E-3</v>
          </cell>
          <cell r="AD262">
            <v>1.3407289252061515E-2</v>
          </cell>
          <cell r="AE262">
            <v>0</v>
          </cell>
          <cell r="AF262">
            <v>0</v>
          </cell>
          <cell r="AG262">
            <v>1.5540959067405437E-3</v>
          </cell>
          <cell r="AH262">
            <v>3.5257735921583708E-3</v>
          </cell>
          <cell r="AM262">
            <v>1.0040561214683838E-2</v>
          </cell>
          <cell r="AN262">
            <v>0</v>
          </cell>
          <cell r="AO262">
            <v>0</v>
          </cell>
          <cell r="AP262">
            <v>0</v>
          </cell>
          <cell r="AQ262">
            <v>0</v>
          </cell>
          <cell r="AR262">
            <v>0</v>
          </cell>
          <cell r="AS262">
            <v>0</v>
          </cell>
        </row>
        <row r="264">
          <cell r="S264">
            <v>779</v>
          </cell>
          <cell r="T264">
            <v>641.29999999999995</v>
          </cell>
          <cell r="U264">
            <v>0</v>
          </cell>
          <cell r="V264">
            <v>102</v>
          </cell>
          <cell r="W264">
            <v>0</v>
          </cell>
          <cell r="X264">
            <v>743.3</v>
          </cell>
          <cell r="Y264">
            <v>1287</v>
          </cell>
          <cell r="Z264">
            <v>1770</v>
          </cell>
          <cell r="AA264">
            <v>0</v>
          </cell>
          <cell r="AB264">
            <v>40</v>
          </cell>
          <cell r="AC264">
            <v>3097</v>
          </cell>
          <cell r="AD264">
            <v>1283</v>
          </cell>
          <cell r="AE264">
            <v>0</v>
          </cell>
          <cell r="AF264">
            <v>40</v>
          </cell>
          <cell r="AG264">
            <v>0</v>
          </cell>
          <cell r="AH264">
            <v>1323</v>
          </cell>
          <cell r="AM264">
            <v>1149</v>
          </cell>
          <cell r="AN264">
            <v>410</v>
          </cell>
          <cell r="AO264">
            <v>0</v>
          </cell>
          <cell r="AP264">
            <v>0</v>
          </cell>
          <cell r="AQ264">
            <v>0</v>
          </cell>
          <cell r="AR264">
            <v>0</v>
          </cell>
          <cell r="AS264">
            <v>0</v>
          </cell>
        </row>
        <row r="265">
          <cell r="S265">
            <v>1.1042952878849347E-2</v>
          </cell>
          <cell r="T265">
            <v>3.3585186712383953E-2</v>
          </cell>
          <cell r="U265">
            <v>0</v>
          </cell>
          <cell r="V265">
            <v>4.4017882867675752E-3</v>
          </cell>
          <cell r="W265">
            <v>0</v>
          </cell>
          <cell r="X265">
            <v>8.4051281009904638E-3</v>
          </cell>
          <cell r="Y265">
            <v>5.7101499189627224E-2</v>
          </cell>
          <cell r="Z265">
            <v>7.7035613230559061E-2</v>
          </cell>
          <cell r="AA265">
            <v>0</v>
          </cell>
          <cell r="AB265">
            <v>1.5685060747980726E-3</v>
          </cell>
          <cell r="AC265">
            <v>3.2445930731278577E-2</v>
          </cell>
          <cell r="AD265">
            <v>5.7723329229513162E-2</v>
          </cell>
          <cell r="AE265">
            <v>0</v>
          </cell>
          <cell r="AF265">
            <v>1.773108371768215E-3</v>
          </cell>
          <cell r="AG265">
            <v>0</v>
          </cell>
          <cell r="AH265">
            <v>1.3924174514703057E-2</v>
          </cell>
          <cell r="AM265">
            <v>1.209287718623871E-2</v>
          </cell>
          <cell r="AN265">
            <v>4.233345744766962E-3</v>
          </cell>
          <cell r="AO265">
            <v>0</v>
          </cell>
          <cell r="AP265">
            <v>0</v>
          </cell>
          <cell r="AQ265">
            <v>0</v>
          </cell>
          <cell r="AR265">
            <v>0</v>
          </cell>
          <cell r="AS265">
            <v>0</v>
          </cell>
        </row>
        <row r="269">
          <cell r="I269">
            <v>-1270.74324</v>
          </cell>
          <cell r="N269">
            <v>261.35218000000009</v>
          </cell>
          <cell r="S269">
            <v>-2133.3317400000005</v>
          </cell>
          <cell r="T269">
            <v>479.31</v>
          </cell>
          <cell r="U269">
            <v>672.56</v>
          </cell>
          <cell r="V269">
            <v>36.299999999999983</v>
          </cell>
          <cell r="W269">
            <v>1260.5899999999999</v>
          </cell>
          <cell r="X269">
            <v>2282.88</v>
          </cell>
          <cell r="Y269">
            <v>720.16264999999999</v>
          </cell>
          <cell r="Z269">
            <v>1141.056</v>
          </cell>
          <cell r="AA269">
            <v>376.73400000000004</v>
          </cell>
          <cell r="AB269">
            <v>1071.8219999999999</v>
          </cell>
          <cell r="AC269">
            <v>3404.34465</v>
          </cell>
          <cell r="AD269">
            <v>16.659999999999854</v>
          </cell>
          <cell r="AE269">
            <v>1199</v>
          </cell>
          <cell r="AF269">
            <v>716</v>
          </cell>
          <cell r="AG269">
            <v>1698</v>
          </cell>
          <cell r="AH269">
            <v>3795.54</v>
          </cell>
          <cell r="AM269">
            <v>6056.1900000000005</v>
          </cell>
          <cell r="AN269">
            <v>6571.6880000000001</v>
          </cell>
          <cell r="AO269">
            <v>6729.0549774548035</v>
          </cell>
          <cell r="AP269">
            <v>5900.7988680597009</v>
          </cell>
          <cell r="AQ269">
            <v>3852.0242939999998</v>
          </cell>
          <cell r="AR269">
            <v>2910.4292728199998</v>
          </cell>
          <cell r="AS269">
            <v>4101.1427310046001</v>
          </cell>
        </row>
        <row r="270">
          <cell r="I270">
            <v>-2.1782077208991356E-2</v>
          </cell>
          <cell r="N270">
            <v>3.3859112931204863E-3</v>
          </cell>
          <cell r="S270">
            <v>-3.0241696893162633E-2</v>
          </cell>
          <cell r="T270">
            <v>2.5101693190570332E-2</v>
          </cell>
          <cell r="U270">
            <v>3.1498867868550232E-2</v>
          </cell>
          <cell r="V270">
            <v>1.5665187726437541E-3</v>
          </cell>
          <cell r="W270">
            <v>5.1123547673118212E-2</v>
          </cell>
          <cell r="X270">
            <v>2.5814474423771171E-2</v>
          </cell>
          <cell r="Y270">
            <v>3.1952111091977313E-2</v>
          </cell>
          <cell r="Z270">
            <v>4.9662117904185767E-2</v>
          </cell>
          <cell r="AA270">
            <v>1.5542894348861542E-2</v>
          </cell>
          <cell r="AB270">
            <v>4.2028982952555485E-2</v>
          </cell>
          <cell r="AC270">
            <v>3.5665847820245018E-2</v>
          </cell>
          <cell r="AD270">
            <v>7.4954845281658691E-4</v>
          </cell>
          <cell r="AE270">
            <v>5.226403883739323E-2</v>
          </cell>
          <cell r="AF270">
            <v>3.173863985465105E-2</v>
          </cell>
          <cell r="AG270">
            <v>7.1320401341768744E-2</v>
          </cell>
          <cell r="AH270">
            <v>3.9946909552181435E-2</v>
          </cell>
          <cell r="AM270">
            <v>6.3739566480876433E-2</v>
          </cell>
          <cell r="AN270">
            <v>6.785421324569782E-2</v>
          </cell>
          <cell r="AO270">
            <v>6.710304531477268E-2</v>
          </cell>
          <cell r="AP270">
            <v>5.4963349770011667E-2</v>
          </cell>
          <cell r="AQ270">
            <v>3.4511376492884681E-2</v>
          </cell>
          <cell r="AR270">
            <v>2.5099809553210648E-2</v>
          </cell>
          <cell r="AS270">
            <v>3.4040277693587744E-2</v>
          </cell>
        </row>
        <row r="276">
          <cell r="B276">
            <v>1987</v>
          </cell>
          <cell r="C276">
            <v>1988</v>
          </cell>
          <cell r="D276">
            <v>1989</v>
          </cell>
          <cell r="E276">
            <v>1990</v>
          </cell>
          <cell r="F276">
            <v>1991</v>
          </cell>
          <cell r="G276">
            <v>1992</v>
          </cell>
          <cell r="H276">
            <v>1993</v>
          </cell>
          <cell r="I276">
            <v>1994</v>
          </cell>
          <cell r="J276" t="str">
            <v>1995</v>
          </cell>
          <cell r="K276" t="str">
            <v>1995</v>
          </cell>
          <cell r="L276" t="str">
            <v>1995</v>
          </cell>
          <cell r="M276" t="str">
            <v>1995</v>
          </cell>
          <cell r="N276">
            <v>1995</v>
          </cell>
          <cell r="O276">
            <v>1996</v>
          </cell>
          <cell r="P276">
            <v>1996</v>
          </cell>
          <cell r="Q276">
            <v>1996</v>
          </cell>
          <cell r="R276">
            <v>1996</v>
          </cell>
          <cell r="S276">
            <v>1996</v>
          </cell>
          <cell r="T276">
            <v>1997</v>
          </cell>
          <cell r="U276">
            <v>1997</v>
          </cell>
          <cell r="V276">
            <v>1997</v>
          </cell>
          <cell r="W276">
            <v>1997</v>
          </cell>
          <cell r="X276">
            <v>1997</v>
          </cell>
          <cell r="Y276">
            <v>1998</v>
          </cell>
          <cell r="Z276">
            <v>1998</v>
          </cell>
          <cell r="AA276">
            <v>1998</v>
          </cell>
          <cell r="AB276">
            <v>1998</v>
          </cell>
          <cell r="AC276">
            <v>1998</v>
          </cell>
          <cell r="AD276">
            <v>1998</v>
          </cell>
          <cell r="AE276">
            <v>1998</v>
          </cell>
          <cell r="AF276">
            <v>1998</v>
          </cell>
          <cell r="AG276">
            <v>1998</v>
          </cell>
          <cell r="AH276">
            <v>1998</v>
          </cell>
          <cell r="AM276">
            <v>1998</v>
          </cell>
          <cell r="AN276">
            <v>1999</v>
          </cell>
          <cell r="AO276">
            <v>2000</v>
          </cell>
          <cell r="AP276">
            <v>2001</v>
          </cell>
          <cell r="AQ276">
            <v>2002</v>
          </cell>
          <cell r="AR276">
            <v>2003</v>
          </cell>
          <cell r="AS276">
            <v>2004</v>
          </cell>
        </row>
        <row r="277">
          <cell r="J277" t="str">
            <v>Q1</v>
          </cell>
          <cell r="K277" t="str">
            <v>Q2</v>
          </cell>
          <cell r="L277" t="str">
            <v>Q3</v>
          </cell>
          <cell r="M277" t="str">
            <v>Q4</v>
          </cell>
          <cell r="O277" t="str">
            <v>Q1</v>
          </cell>
          <cell r="P277" t="str">
            <v>Q2</v>
          </cell>
          <cell r="Q277" t="str">
            <v>Q3</v>
          </cell>
          <cell r="R277" t="str">
            <v>Q4</v>
          </cell>
          <cell r="T277" t="str">
            <v>Q1</v>
          </cell>
          <cell r="U277" t="str">
            <v>Q2</v>
          </cell>
          <cell r="V277" t="str">
            <v>Q3</v>
          </cell>
          <cell r="W277" t="str">
            <v>Q4</v>
          </cell>
          <cell r="Y277" t="str">
            <v>Q1</v>
          </cell>
          <cell r="Z277" t="str">
            <v>Q2</v>
          </cell>
          <cell r="AA277" t="str">
            <v>Q3</v>
          </cell>
          <cell r="AB277" t="str">
            <v>Q4</v>
          </cell>
          <cell r="AD277" t="str">
            <v>Q1</v>
          </cell>
          <cell r="AE277" t="str">
            <v>Q2</v>
          </cell>
          <cell r="AF277" t="str">
            <v>Q3</v>
          </cell>
          <cell r="AG277" t="str">
            <v>Q4</v>
          </cell>
        </row>
        <row r="278">
          <cell r="O278" t="str">
            <v>Prel.</v>
          </cell>
          <cell r="P278" t="str">
            <v>Prel.</v>
          </cell>
          <cell r="Q278" t="str">
            <v>Prel.</v>
          </cell>
          <cell r="R278" t="str">
            <v>Prel.</v>
          </cell>
          <cell r="S278" t="str">
            <v>Prel.</v>
          </cell>
          <cell r="T278" t="str">
            <v>Prel.</v>
          </cell>
          <cell r="U278" t="str">
            <v>Prel.</v>
          </cell>
          <cell r="V278" t="str">
            <v>Prel.</v>
          </cell>
          <cell r="W278" t="str">
            <v>Prel.</v>
          </cell>
          <cell r="X278" t="str">
            <v>Prel.</v>
          </cell>
          <cell r="Y278" t="str">
            <v>Prog.</v>
          </cell>
          <cell r="Z278" t="str">
            <v>Prog.</v>
          </cell>
          <cell r="AA278" t="str">
            <v>Prog.</v>
          </cell>
          <cell r="AB278" t="str">
            <v>Prog.</v>
          </cell>
          <cell r="AC278" t="str">
            <v>Prog.</v>
          </cell>
          <cell r="AD278" t="str">
            <v>Prog.</v>
          </cell>
          <cell r="AE278" t="str">
            <v>Prog.</v>
          </cell>
          <cell r="AF278" t="str">
            <v>Prog.</v>
          </cell>
          <cell r="AG278" t="str">
            <v>Prog.</v>
          </cell>
          <cell r="AH278" t="str">
            <v>Prog.</v>
          </cell>
          <cell r="AM278" t="str">
            <v>est</v>
          </cell>
          <cell r="AN278" t="str">
            <v>Proj.</v>
          </cell>
          <cell r="AO278" t="str">
            <v>Proj.</v>
          </cell>
          <cell r="AP278" t="str">
            <v>Proj.</v>
          </cell>
          <cell r="AQ278" t="str">
            <v>Proj.</v>
          </cell>
          <cell r="AR278" t="str">
            <v>Proj.</v>
          </cell>
          <cell r="AS278" t="str">
            <v>Proj.</v>
          </cell>
        </row>
        <row r="280">
          <cell r="C280">
            <v>25636.5</v>
          </cell>
          <cell r="D280">
            <v>25866.1</v>
          </cell>
          <cell r="E280">
            <v>25233.1</v>
          </cell>
          <cell r="F280">
            <v>25068.899999999998</v>
          </cell>
          <cell r="G280">
            <v>25574.3</v>
          </cell>
          <cell r="H280">
            <v>25936.313999999998</v>
          </cell>
          <cell r="I280">
            <v>26122.823560000001</v>
          </cell>
          <cell r="N280">
            <v>26075.042739999997</v>
          </cell>
          <cell r="S280">
            <v>24587.54</v>
          </cell>
          <cell r="T280">
            <v>24293.670000000002</v>
          </cell>
          <cell r="U280">
            <v>24526.93</v>
          </cell>
          <cell r="V280">
            <v>24302.230000000003</v>
          </cell>
          <cell r="W280">
            <v>23982.820000000003</v>
          </cell>
          <cell r="X280">
            <v>23253.35</v>
          </cell>
          <cell r="Y280">
            <v>22746.552649999994</v>
          </cell>
          <cell r="Z280">
            <v>22276.078649999999</v>
          </cell>
          <cell r="AA280">
            <v>22163.272649999999</v>
          </cell>
          <cell r="AB280">
            <v>21796.574649999995</v>
          </cell>
          <cell r="AC280">
            <v>21796.574649999995</v>
          </cell>
          <cell r="AD280">
            <v>22751.01</v>
          </cell>
          <cell r="AE280">
            <v>22359.01</v>
          </cell>
          <cell r="AF280">
            <v>22755.01</v>
          </cell>
          <cell r="AG280">
            <v>22058.01</v>
          </cell>
          <cell r="AH280">
            <v>22058.01</v>
          </cell>
          <cell r="AM280">
            <v>22412.039999999997</v>
          </cell>
          <cell r="AN280">
            <v>24124.957999999999</v>
          </cell>
          <cell r="AO280">
            <v>25939.172828571427</v>
          </cell>
          <cell r="AP280">
            <v>27844.449308571428</v>
          </cell>
          <cell r="AQ280">
            <v>30657.473602571426</v>
          </cell>
          <cell r="AR280">
            <v>32893.902875391424</v>
          </cell>
          <cell r="AS280">
            <v>35367.04560639603</v>
          </cell>
        </row>
        <row r="281">
          <cell r="H281">
            <v>23159.493999999999</v>
          </cell>
          <cell r="I281">
            <v>23246.65956</v>
          </cell>
          <cell r="N281">
            <v>23232.629999999997</v>
          </cell>
          <cell r="S281">
            <v>22384.59</v>
          </cell>
          <cell r="T281">
            <v>22157.870000000003</v>
          </cell>
          <cell r="U281">
            <v>22468.170000000002</v>
          </cell>
          <cell r="V281">
            <v>22270.280000000002</v>
          </cell>
          <cell r="W281">
            <v>22041.230000000003</v>
          </cell>
          <cell r="X281">
            <v>21362.879999999997</v>
          </cell>
          <cell r="Y281">
            <v>20967.222649999996</v>
          </cell>
          <cell r="Z281">
            <v>20540.84865</v>
          </cell>
          <cell r="AA281">
            <v>20417.412649999998</v>
          </cell>
          <cell r="AB281">
            <v>20043.974649999996</v>
          </cell>
          <cell r="AC281">
            <v>20043.974649999996</v>
          </cell>
          <cell r="AD281">
            <v>20993</v>
          </cell>
          <cell r="AE281">
            <v>20671</v>
          </cell>
          <cell r="AF281">
            <v>21104</v>
          </cell>
          <cell r="AG281">
            <v>20454</v>
          </cell>
          <cell r="AH281">
            <v>20454</v>
          </cell>
          <cell r="AM281">
            <v>20671.809999999998</v>
          </cell>
          <cell r="AN281">
            <v>22464.406999999999</v>
          </cell>
          <cell r="AO281">
            <v>24478.692999999999</v>
          </cell>
          <cell r="AP281">
            <v>26578.266799999998</v>
          </cell>
          <cell r="AQ281">
            <v>29614.870093999998</v>
          </cell>
          <cell r="AR281">
            <v>32074.878366819998</v>
          </cell>
          <cell r="AS281">
            <v>34795.600097824601</v>
          </cell>
        </row>
        <row r="282">
          <cell r="H282">
            <v>2776.82</v>
          </cell>
          <cell r="I282">
            <v>2876.1639999999998</v>
          </cell>
          <cell r="N282">
            <v>2842.4127399999998</v>
          </cell>
          <cell r="S282">
            <v>2202.9499999999998</v>
          </cell>
          <cell r="T282">
            <v>2135.7999999999997</v>
          </cell>
          <cell r="U282">
            <v>2058.7599999999998</v>
          </cell>
          <cell r="V282">
            <v>2031.9499999999998</v>
          </cell>
          <cell r="W282">
            <v>1941.59</v>
          </cell>
          <cell r="X282">
            <v>1890.47</v>
          </cell>
          <cell r="Y282">
            <v>1779.33</v>
          </cell>
          <cell r="Z282">
            <v>1735.23</v>
          </cell>
          <cell r="AA282">
            <v>1745.86</v>
          </cell>
          <cell r="AB282">
            <v>1752.6</v>
          </cell>
          <cell r="AC282">
            <v>1752.6</v>
          </cell>
          <cell r="AD282">
            <v>1758.01</v>
          </cell>
          <cell r="AE282">
            <v>1688.01</v>
          </cell>
          <cell r="AF282">
            <v>1651.01</v>
          </cell>
          <cell r="AG282">
            <v>1604.01</v>
          </cell>
          <cell r="AH282">
            <v>1604.01</v>
          </cell>
          <cell r="AM282">
            <v>1740.23</v>
          </cell>
          <cell r="AN282">
            <v>1660.5509999999999</v>
          </cell>
          <cell r="AO282">
            <v>1460.4798285714287</v>
          </cell>
          <cell r="AP282">
            <v>1266.1825085714286</v>
          </cell>
          <cell r="AQ282">
            <v>1042.6035085714286</v>
          </cell>
          <cell r="AR282">
            <v>819.02450857142878</v>
          </cell>
          <cell r="AS282">
            <v>571.44550857142883</v>
          </cell>
        </row>
        <row r="284">
          <cell r="C284">
            <v>119.4</v>
          </cell>
          <cell r="D284">
            <v>550</v>
          </cell>
          <cell r="E284">
            <v>1588.2</v>
          </cell>
          <cell r="F284">
            <v>2132.3000000000002</v>
          </cell>
          <cell r="G284">
            <v>2714.6</v>
          </cell>
          <cell r="H284">
            <v>2817.1</v>
          </cell>
          <cell r="I284">
            <v>2955.0240000000003</v>
          </cell>
          <cell r="N284">
            <v>3052.9337399999999</v>
          </cell>
          <cell r="S284">
            <v>2816.04</v>
          </cell>
          <cell r="T284">
            <v>2718.38</v>
          </cell>
          <cell r="U284">
            <v>2736.57</v>
          </cell>
          <cell r="V284">
            <v>2702.6200000000003</v>
          </cell>
          <cell r="W284">
            <v>2764.6200000000003</v>
          </cell>
          <cell r="X284">
            <v>2717.61</v>
          </cell>
          <cell r="Y284">
            <v>2608.2690000000002</v>
          </cell>
          <cell r="Z284">
            <v>2629.2740000000003</v>
          </cell>
          <cell r="AA284">
            <v>2627.2670000000003</v>
          </cell>
          <cell r="AB284">
            <v>2694.2220000000002</v>
          </cell>
          <cell r="AC284">
            <v>2694.2220000000002</v>
          </cell>
          <cell r="AD284">
            <v>2652.61</v>
          </cell>
          <cell r="AE284">
            <v>2759.61</v>
          </cell>
          <cell r="AF284">
            <v>2695.61</v>
          </cell>
          <cell r="AG284">
            <v>2852.61</v>
          </cell>
          <cell r="AH284">
            <v>2852.61</v>
          </cell>
          <cell r="AM284">
            <v>3183.93</v>
          </cell>
          <cell r="AN284">
            <v>3312.2109999999998</v>
          </cell>
          <cell r="AO284">
            <v>3351.5224285714285</v>
          </cell>
          <cell r="AP284">
            <v>3236.1484285714282</v>
          </cell>
          <cell r="AQ284">
            <v>3228.5044285714284</v>
          </cell>
          <cell r="AR284">
            <v>2938.6769285714286</v>
          </cell>
          <cell r="AS284">
            <v>2628.7067535714286</v>
          </cell>
        </row>
        <row r="285">
          <cell r="H285">
            <v>2320.1</v>
          </cell>
          <cell r="I285">
            <v>2476.9940000000001</v>
          </cell>
          <cell r="N285">
            <v>2567.54</v>
          </cell>
          <cell r="S285">
            <v>2365.15</v>
          </cell>
          <cell r="T285">
            <v>2285.71</v>
          </cell>
          <cell r="U285">
            <v>2300.59</v>
          </cell>
          <cell r="V285">
            <v>2254.1700000000005</v>
          </cell>
          <cell r="W285">
            <v>2288.1700000000005</v>
          </cell>
          <cell r="X285">
            <v>2184</v>
          </cell>
          <cell r="Y285">
            <v>2095.5990000000002</v>
          </cell>
          <cell r="Z285">
            <v>2134.6040000000003</v>
          </cell>
          <cell r="AA285">
            <v>2153.5370000000003</v>
          </cell>
          <cell r="AB285">
            <v>2224.0520000000001</v>
          </cell>
          <cell r="AC285">
            <v>2224.0520000000001</v>
          </cell>
          <cell r="AD285">
            <v>2135</v>
          </cell>
          <cell r="AE285">
            <v>2217</v>
          </cell>
          <cell r="AF285">
            <v>2166</v>
          </cell>
          <cell r="AG285">
            <v>2319</v>
          </cell>
          <cell r="AH285">
            <v>2319</v>
          </cell>
          <cell r="AM285">
            <v>2603.08</v>
          </cell>
          <cell r="AN285">
            <v>2596.4499999999998</v>
          </cell>
          <cell r="AO285">
            <v>2691.7689999999998</v>
          </cell>
          <cell r="AP285">
            <v>2639.9739999999997</v>
          </cell>
          <cell r="AQ285">
            <v>2748.9089999999997</v>
          </cell>
          <cell r="AR285">
            <v>2575.6605</v>
          </cell>
          <cell r="AS285">
            <v>2382.2693250000002</v>
          </cell>
        </row>
        <row r="286">
          <cell r="H286">
            <v>497</v>
          </cell>
          <cell r="I286">
            <v>478.03</v>
          </cell>
          <cell r="N286">
            <v>485.39373999999998</v>
          </cell>
          <cell r="S286">
            <v>450.89</v>
          </cell>
          <cell r="T286">
            <v>432.67</v>
          </cell>
          <cell r="U286">
            <v>435.98</v>
          </cell>
          <cell r="V286">
            <v>448.45</v>
          </cell>
          <cell r="W286">
            <v>476.45</v>
          </cell>
          <cell r="X286">
            <v>533.61</v>
          </cell>
          <cell r="Y286">
            <v>512.66999999999996</v>
          </cell>
          <cell r="Z286">
            <v>494.67</v>
          </cell>
          <cell r="AA286">
            <v>473.73</v>
          </cell>
          <cell r="AB286">
            <v>470.17</v>
          </cell>
          <cell r="AC286">
            <v>470.17</v>
          </cell>
          <cell r="AD286">
            <v>517.61</v>
          </cell>
          <cell r="AE286">
            <v>542.61</v>
          </cell>
          <cell r="AF286">
            <v>529.61</v>
          </cell>
          <cell r="AG286">
            <v>533.61</v>
          </cell>
          <cell r="AH286">
            <v>533.61</v>
          </cell>
          <cell r="AM286">
            <v>580.85</v>
          </cell>
          <cell r="AN286">
            <v>715.76099999999997</v>
          </cell>
          <cell r="AO286">
            <v>659.75342857142857</v>
          </cell>
          <cell r="AP286">
            <v>596.17442857142862</v>
          </cell>
          <cell r="AQ286">
            <v>479.59542857142861</v>
          </cell>
          <cell r="AR286">
            <v>363.01642857142861</v>
          </cell>
          <cell r="AS286">
            <v>246.4374285714286</v>
          </cell>
        </row>
        <row r="287">
          <cell r="C287">
            <v>799.3</v>
          </cell>
          <cell r="D287">
            <v>1384.7</v>
          </cell>
          <cell r="E287">
            <v>1488.2</v>
          </cell>
          <cell r="F287">
            <v>1874</v>
          </cell>
          <cell r="G287">
            <v>1883.4</v>
          </cell>
          <cell r="H287">
            <v>2391.52</v>
          </cell>
          <cell r="I287">
            <v>2854.6309999999999</v>
          </cell>
          <cell r="N287">
            <v>2877.23</v>
          </cell>
          <cell r="S287">
            <v>2295</v>
          </cell>
          <cell r="T287">
            <v>2213.7599999999998</v>
          </cell>
          <cell r="U287">
            <v>2141.6099999999997</v>
          </cell>
          <cell r="V287">
            <v>2070.63</v>
          </cell>
          <cell r="W287">
            <v>1968.22</v>
          </cell>
          <cell r="X287">
            <v>1927.1399999999999</v>
          </cell>
          <cell r="Y287">
            <v>1788.835</v>
          </cell>
          <cell r="Z287">
            <v>1756.5</v>
          </cell>
          <cell r="AA287">
            <v>1737.325</v>
          </cell>
          <cell r="AB287">
            <v>1735.5939999999998</v>
          </cell>
          <cell r="AC287">
            <v>1735.5939999999998</v>
          </cell>
          <cell r="AD287">
            <v>1790.6799999999998</v>
          </cell>
          <cell r="AE287">
            <v>1717.6799999999998</v>
          </cell>
          <cell r="AF287">
            <v>1726.6799999999998</v>
          </cell>
          <cell r="AG287">
            <v>1743.6799999999998</v>
          </cell>
          <cell r="AH287">
            <v>1743.6799999999998</v>
          </cell>
          <cell r="AM287">
            <v>1604.76</v>
          </cell>
          <cell r="AN287">
            <v>1582.348</v>
          </cell>
          <cell r="AO287">
            <v>1614.0884000000001</v>
          </cell>
          <cell r="AP287">
            <v>1627.8667800000003</v>
          </cell>
          <cell r="AQ287">
            <v>1636.1486410000002</v>
          </cell>
          <cell r="AR287">
            <v>1610.4292178300002</v>
          </cell>
          <cell r="AS287">
            <v>1532.8984719649002</v>
          </cell>
        </row>
        <row r="288">
          <cell r="H288">
            <v>672.1</v>
          </cell>
          <cell r="I288">
            <v>791.69799999999998</v>
          </cell>
          <cell r="N288">
            <v>807.29</v>
          </cell>
          <cell r="S288">
            <v>681.73</v>
          </cell>
          <cell r="T288">
            <v>647.98</v>
          </cell>
          <cell r="U288">
            <v>640.89</v>
          </cell>
          <cell r="V288">
            <v>602.67000000000007</v>
          </cell>
          <cell r="W288">
            <v>598.62000000000012</v>
          </cell>
          <cell r="X288">
            <v>665.11</v>
          </cell>
          <cell r="Y288">
            <v>615.41499999999996</v>
          </cell>
          <cell r="Z288">
            <v>591.62</v>
          </cell>
          <cell r="AA288">
            <v>539.60500000000002</v>
          </cell>
          <cell r="AB288">
            <v>510.43400000000003</v>
          </cell>
          <cell r="AC288">
            <v>510.43400000000003</v>
          </cell>
          <cell r="AD288">
            <v>641.11</v>
          </cell>
          <cell r="AE288">
            <v>651.11</v>
          </cell>
          <cell r="AF288">
            <v>682.11</v>
          </cell>
          <cell r="AG288">
            <v>733.11</v>
          </cell>
          <cell r="AH288">
            <v>733.11</v>
          </cell>
          <cell r="AM288">
            <v>520.51</v>
          </cell>
          <cell r="AN288">
            <v>683.88</v>
          </cell>
          <cell r="AO288">
            <v>840.82799999999997</v>
          </cell>
          <cell r="AP288">
            <v>972.32470000000012</v>
          </cell>
          <cell r="AQ288">
            <v>1077.6065610000001</v>
          </cell>
          <cell r="AR288">
            <v>1155.88713783</v>
          </cell>
          <cell r="AS288">
            <v>1206.3563919649</v>
          </cell>
        </row>
        <row r="289">
          <cell r="H289">
            <v>1719.4199999999998</v>
          </cell>
          <cell r="I289">
            <v>2062.933</v>
          </cell>
          <cell r="N289">
            <v>2069.94</v>
          </cell>
          <cell r="S289">
            <v>1613.27</v>
          </cell>
          <cell r="T289">
            <v>1565.7799999999997</v>
          </cell>
          <cell r="U289">
            <v>1500.7199999999998</v>
          </cell>
          <cell r="V289">
            <v>1467.9599999999998</v>
          </cell>
          <cell r="W289">
            <v>1369.6</v>
          </cell>
          <cell r="X289">
            <v>1262.03</v>
          </cell>
          <cell r="Y289">
            <v>1173.42</v>
          </cell>
          <cell r="Z289">
            <v>1164.8800000000001</v>
          </cell>
          <cell r="AA289">
            <v>1197.72</v>
          </cell>
          <cell r="AB289">
            <v>1225.1600000000001</v>
          </cell>
          <cell r="AC289">
            <v>1225.1600000000001</v>
          </cell>
          <cell r="AD289">
            <v>1149.57</v>
          </cell>
          <cell r="AE289">
            <v>1066.57</v>
          </cell>
          <cell r="AF289">
            <v>1044.57</v>
          </cell>
          <cell r="AG289">
            <v>1010.5699999999999</v>
          </cell>
          <cell r="AH289">
            <v>1010.5699999999999</v>
          </cell>
          <cell r="AM289">
            <v>1084.25</v>
          </cell>
          <cell r="AN289">
            <v>898.46800000000007</v>
          </cell>
          <cell r="AO289">
            <v>773.26040000000012</v>
          </cell>
          <cell r="AP289">
            <v>655.54208000000017</v>
          </cell>
          <cell r="AQ289">
            <v>558.54208000000017</v>
          </cell>
          <cell r="AR289">
            <v>454.54208000000017</v>
          </cell>
          <cell r="AS289">
            <v>326.54208000000017</v>
          </cell>
        </row>
        <row r="290">
          <cell r="C290">
            <v>21702</v>
          </cell>
          <cell r="D290">
            <v>21041</v>
          </cell>
          <cell r="E290">
            <v>759.4</v>
          </cell>
          <cell r="F290">
            <v>726</v>
          </cell>
          <cell r="G290">
            <v>665</v>
          </cell>
          <cell r="H290">
            <v>462.40000000000003</v>
          </cell>
          <cell r="I290">
            <v>274.09456</v>
          </cell>
          <cell r="N290">
            <v>240.572</v>
          </cell>
          <cell r="S290">
            <v>130.44999999999999</v>
          </cell>
          <cell r="T290">
            <v>130.22</v>
          </cell>
          <cell r="U290">
            <v>105.22</v>
          </cell>
          <cell r="V290">
            <v>94.759999999999991</v>
          </cell>
          <cell r="W290">
            <v>107.76</v>
          </cell>
          <cell r="X290">
            <v>112.75999999999999</v>
          </cell>
          <cell r="Y290">
            <v>104.51899999999999</v>
          </cell>
          <cell r="Z290">
            <v>73.711999999999989</v>
          </cell>
          <cell r="AA290">
            <v>70.48899999999999</v>
          </cell>
          <cell r="AB290">
            <v>32.610999999999983</v>
          </cell>
          <cell r="AC290">
            <v>32.610999999999983</v>
          </cell>
          <cell r="AD290">
            <v>116.75999999999999</v>
          </cell>
          <cell r="AE290">
            <v>132.76</v>
          </cell>
          <cell r="AF290">
            <v>170.76</v>
          </cell>
          <cell r="AG290">
            <v>192.76</v>
          </cell>
          <cell r="AH290">
            <v>192.76</v>
          </cell>
          <cell r="AM290">
            <v>41.22999999999999</v>
          </cell>
          <cell r="AN290">
            <v>-20.82</v>
          </cell>
          <cell r="AO290">
            <v>-72.231999999999999</v>
          </cell>
          <cell r="AP290">
            <v>-79.231999999999999</v>
          </cell>
          <cell r="AQ290">
            <v>-79.231999999999999</v>
          </cell>
          <cell r="AR290">
            <v>-79.231999999999999</v>
          </cell>
          <cell r="AS290">
            <v>-79.231999999999999</v>
          </cell>
        </row>
        <row r="291">
          <cell r="H291">
            <v>34.1</v>
          </cell>
          <cell r="I291">
            <v>43.474559999999997</v>
          </cell>
          <cell r="N291">
            <v>40.200000000000003</v>
          </cell>
          <cell r="S291">
            <v>55.1</v>
          </cell>
          <cell r="T291">
            <v>55.870000000000005</v>
          </cell>
          <cell r="U291">
            <v>45.870000000000005</v>
          </cell>
          <cell r="V291">
            <v>41.93</v>
          </cell>
          <cell r="W291">
            <v>71.930000000000007</v>
          </cell>
          <cell r="X291">
            <v>74.38</v>
          </cell>
          <cell r="Y291">
            <v>66.658999999999992</v>
          </cell>
          <cell r="Z291">
            <v>50.321999999999989</v>
          </cell>
          <cell r="AA291">
            <v>47.618999999999986</v>
          </cell>
          <cell r="AB291">
            <v>24.210999999999984</v>
          </cell>
          <cell r="AC291">
            <v>24.210999999999984</v>
          </cell>
          <cell r="AD291">
            <v>82.38</v>
          </cell>
          <cell r="AE291">
            <v>110.38</v>
          </cell>
          <cell r="AF291">
            <v>149.38</v>
          </cell>
          <cell r="AG291">
            <v>185.38</v>
          </cell>
          <cell r="AH291">
            <v>185.38</v>
          </cell>
          <cell r="AM291">
            <v>22.289999999999992</v>
          </cell>
          <cell r="AN291">
            <v>-24.690000000000005</v>
          </cell>
          <cell r="AO291">
            <v>-72.102000000000004</v>
          </cell>
          <cell r="AP291">
            <v>-79.102000000000004</v>
          </cell>
          <cell r="AQ291">
            <v>-79.102000000000004</v>
          </cell>
          <cell r="AR291">
            <v>-79.102000000000004</v>
          </cell>
          <cell r="AS291">
            <v>-79.102000000000004</v>
          </cell>
        </row>
        <row r="292">
          <cell r="H292">
            <v>428.3</v>
          </cell>
          <cell r="I292">
            <v>230.62</v>
          </cell>
          <cell r="N292">
            <v>200.37199999999999</v>
          </cell>
          <cell r="S292">
            <v>75.349999999999994</v>
          </cell>
          <cell r="T292">
            <v>74.349999999999994</v>
          </cell>
          <cell r="U292">
            <v>59.349999999999994</v>
          </cell>
          <cell r="V292">
            <v>52.83</v>
          </cell>
          <cell r="W292">
            <v>35.83</v>
          </cell>
          <cell r="X292">
            <v>38.380000000000003</v>
          </cell>
          <cell r="Y292">
            <v>37.86</v>
          </cell>
          <cell r="Z292">
            <v>23.39</v>
          </cell>
          <cell r="AA292">
            <v>22.87</v>
          </cell>
          <cell r="AB292">
            <v>8.4</v>
          </cell>
          <cell r="AC292">
            <v>8.4</v>
          </cell>
          <cell r="AD292">
            <v>34.380000000000003</v>
          </cell>
          <cell r="AE292">
            <v>22.380000000000003</v>
          </cell>
          <cell r="AF292">
            <v>21.380000000000003</v>
          </cell>
          <cell r="AG292">
            <v>7.3800000000000026</v>
          </cell>
          <cell r="AH292">
            <v>7.3800000000000026</v>
          </cell>
          <cell r="AM292">
            <v>18.940000000000001</v>
          </cell>
          <cell r="AN292">
            <v>3.8700000000000028</v>
          </cell>
          <cell r="AO292">
            <v>-0.12999999999999723</v>
          </cell>
          <cell r="AP292">
            <v>-0.12999999999999723</v>
          </cell>
          <cell r="AQ292">
            <v>-0.12999999999999723</v>
          </cell>
          <cell r="AR292">
            <v>-0.12999999999999723</v>
          </cell>
          <cell r="AS292">
            <v>-0.12999999999999723</v>
          </cell>
        </row>
        <row r="293">
          <cell r="C293">
            <v>1285.8</v>
          </cell>
          <cell r="D293">
            <v>1375.1</v>
          </cell>
          <cell r="E293">
            <v>1371.8</v>
          </cell>
          <cell r="F293">
            <v>1263</v>
          </cell>
          <cell r="G293">
            <v>1417</v>
          </cell>
          <cell r="H293">
            <v>814.5</v>
          </cell>
          <cell r="I293">
            <v>745.5200000000001</v>
          </cell>
          <cell r="N293">
            <v>571.077</v>
          </cell>
          <cell r="S293">
            <v>309.81</v>
          </cell>
          <cell r="T293">
            <v>336.07</v>
          </cell>
          <cell r="U293">
            <v>333.28999999999996</v>
          </cell>
          <cell r="V293">
            <v>344.97999999999996</v>
          </cell>
          <cell r="W293">
            <v>352.97999999999996</v>
          </cell>
          <cell r="X293">
            <v>460.16999999999996</v>
          </cell>
          <cell r="Y293">
            <v>349.29</v>
          </cell>
          <cell r="Z293">
            <v>361.21800000000002</v>
          </cell>
          <cell r="AA293">
            <v>412.971</v>
          </cell>
          <cell r="AB293">
            <v>435.52799999999996</v>
          </cell>
          <cell r="AC293">
            <v>435.52799999999996</v>
          </cell>
          <cell r="AD293">
            <v>295.28999999999996</v>
          </cell>
          <cell r="AE293">
            <v>293.28999999999996</v>
          </cell>
          <cell r="AF293">
            <v>346.28999999999996</v>
          </cell>
          <cell r="AG293">
            <v>370.28999999999996</v>
          </cell>
          <cell r="AH293">
            <v>370.28999999999996</v>
          </cell>
          <cell r="AM293">
            <v>438.38999999999993</v>
          </cell>
          <cell r="AN293">
            <v>403.11199999999991</v>
          </cell>
          <cell r="AO293">
            <v>469.62599999999992</v>
          </cell>
          <cell r="AP293">
            <v>540.43709999999987</v>
          </cell>
          <cell r="AQ293">
            <v>616.76253299999985</v>
          </cell>
          <cell r="AR293">
            <v>702.67772898999988</v>
          </cell>
          <cell r="AS293">
            <v>791.26038085969992</v>
          </cell>
        </row>
        <row r="294">
          <cell r="H294">
            <v>682.4</v>
          </cell>
          <cell r="I294">
            <v>640.93900000000008</v>
          </cell>
          <cell r="N294">
            <v>484.37</v>
          </cell>
          <cell r="S294">
            <v>246.37</v>
          </cell>
          <cell r="T294">
            <v>273.07</v>
          </cell>
          <cell r="U294">
            <v>270.58</v>
          </cell>
          <cell r="V294">
            <v>282.27</v>
          </cell>
          <cell r="W294">
            <v>293.27</v>
          </cell>
          <cell r="X294">
            <v>403.71999999999997</v>
          </cell>
          <cell r="Y294">
            <v>293.91000000000003</v>
          </cell>
          <cell r="Z294">
            <v>308.928</v>
          </cell>
          <cell r="AA294">
            <v>361.43099999999998</v>
          </cell>
          <cell r="AB294">
            <v>386.65799999999996</v>
          </cell>
          <cell r="AC294">
            <v>386.65799999999996</v>
          </cell>
          <cell r="AD294">
            <v>238.83999999999997</v>
          </cell>
          <cell r="AE294">
            <v>236.83999999999997</v>
          </cell>
          <cell r="AF294">
            <v>290.83999999999997</v>
          </cell>
          <cell r="AG294">
            <v>317.83999999999997</v>
          </cell>
          <cell r="AH294">
            <v>317.83999999999997</v>
          </cell>
          <cell r="AM294">
            <v>382.19999999999993</v>
          </cell>
          <cell r="AN294">
            <v>360.65999999999991</v>
          </cell>
          <cell r="AO294">
            <v>442.02999999999992</v>
          </cell>
          <cell r="AP294">
            <v>525.84109999999987</v>
          </cell>
          <cell r="AQ294">
            <v>612.16653299999984</v>
          </cell>
          <cell r="AR294">
            <v>701.08172898999987</v>
          </cell>
          <cell r="AS294">
            <v>792.66438085969992</v>
          </cell>
        </row>
        <row r="295">
          <cell r="H295">
            <v>132.1</v>
          </cell>
          <cell r="I295">
            <v>104.581</v>
          </cell>
          <cell r="N295">
            <v>86.706999999999994</v>
          </cell>
          <cell r="S295">
            <v>63.44</v>
          </cell>
          <cell r="T295">
            <v>63</v>
          </cell>
          <cell r="U295">
            <v>62.709999999999994</v>
          </cell>
          <cell r="V295">
            <v>62.709999999999994</v>
          </cell>
          <cell r="W295">
            <v>59.709999999999994</v>
          </cell>
          <cell r="X295">
            <v>56.45</v>
          </cell>
          <cell r="Y295">
            <v>55.38</v>
          </cell>
          <cell r="Z295">
            <v>52.29</v>
          </cell>
          <cell r="AA295">
            <v>51.54</v>
          </cell>
          <cell r="AB295">
            <v>48.87</v>
          </cell>
          <cell r="AC295">
            <v>48.87</v>
          </cell>
          <cell r="AD295">
            <v>56.45</v>
          </cell>
          <cell r="AE295">
            <v>56.45</v>
          </cell>
          <cell r="AF295">
            <v>55.45</v>
          </cell>
          <cell r="AG295">
            <v>52.45</v>
          </cell>
          <cell r="AH295">
            <v>52.45</v>
          </cell>
          <cell r="AM295">
            <v>56.190000000000005</v>
          </cell>
          <cell r="AN295">
            <v>42.452000000000005</v>
          </cell>
          <cell r="AO295">
            <v>27.596000000000007</v>
          </cell>
          <cell r="AP295">
            <v>14.596000000000007</v>
          </cell>
          <cell r="AQ295">
            <v>4.5960000000000072</v>
          </cell>
          <cell r="AR295">
            <v>1.5960000000000072</v>
          </cell>
          <cell r="AS295">
            <v>-1.4039999999999928</v>
          </cell>
        </row>
        <row r="296">
          <cell r="E296">
            <v>18664</v>
          </cell>
          <cell r="F296">
            <v>17786.599999999999</v>
          </cell>
          <cell r="G296">
            <v>17551.3</v>
          </cell>
          <cell r="H296">
            <v>17473.8</v>
          </cell>
          <cell r="I296">
            <v>17558.560000000001</v>
          </cell>
          <cell r="N296">
            <v>17676.939999999999</v>
          </cell>
          <cell r="S296">
            <v>17608.150000000001</v>
          </cell>
          <cell r="T296">
            <v>17467.150000000001</v>
          </cell>
          <cell r="U296">
            <v>17467.150000000001</v>
          </cell>
          <cell r="V296">
            <v>13346.150000000001</v>
          </cell>
          <cell r="W296">
            <v>13046.150000000001</v>
          </cell>
          <cell r="X296">
            <v>12436.419999999998</v>
          </cell>
          <cell r="Y296">
            <v>12296.389649999997</v>
          </cell>
          <cell r="Z296">
            <v>11996.731649999998</v>
          </cell>
          <cell r="AA296">
            <v>11856.577649999997</v>
          </cell>
          <cell r="AB296">
            <v>11556.920649999998</v>
          </cell>
          <cell r="AC296">
            <v>11556.920649999998</v>
          </cell>
          <cell r="AD296">
            <v>12296.419999999998</v>
          </cell>
          <cell r="AE296">
            <v>11996.419999999998</v>
          </cell>
          <cell r="AF296">
            <v>11856.419999999998</v>
          </cell>
          <cell r="AG296">
            <v>11556.419999999998</v>
          </cell>
          <cell r="AH296">
            <v>11556.419999999998</v>
          </cell>
          <cell r="AM296">
            <v>11557.979999999998</v>
          </cell>
          <cell r="AN296">
            <v>10678.356999999998</v>
          </cell>
          <cell r="AO296">
            <v>9790.4179999999978</v>
          </cell>
          <cell r="AP296">
            <v>8902.4789999999975</v>
          </cell>
          <cell r="AQ296">
            <v>8014.5399999999972</v>
          </cell>
          <cell r="AR296">
            <v>7126.6009999999969</v>
          </cell>
          <cell r="AS296">
            <v>6238.6619999999966</v>
          </cell>
        </row>
        <row r="297">
          <cell r="C297">
            <v>1730</v>
          </cell>
          <cell r="D297">
            <v>1515.3</v>
          </cell>
          <cell r="E297">
            <v>1361.5</v>
          </cell>
          <cell r="F297">
            <v>1287</v>
          </cell>
          <cell r="G297">
            <v>1343</v>
          </cell>
          <cell r="H297">
            <v>1976.9939999999999</v>
          </cell>
          <cell r="I297">
            <v>1734.9939999999999</v>
          </cell>
          <cell r="N297">
            <v>1656.29</v>
          </cell>
          <cell r="S297">
            <v>1428.09</v>
          </cell>
          <cell r="T297">
            <v>1428.09</v>
          </cell>
          <cell r="U297">
            <v>1743.09</v>
          </cell>
          <cell r="V297">
            <v>5743.09</v>
          </cell>
          <cell r="W297">
            <v>5743.09</v>
          </cell>
          <cell r="X297">
            <v>5599.25</v>
          </cell>
          <cell r="Y297">
            <v>5599.25</v>
          </cell>
          <cell r="Z297">
            <v>5458.643</v>
          </cell>
          <cell r="AA297">
            <v>5458.643</v>
          </cell>
          <cell r="AB297">
            <v>5341.6990000000005</v>
          </cell>
          <cell r="AC297">
            <v>5341.6990000000005</v>
          </cell>
          <cell r="AD297">
            <v>5599.25</v>
          </cell>
          <cell r="AE297">
            <v>5459.25</v>
          </cell>
          <cell r="AF297">
            <v>5959.25</v>
          </cell>
          <cell r="AG297">
            <v>5342.25</v>
          </cell>
          <cell r="AH297">
            <v>5342.25</v>
          </cell>
          <cell r="AM297">
            <v>5585.75</v>
          </cell>
          <cell r="AN297">
            <v>8169.75</v>
          </cell>
          <cell r="AO297">
            <v>10785.75</v>
          </cell>
          <cell r="AP297">
            <v>13616.75</v>
          </cell>
          <cell r="AQ297">
            <v>17240.75</v>
          </cell>
          <cell r="AR297">
            <v>20594.75</v>
          </cell>
          <cell r="AS297">
            <v>24254.75</v>
          </cell>
        </row>
        <row r="299">
          <cell r="D299">
            <v>0</v>
          </cell>
          <cell r="E299">
            <v>133</v>
          </cell>
          <cell r="F299">
            <v>803</v>
          </cell>
          <cell r="G299">
            <v>2510</v>
          </cell>
          <cell r="H299">
            <v>4122</v>
          </cell>
          <cell r="I299">
            <v>3994</v>
          </cell>
          <cell r="N299">
            <v>4249</v>
          </cell>
          <cell r="S299">
            <v>4502.88</v>
          </cell>
          <cell r="T299">
            <v>4101.88</v>
          </cell>
          <cell r="U299">
            <v>4372.88</v>
          </cell>
          <cell r="V299">
            <v>6604.88</v>
          </cell>
          <cell r="W299">
            <v>6888.88</v>
          </cell>
          <cell r="X299">
            <v>6888.88</v>
          </cell>
          <cell r="Y299">
            <v>4847.45</v>
          </cell>
          <cell r="Z299">
            <v>5591.54</v>
          </cell>
          <cell r="AA299">
            <v>5639.2</v>
          </cell>
          <cell r="AB299">
            <v>5948.77</v>
          </cell>
          <cell r="AC299">
            <v>5948.77</v>
          </cell>
          <cell r="AD299">
            <v>7154.88</v>
          </cell>
          <cell r="AE299">
            <v>8756.880000000001</v>
          </cell>
          <cell r="AF299">
            <v>8577.880000000001</v>
          </cell>
          <cell r="AG299">
            <v>9387.880000000001</v>
          </cell>
          <cell r="AH299">
            <v>9387.880000000001</v>
          </cell>
          <cell r="AM299">
            <v>12459.880000000001</v>
          </cell>
          <cell r="AN299">
            <v>16090.060000000001</v>
          </cell>
          <cell r="AO299">
            <v>19779.968560794045</v>
          </cell>
          <cell r="AP299">
            <v>23536.240016017924</v>
          </cell>
          <cell r="AQ299">
            <v>27322.730791308139</v>
          </cell>
          <cell r="AR299">
            <v>30870.58786013069</v>
          </cell>
          <cell r="AS299">
            <v>35372.444928953249</v>
          </cell>
        </row>
        <row r="300">
          <cell r="D300">
            <v>0</v>
          </cell>
          <cell r="E300">
            <v>133</v>
          </cell>
          <cell r="F300">
            <v>803</v>
          </cell>
          <cell r="G300">
            <v>2510</v>
          </cell>
          <cell r="H300">
            <v>4122</v>
          </cell>
          <cell r="I300">
            <v>3994</v>
          </cell>
          <cell r="N300">
            <v>3740</v>
          </cell>
          <cell r="S300">
            <v>3203</v>
          </cell>
          <cell r="T300">
            <v>2607</v>
          </cell>
          <cell r="U300">
            <v>2674</v>
          </cell>
          <cell r="V300">
            <v>2608</v>
          </cell>
          <cell r="W300">
            <v>2549</v>
          </cell>
          <cell r="X300">
            <v>2549</v>
          </cell>
          <cell r="Y300">
            <v>2642</v>
          </cell>
          <cell r="Z300">
            <v>3350</v>
          </cell>
          <cell r="AA300">
            <v>3350</v>
          </cell>
          <cell r="AB300">
            <v>3651.12</v>
          </cell>
          <cell r="AC300">
            <v>3651.12</v>
          </cell>
          <cell r="AD300">
            <v>2707</v>
          </cell>
          <cell r="AE300">
            <v>4144</v>
          </cell>
          <cell r="AF300">
            <v>3840</v>
          </cell>
          <cell r="AG300">
            <v>4432</v>
          </cell>
          <cell r="AH300">
            <v>4432</v>
          </cell>
          <cell r="AM300">
            <v>6315</v>
          </cell>
          <cell r="AN300">
            <v>8145.18</v>
          </cell>
          <cell r="AO300">
            <v>10674.18</v>
          </cell>
          <cell r="AP300">
            <v>12693.18</v>
          </cell>
          <cell r="AQ300">
            <v>14541.18</v>
          </cell>
          <cell r="AR300">
            <v>16017.18</v>
          </cell>
          <cell r="AS300">
            <v>18447.18</v>
          </cell>
        </row>
        <row r="301">
          <cell r="N301">
            <v>509</v>
          </cell>
          <cell r="S301">
            <v>1299.8799999999999</v>
          </cell>
          <cell r="T301">
            <v>1494.8799999999999</v>
          </cell>
          <cell r="U301">
            <v>1698.8799999999999</v>
          </cell>
          <cell r="V301">
            <v>3996.88</v>
          </cell>
          <cell r="W301">
            <v>4339.88</v>
          </cell>
          <cell r="X301">
            <v>4339.88</v>
          </cell>
          <cell r="Y301">
            <v>2205.4499999999998</v>
          </cell>
          <cell r="Z301">
            <v>2241.54</v>
          </cell>
          <cell r="AA301">
            <v>2289.1999999999998</v>
          </cell>
          <cell r="AB301">
            <v>2297.65</v>
          </cell>
          <cell r="AC301">
            <v>2297.65</v>
          </cell>
          <cell r="AD301">
            <v>4447.88</v>
          </cell>
          <cell r="AE301">
            <v>4612.88</v>
          </cell>
          <cell r="AF301">
            <v>4737.88</v>
          </cell>
          <cell r="AG301">
            <v>4955.88</v>
          </cell>
          <cell r="AH301">
            <v>4955.88</v>
          </cell>
          <cell r="AM301">
            <v>6144.88</v>
          </cell>
          <cell r="AN301">
            <v>7944.88</v>
          </cell>
          <cell r="AO301">
            <v>9105.7885607940443</v>
          </cell>
          <cell r="AP301">
            <v>10843.060016017924</v>
          </cell>
          <cell r="AQ301">
            <v>12781.550791308138</v>
          </cell>
          <cell r="AR301">
            <v>14853.407860130692</v>
          </cell>
          <cell r="AS301">
            <v>16925.264928953246</v>
          </cell>
        </row>
        <row r="303">
          <cell r="D303">
            <v>998.10451999999998</v>
          </cell>
          <cell r="E303">
            <v>3011.7427668</v>
          </cell>
          <cell r="F303">
            <v>3248.9785719000001</v>
          </cell>
          <cell r="G303">
            <v>2946.28125</v>
          </cell>
          <cell r="H303">
            <v>2679.4815199999998</v>
          </cell>
          <cell r="I303">
            <v>2642.4189999999999</v>
          </cell>
          <cell r="N303">
            <v>2238.6689999999999</v>
          </cell>
          <cell r="S303">
            <v>2195.826</v>
          </cell>
          <cell r="T303">
            <v>2078.9630999999999</v>
          </cell>
          <cell r="U303">
            <v>1891.9802999999999</v>
          </cell>
          <cell r="V303">
            <v>1822.5419999999999</v>
          </cell>
          <cell r="W303">
            <v>1617.8107</v>
          </cell>
          <cell r="X303">
            <v>1617.8107</v>
          </cell>
          <cell r="Y303">
            <v>1583.7250307339998</v>
          </cell>
          <cell r="Z303">
            <v>1400.779344646</v>
          </cell>
          <cell r="AA303">
            <v>1362.4784920939999</v>
          </cell>
          <cell r="AB303">
            <v>1179.2325598599998</v>
          </cell>
          <cell r="AC303">
            <v>1179.23255986</v>
          </cell>
          <cell r="AD303">
            <v>1591</v>
          </cell>
          <cell r="AE303">
            <v>1378</v>
          </cell>
          <cell r="AF303">
            <v>1336.0870983393127</v>
          </cell>
          <cell r="AG303">
            <v>1190.2693655855844</v>
          </cell>
          <cell r="AH303">
            <v>1190.2693655855844</v>
          </cell>
          <cell r="AM303">
            <v>1226</v>
          </cell>
          <cell r="AN303">
            <v>760.24467340799993</v>
          </cell>
          <cell r="AO303">
            <v>218.33258616000001</v>
          </cell>
          <cell r="AP303">
            <v>-0.10320627939758796</v>
          </cell>
          <cell r="AQ303">
            <v>-0.10149669529973945</v>
          </cell>
          <cell r="AR303">
            <v>-9.9815429999978389E-2</v>
          </cell>
          <cell r="AS303">
            <v>-9.9815429999978389E-2</v>
          </cell>
        </row>
        <row r="305">
          <cell r="E305">
            <v>0</v>
          </cell>
          <cell r="F305">
            <v>177</v>
          </cell>
          <cell r="G305">
            <v>355</v>
          </cell>
          <cell r="H305">
            <v>355</v>
          </cell>
          <cell r="I305">
            <v>355</v>
          </cell>
          <cell r="N305">
            <v>355</v>
          </cell>
          <cell r="S305">
            <v>213</v>
          </cell>
          <cell r="T305">
            <v>213</v>
          </cell>
          <cell r="U305">
            <v>213</v>
          </cell>
          <cell r="V305">
            <v>214</v>
          </cell>
          <cell r="W305">
            <v>293</v>
          </cell>
          <cell r="X305">
            <v>293</v>
          </cell>
          <cell r="Y305">
            <v>68</v>
          </cell>
          <cell r="Z305">
            <v>54</v>
          </cell>
          <cell r="AA305">
            <v>54</v>
          </cell>
          <cell r="AB305">
            <v>40</v>
          </cell>
          <cell r="AC305">
            <v>40</v>
          </cell>
          <cell r="AD305">
            <v>293</v>
          </cell>
          <cell r="AE305">
            <v>286</v>
          </cell>
          <cell r="AF305">
            <v>286</v>
          </cell>
          <cell r="AG305">
            <v>279</v>
          </cell>
          <cell r="AH305">
            <v>279</v>
          </cell>
          <cell r="AM305">
            <v>279</v>
          </cell>
          <cell r="AN305">
            <v>279</v>
          </cell>
          <cell r="AO305">
            <v>279</v>
          </cell>
          <cell r="AP305">
            <v>279</v>
          </cell>
          <cell r="AQ305">
            <v>279</v>
          </cell>
          <cell r="AR305">
            <v>279</v>
          </cell>
          <cell r="AS305">
            <v>279</v>
          </cell>
        </row>
        <row r="307">
          <cell r="C307">
            <v>0</v>
          </cell>
          <cell r="D307">
            <v>0</v>
          </cell>
          <cell r="E307">
            <v>245</v>
          </cell>
          <cell r="F307">
            <v>687</v>
          </cell>
          <cell r="G307">
            <v>1052</v>
          </cell>
          <cell r="H307">
            <v>2</v>
          </cell>
          <cell r="I307">
            <v>0</v>
          </cell>
          <cell r="N307">
            <v>135</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M307">
            <v>0</v>
          </cell>
          <cell r="AN307">
            <v>0</v>
          </cell>
          <cell r="AO307">
            <v>0</v>
          </cell>
          <cell r="AP307">
            <v>0</v>
          </cell>
          <cell r="AQ307">
            <v>0</v>
          </cell>
          <cell r="AR307">
            <v>0</v>
          </cell>
          <cell r="AS307">
            <v>0</v>
          </cell>
        </row>
        <row r="309">
          <cell r="C309">
            <v>25636.5</v>
          </cell>
          <cell r="D309">
            <v>26864.204519999999</v>
          </cell>
          <cell r="E309">
            <v>28622.8427668</v>
          </cell>
          <cell r="F309">
            <v>29984.878571899997</v>
          </cell>
          <cell r="G309">
            <v>32437.581249999999</v>
          </cell>
          <cell r="H309">
            <v>33094.79552</v>
          </cell>
          <cell r="I309">
            <v>33114.242559999999</v>
          </cell>
          <cell r="N309">
            <v>33052.711739999999</v>
          </cell>
          <cell r="S309">
            <v>31499.246000000003</v>
          </cell>
          <cell r="T309">
            <v>30687.513100000004</v>
          </cell>
          <cell r="U309">
            <v>31004.790300000001</v>
          </cell>
          <cell r="V309">
            <v>32943.652000000002</v>
          </cell>
          <cell r="W309">
            <v>32782.510700000006</v>
          </cell>
          <cell r="X309">
            <v>32053.040699999998</v>
          </cell>
          <cell r="Y309">
            <v>29245.727680733995</v>
          </cell>
          <cell r="Z309">
            <v>29322.397994646002</v>
          </cell>
          <cell r="AA309">
            <v>29218.951142094</v>
          </cell>
          <cell r="AB309">
            <v>28964.577209859995</v>
          </cell>
          <cell r="AC309">
            <v>28964.577209859995</v>
          </cell>
          <cell r="AD309">
            <v>31789.89</v>
          </cell>
          <cell r="AE309">
            <v>32779.89</v>
          </cell>
          <cell r="AF309">
            <v>32954.97709833931</v>
          </cell>
          <cell r="AG309">
            <v>32915.159365585583</v>
          </cell>
          <cell r="AH309">
            <v>32915.159365585583</v>
          </cell>
          <cell r="AM309">
            <v>36376.92</v>
          </cell>
          <cell r="AN309">
            <v>41254.262673407997</v>
          </cell>
          <cell r="AO309">
            <v>46216.47397552547</v>
          </cell>
          <cell r="AP309">
            <v>51659.586118309955</v>
          </cell>
          <cell r="AQ309">
            <v>58259.102897184268</v>
          </cell>
          <cell r="AR309">
            <v>64043.390920092112</v>
          </cell>
          <cell r="AS309">
            <v>71018.390719919276</v>
          </cell>
        </row>
        <row r="310">
          <cell r="C310">
            <v>0.45530987633115766</v>
          </cell>
          <cell r="D310">
            <v>0.60366201099629235</v>
          </cell>
          <cell r="E310">
            <v>0.59146926438655723</v>
          </cell>
          <cell r="F310">
            <v>0.56151457999812726</v>
          </cell>
          <cell r="G310">
            <v>0.53696325469258566</v>
          </cell>
          <cell r="H310">
            <v>0.55276109063494627</v>
          </cell>
          <cell r="I310">
            <v>0.56761819811780978</v>
          </cell>
          <cell r="N310">
            <v>0.42820974345315205</v>
          </cell>
          <cell r="S310">
            <v>0.44652720063836171</v>
          </cell>
          <cell r="X310">
            <v>0.36245111409896552</v>
          </cell>
          <cell r="AC310">
            <v>0.303449359319305</v>
          </cell>
          <cell r="AH310">
            <v>0.3464220885757191</v>
          </cell>
          <cell r="AM310">
            <v>0.38285607134345567</v>
          </cell>
          <cell r="AN310">
            <v>0.42595989595602501</v>
          </cell>
          <cell r="AO310">
            <v>0.46087692222150939</v>
          </cell>
          <cell r="AP310">
            <v>0.48118635531943732</v>
          </cell>
          <cell r="AQ310">
            <v>0.521959801072437</v>
          </cell>
          <cell r="AR310">
            <v>0.55231608967380974</v>
          </cell>
          <cell r="AS310">
            <v>0.58946637559858572</v>
          </cell>
        </row>
        <row r="312">
          <cell r="C312">
            <v>4500</v>
          </cell>
          <cell r="D312">
            <v>1856</v>
          </cell>
          <cell r="E312">
            <v>1250</v>
          </cell>
          <cell r="F312">
            <v>1978</v>
          </cell>
          <cell r="G312">
            <v>2036</v>
          </cell>
          <cell r="H312">
            <v>1777</v>
          </cell>
          <cell r="I312">
            <v>2493</v>
          </cell>
          <cell r="N312">
            <v>1354</v>
          </cell>
          <cell r="S312">
            <v>1796</v>
          </cell>
          <cell r="T312">
            <v>1699</v>
          </cell>
          <cell r="U312">
            <v>2111</v>
          </cell>
          <cell r="V312">
            <v>2226</v>
          </cell>
          <cell r="W312">
            <v>2078</v>
          </cell>
          <cell r="X312">
            <v>2078</v>
          </cell>
          <cell r="Y312">
            <v>2039.3857280000002</v>
          </cell>
          <cell r="Z312">
            <v>2088.0419200000001</v>
          </cell>
          <cell r="AA312">
            <v>2172.2181120000005</v>
          </cell>
          <cell r="AB312">
            <v>2113.3219200000003</v>
          </cell>
          <cell r="AC312">
            <v>2113.3219200000003</v>
          </cell>
          <cell r="AD312">
            <v>1775</v>
          </cell>
          <cell r="AE312">
            <v>1910</v>
          </cell>
          <cell r="AF312">
            <v>1994.28277453076</v>
          </cell>
          <cell r="AG312">
            <v>1910</v>
          </cell>
          <cell r="AH312">
            <v>1910</v>
          </cell>
          <cell r="AM312">
            <v>1549</v>
          </cell>
          <cell r="AN312">
            <v>1657.5922391194347</v>
          </cell>
          <cell r="AO312">
            <v>2245.4953840385647</v>
          </cell>
          <cell r="AP312">
            <v>2356.0193882762023</v>
          </cell>
          <cell r="AQ312">
            <v>2461.2054835943268</v>
          </cell>
          <cell r="AR312">
            <v>2574.5952617355206</v>
          </cell>
          <cell r="AS312">
            <v>2697.2684472465489</v>
          </cell>
        </row>
        <row r="313">
          <cell r="C313">
            <v>4500</v>
          </cell>
          <cell r="D313">
            <v>1221</v>
          </cell>
          <cell r="E313">
            <v>338</v>
          </cell>
          <cell r="F313">
            <v>605</v>
          </cell>
          <cell r="G313">
            <v>598</v>
          </cell>
          <cell r="H313">
            <v>871</v>
          </cell>
          <cell r="I313">
            <v>1830</v>
          </cell>
          <cell r="N313">
            <v>880</v>
          </cell>
          <cell r="S313">
            <v>755</v>
          </cell>
          <cell r="T313">
            <v>658</v>
          </cell>
          <cell r="U313">
            <v>1028</v>
          </cell>
          <cell r="V313">
            <v>1202</v>
          </cell>
          <cell r="W313">
            <v>939</v>
          </cell>
          <cell r="X313">
            <v>939</v>
          </cell>
          <cell r="Y313">
            <v>916.38572800000009</v>
          </cell>
          <cell r="Z313">
            <v>965.04192000000012</v>
          </cell>
          <cell r="AA313">
            <v>1049.2181120000002</v>
          </cell>
          <cell r="AB313">
            <v>990.32192000000009</v>
          </cell>
          <cell r="AC313">
            <v>990.32192000000009</v>
          </cell>
          <cell r="AD313">
            <v>804</v>
          </cell>
          <cell r="AE313">
            <v>779</v>
          </cell>
          <cell r="AF313">
            <v>863.28277453075998</v>
          </cell>
          <cell r="AG313">
            <v>779</v>
          </cell>
          <cell r="AH313">
            <v>779</v>
          </cell>
          <cell r="AM313">
            <v>571</v>
          </cell>
          <cell r="AN313">
            <v>679.59223911943468</v>
          </cell>
          <cell r="AO313">
            <v>1267.4953840385647</v>
          </cell>
          <cell r="AP313">
            <v>1378.0193882762021</v>
          </cell>
          <cell r="AQ313">
            <v>1483.2054835943268</v>
          </cell>
          <cell r="AR313">
            <v>1596.5952617355206</v>
          </cell>
          <cell r="AS313">
            <v>1719.2684472465492</v>
          </cell>
        </row>
        <row r="314">
          <cell r="D314">
            <v>635</v>
          </cell>
          <cell r="E314">
            <v>703</v>
          </cell>
          <cell r="F314">
            <v>1027</v>
          </cell>
          <cell r="G314">
            <v>1115</v>
          </cell>
          <cell r="H314">
            <v>457</v>
          </cell>
          <cell r="I314">
            <v>96</v>
          </cell>
          <cell r="N314">
            <v>317</v>
          </cell>
          <cell r="S314">
            <v>379</v>
          </cell>
          <cell r="T314">
            <v>379</v>
          </cell>
          <cell r="U314">
            <v>421</v>
          </cell>
          <cell r="V314">
            <v>362</v>
          </cell>
          <cell r="W314">
            <v>477</v>
          </cell>
          <cell r="X314">
            <v>477</v>
          </cell>
          <cell r="Y314">
            <v>461</v>
          </cell>
          <cell r="Z314">
            <v>461</v>
          </cell>
          <cell r="AA314">
            <v>461</v>
          </cell>
          <cell r="AB314">
            <v>461</v>
          </cell>
          <cell r="AC314">
            <v>461</v>
          </cell>
          <cell r="AD314">
            <v>309</v>
          </cell>
          <cell r="AE314">
            <v>469</v>
          </cell>
          <cell r="AF314">
            <v>469</v>
          </cell>
          <cell r="AG314">
            <v>469</v>
          </cell>
          <cell r="AH314">
            <v>469</v>
          </cell>
          <cell r="AM314">
            <v>316</v>
          </cell>
          <cell r="AN314">
            <v>316</v>
          </cell>
          <cell r="AO314">
            <v>316</v>
          </cell>
          <cell r="AP314">
            <v>316</v>
          </cell>
          <cell r="AQ314">
            <v>316</v>
          </cell>
          <cell r="AR314">
            <v>316</v>
          </cell>
          <cell r="AS314">
            <v>316</v>
          </cell>
        </row>
        <row r="315">
          <cell r="D315">
            <v>0</v>
          </cell>
          <cell r="E315">
            <v>209</v>
          </cell>
          <cell r="F315">
            <v>346</v>
          </cell>
          <cell r="G315">
            <v>323</v>
          </cell>
          <cell r="H315">
            <v>449</v>
          </cell>
          <cell r="I315">
            <v>567</v>
          </cell>
          <cell r="N315">
            <v>157</v>
          </cell>
          <cell r="S315">
            <v>662</v>
          </cell>
          <cell r="T315">
            <v>662</v>
          </cell>
          <cell r="U315">
            <v>662</v>
          </cell>
          <cell r="V315">
            <v>662</v>
          </cell>
          <cell r="W315">
            <v>662</v>
          </cell>
          <cell r="X315">
            <v>662</v>
          </cell>
          <cell r="Y315">
            <v>662</v>
          </cell>
          <cell r="Z315">
            <v>662</v>
          </cell>
          <cell r="AA315">
            <v>662</v>
          </cell>
          <cell r="AB315">
            <v>662</v>
          </cell>
          <cell r="AC315">
            <v>662</v>
          </cell>
          <cell r="AD315">
            <v>662</v>
          </cell>
          <cell r="AE315">
            <v>662</v>
          </cell>
          <cell r="AF315">
            <v>662</v>
          </cell>
          <cell r="AG315">
            <v>662</v>
          </cell>
          <cell r="AH315">
            <v>662</v>
          </cell>
          <cell r="AM315">
            <v>662</v>
          </cell>
          <cell r="AN315">
            <v>662</v>
          </cell>
          <cell r="AO315">
            <v>662</v>
          </cell>
          <cell r="AP315">
            <v>662</v>
          </cell>
          <cell r="AQ315">
            <v>662</v>
          </cell>
          <cell r="AR315">
            <v>662</v>
          </cell>
          <cell r="AS315">
            <v>662</v>
          </cell>
        </row>
        <row r="317">
          <cell r="C317">
            <v>3983.1</v>
          </cell>
          <cell r="D317">
            <v>4559</v>
          </cell>
          <cell r="E317">
            <v>4873</v>
          </cell>
          <cell r="F317">
            <v>4442</v>
          </cell>
          <cell r="G317">
            <v>4750</v>
          </cell>
          <cell r="H317">
            <v>5093</v>
          </cell>
          <cell r="I317">
            <v>4477</v>
          </cell>
          <cell r="N317">
            <v>3715</v>
          </cell>
          <cell r="S317">
            <v>3037</v>
          </cell>
          <cell r="T317">
            <v>3157</v>
          </cell>
          <cell r="U317">
            <v>4022</v>
          </cell>
          <cell r="V317">
            <v>3888</v>
          </cell>
          <cell r="W317">
            <v>3734</v>
          </cell>
          <cell r="X317">
            <v>3734</v>
          </cell>
          <cell r="Y317">
            <v>3671.75</v>
          </cell>
          <cell r="Z317">
            <v>3674.5</v>
          </cell>
          <cell r="AA317">
            <v>3678.25</v>
          </cell>
          <cell r="AB317">
            <v>3683</v>
          </cell>
          <cell r="AC317">
            <v>3683</v>
          </cell>
          <cell r="AD317">
            <v>3778</v>
          </cell>
          <cell r="AE317">
            <v>3646</v>
          </cell>
          <cell r="AF317">
            <v>3537.3125</v>
          </cell>
          <cell r="AG317">
            <v>3429.625</v>
          </cell>
          <cell r="AH317">
            <v>3429.625</v>
          </cell>
          <cell r="AM317">
            <v>3496</v>
          </cell>
          <cell r="AN317">
            <v>3226</v>
          </cell>
          <cell r="AO317">
            <v>3292.8</v>
          </cell>
          <cell r="AP317">
            <v>2813.8</v>
          </cell>
          <cell r="AQ317">
            <v>1860.8000000000002</v>
          </cell>
          <cell r="AR317">
            <v>290.80000000000018</v>
          </cell>
          <cell r="AS317">
            <v>-1388.1999999999998</v>
          </cell>
        </row>
        <row r="318">
          <cell r="C318">
            <v>3983.1</v>
          </cell>
          <cell r="D318">
            <v>4559</v>
          </cell>
          <cell r="E318">
            <v>4873</v>
          </cell>
          <cell r="F318">
            <v>4442</v>
          </cell>
          <cell r="G318">
            <v>4750</v>
          </cell>
          <cell r="H318">
            <v>5093</v>
          </cell>
          <cell r="I318">
            <v>4477</v>
          </cell>
          <cell r="N318">
            <v>3715</v>
          </cell>
          <cell r="S318">
            <v>3037</v>
          </cell>
          <cell r="T318">
            <v>3157</v>
          </cell>
          <cell r="U318">
            <v>4022</v>
          </cell>
          <cell r="V318">
            <v>3888</v>
          </cell>
          <cell r="W318">
            <v>3734</v>
          </cell>
          <cell r="X318">
            <v>3734</v>
          </cell>
          <cell r="Y318">
            <v>3671.75</v>
          </cell>
          <cell r="Z318">
            <v>3674.5</v>
          </cell>
          <cell r="AA318">
            <v>3678.25</v>
          </cell>
          <cell r="AB318">
            <v>3683</v>
          </cell>
          <cell r="AC318">
            <v>3683</v>
          </cell>
          <cell r="AD318">
            <v>3778</v>
          </cell>
          <cell r="AE318">
            <v>3646</v>
          </cell>
          <cell r="AF318">
            <v>3537.3125</v>
          </cell>
          <cell r="AG318">
            <v>3429.625</v>
          </cell>
          <cell r="AH318">
            <v>3429.625</v>
          </cell>
          <cell r="AM318">
            <v>3496</v>
          </cell>
          <cell r="AN318">
            <v>3226</v>
          </cell>
          <cell r="AO318">
            <v>3292.8</v>
          </cell>
          <cell r="AP318">
            <v>2813.8</v>
          </cell>
          <cell r="AQ318">
            <v>1860.8000000000002</v>
          </cell>
          <cell r="AR318">
            <v>290.80000000000018</v>
          </cell>
          <cell r="AS318">
            <v>-1388.1999999999998</v>
          </cell>
        </row>
        <row r="319">
          <cell r="T319">
            <v>0</v>
          </cell>
          <cell r="U319">
            <v>1000</v>
          </cell>
          <cell r="V319">
            <v>1000</v>
          </cell>
          <cell r="W319">
            <v>1000</v>
          </cell>
          <cell r="X319">
            <v>1000</v>
          </cell>
          <cell r="Y319">
            <v>1274.75</v>
          </cell>
          <cell r="Z319">
            <v>1549.5</v>
          </cell>
          <cell r="AA319">
            <v>1824.25</v>
          </cell>
          <cell r="AB319">
            <v>2099</v>
          </cell>
          <cell r="AC319">
            <v>2099</v>
          </cell>
          <cell r="AD319">
            <v>1192.3125</v>
          </cell>
          <cell r="AE319">
            <v>1224.625</v>
          </cell>
          <cell r="AF319">
            <v>1336.9375</v>
          </cell>
          <cell r="AG319">
            <v>1449.25</v>
          </cell>
          <cell r="AH319">
            <v>1449.25</v>
          </cell>
          <cell r="AM319">
            <v>1000</v>
          </cell>
          <cell r="AN319">
            <v>1831.25</v>
          </cell>
          <cell r="AO319">
            <v>2348.0500000000002</v>
          </cell>
          <cell r="AP319">
            <v>1969.0500000000002</v>
          </cell>
          <cell r="AQ319">
            <v>1116.0500000000002</v>
          </cell>
          <cell r="AR319">
            <v>-103.94999999999982</v>
          </cell>
          <cell r="AS319">
            <v>-1432.9499999999998</v>
          </cell>
        </row>
        <row r="320">
          <cell r="T320">
            <v>208.25</v>
          </cell>
          <cell r="U320">
            <v>416.5</v>
          </cell>
          <cell r="V320">
            <v>624.75</v>
          </cell>
          <cell r="W320">
            <v>833</v>
          </cell>
          <cell r="X320">
            <v>833</v>
          </cell>
          <cell r="Y320">
            <v>990.75</v>
          </cell>
          <cell r="Z320">
            <v>1148.5</v>
          </cell>
          <cell r="AA320">
            <v>1306.25</v>
          </cell>
          <cell r="AB320">
            <v>1464</v>
          </cell>
          <cell r="AC320">
            <v>1464</v>
          </cell>
          <cell r="AD320">
            <v>990.75</v>
          </cell>
          <cell r="AE320">
            <v>1148.5</v>
          </cell>
          <cell r="AF320">
            <v>1306.25</v>
          </cell>
          <cell r="AG320">
            <v>1464</v>
          </cell>
          <cell r="AH320">
            <v>1464</v>
          </cell>
          <cell r="AM320">
            <v>1464</v>
          </cell>
          <cell r="AN320">
            <v>2465</v>
          </cell>
          <cell r="AO320">
            <v>3465</v>
          </cell>
          <cell r="AP320">
            <v>3465</v>
          </cell>
          <cell r="AQ320">
            <v>3051</v>
          </cell>
          <cell r="AR320">
            <v>2318</v>
          </cell>
          <cell r="AS320">
            <v>1493</v>
          </cell>
        </row>
        <row r="321">
          <cell r="T321">
            <v>110.02298638169962</v>
          </cell>
          <cell r="U321">
            <v>220.04597276339925</v>
          </cell>
          <cell r="V321">
            <v>330.06895914509886</v>
          </cell>
          <cell r="W321">
            <v>440.0919455267985</v>
          </cell>
          <cell r="X321">
            <v>440.0919455267985</v>
          </cell>
          <cell r="Y321">
            <v>599.09194552679855</v>
          </cell>
          <cell r="Z321">
            <v>758.09194552679855</v>
          </cell>
          <cell r="AA321">
            <v>917.09194552679855</v>
          </cell>
          <cell r="AB321">
            <v>1076.0919455267986</v>
          </cell>
          <cell r="AC321">
            <v>1076.0919455267986</v>
          </cell>
          <cell r="AD321">
            <v>599.09194552679855</v>
          </cell>
          <cell r="AE321">
            <v>758.09194552679855</v>
          </cell>
          <cell r="AF321">
            <v>917.09194552679855</v>
          </cell>
          <cell r="AG321">
            <v>1076.0919455267986</v>
          </cell>
          <cell r="AH321">
            <v>1076.0919455267986</v>
          </cell>
          <cell r="AM321">
            <v>1076.0919455267986</v>
          </cell>
          <cell r="AN321">
            <v>2422.0919455267986</v>
          </cell>
          <cell r="AO321">
            <v>3618.0919455267986</v>
          </cell>
          <cell r="AP321">
            <v>3445.0919455267986</v>
          </cell>
          <cell r="AQ321">
            <v>3445.0919455267986</v>
          </cell>
          <cell r="AR321">
            <v>3706.0919455267986</v>
          </cell>
          <cell r="AS321">
            <v>3786.0919455267986</v>
          </cell>
        </row>
        <row r="322">
          <cell r="N322">
            <v>3715</v>
          </cell>
          <cell r="S322">
            <v>3037</v>
          </cell>
          <cell r="T322">
            <v>3157</v>
          </cell>
          <cell r="U322">
            <v>3022</v>
          </cell>
          <cell r="V322">
            <v>2888</v>
          </cell>
          <cell r="W322">
            <v>2734</v>
          </cell>
          <cell r="X322">
            <v>2734</v>
          </cell>
          <cell r="Y322">
            <v>2397</v>
          </cell>
          <cell r="Z322">
            <v>2125</v>
          </cell>
          <cell r="AA322">
            <v>1854</v>
          </cell>
          <cell r="AB322">
            <v>1584</v>
          </cell>
          <cell r="AC322">
            <v>1584</v>
          </cell>
          <cell r="AD322">
            <v>2585.6875</v>
          </cell>
          <cell r="AE322">
            <v>2421.375</v>
          </cell>
          <cell r="AF322">
            <v>2200.375</v>
          </cell>
          <cell r="AG322">
            <v>1980.375</v>
          </cell>
          <cell r="AH322">
            <v>1980.375</v>
          </cell>
          <cell r="AM322">
            <v>2496</v>
          </cell>
          <cell r="AN322">
            <v>1394.75</v>
          </cell>
          <cell r="AO322">
            <v>944.75</v>
          </cell>
          <cell r="AP322">
            <v>844.75</v>
          </cell>
          <cell r="AQ322">
            <v>744.75</v>
          </cell>
          <cell r="AR322">
            <v>394.75</v>
          </cell>
          <cell r="AS322">
            <v>44.75</v>
          </cell>
        </row>
        <row r="324">
          <cell r="C324">
            <v>34119.599999999999</v>
          </cell>
          <cell r="D324">
            <v>33279.204519999999</v>
          </cell>
          <cell r="E324">
            <v>34745.8427668</v>
          </cell>
          <cell r="F324">
            <v>36404.878571900001</v>
          </cell>
          <cell r="G324">
            <v>39223.581250000003</v>
          </cell>
          <cell r="H324">
            <v>39964.79552</v>
          </cell>
          <cell r="I324">
            <v>40084.242559999999</v>
          </cell>
          <cell r="N324">
            <v>38121.711739999999</v>
          </cell>
          <cell r="S324">
            <v>36332.245999999999</v>
          </cell>
          <cell r="T324">
            <v>35543.513100000004</v>
          </cell>
          <cell r="U324">
            <v>37137.790300000001</v>
          </cell>
          <cell r="V324">
            <v>39057.652000000002</v>
          </cell>
          <cell r="W324">
            <v>38594.510700000006</v>
          </cell>
          <cell r="X324">
            <v>37865.040699999998</v>
          </cell>
          <cell r="Y324">
            <v>34956.863408733996</v>
          </cell>
          <cell r="Z324">
            <v>35084.939914646005</v>
          </cell>
          <cell r="AA324">
            <v>35069.419254093998</v>
          </cell>
          <cell r="AB324">
            <v>34760.899129859994</v>
          </cell>
          <cell r="AC324">
            <v>34760.899129859994</v>
          </cell>
          <cell r="AD324">
            <v>37342.89</v>
          </cell>
          <cell r="AE324">
            <v>38335.89</v>
          </cell>
          <cell r="AF324">
            <v>38486.572372870069</v>
          </cell>
          <cell r="AG324">
            <v>38254.784365585583</v>
          </cell>
          <cell r="AH324">
            <v>38254.784365585583</v>
          </cell>
          <cell r="AM324">
            <v>41421.919999999998</v>
          </cell>
          <cell r="AN324">
            <v>46137.854912527429</v>
          </cell>
          <cell r="AO324">
            <v>51754.769359564038</v>
          </cell>
          <cell r="AP324">
            <v>56829.405506586161</v>
          </cell>
          <cell r="AQ324">
            <v>62581.108380778598</v>
          </cell>
          <cell r="AR324">
            <v>66908.786181827629</v>
          </cell>
          <cell r="AS324">
            <v>72327.459167165827</v>
          </cell>
        </row>
        <row r="325">
          <cell r="C325">
            <v>0.60597159738921325</v>
          </cell>
          <cell r="D325">
            <v>0.7478126333479872</v>
          </cell>
          <cell r="E325">
            <v>0.7179963999106217</v>
          </cell>
          <cell r="F325">
            <v>0.68173929909925091</v>
          </cell>
          <cell r="G325">
            <v>0.64929692773252257</v>
          </cell>
          <cell r="H325">
            <v>0.66750628343624874</v>
          </cell>
          <cell r="I325">
            <v>0.68709243442904899</v>
          </cell>
          <cell r="N325">
            <v>0.49388045775455086</v>
          </cell>
          <cell r="S325">
            <v>0.51503887106644752</v>
          </cell>
          <cell r="X325">
            <v>0.42817236328900538</v>
          </cell>
          <cell r="AC325">
            <v>0.36417491938146568</v>
          </cell>
          <cell r="AH325">
            <v>0.40262002534296881</v>
          </cell>
          <cell r="AM325">
            <v>0.43595316917163179</v>
          </cell>
          <cell r="AN325">
            <v>0.47638412626005722</v>
          </cell>
          <cell r="AO325">
            <v>0.51610555200189856</v>
          </cell>
          <cell r="AP325">
            <v>0.52934095228827915</v>
          </cell>
          <cell r="AQ325">
            <v>0.56068187213542819</v>
          </cell>
          <cell r="AR325">
            <v>0.57702752177624583</v>
          </cell>
          <cell r="AS325">
            <v>0.60033189684155663</v>
          </cell>
        </row>
        <row r="330">
          <cell r="B330">
            <v>1987</v>
          </cell>
          <cell r="C330">
            <v>1988</v>
          </cell>
          <cell r="D330">
            <v>1989</v>
          </cell>
          <cell r="E330">
            <v>1990</v>
          </cell>
          <cell r="F330">
            <v>1991</v>
          </cell>
          <cell r="G330">
            <v>1992</v>
          </cell>
          <cell r="H330">
            <v>1993</v>
          </cell>
          <cell r="I330">
            <v>1994</v>
          </cell>
          <cell r="J330" t="str">
            <v>1995</v>
          </cell>
          <cell r="K330" t="str">
            <v>1995</v>
          </cell>
          <cell r="L330" t="str">
            <v>1995</v>
          </cell>
          <cell r="M330" t="str">
            <v>1995</v>
          </cell>
          <cell r="N330">
            <v>1995</v>
          </cell>
          <cell r="O330">
            <v>1996</v>
          </cell>
          <cell r="P330">
            <v>1996</v>
          </cell>
          <cell r="Q330">
            <v>1996</v>
          </cell>
          <cell r="R330">
            <v>1996</v>
          </cell>
          <cell r="S330">
            <v>1996</v>
          </cell>
          <cell r="T330">
            <v>1997</v>
          </cell>
          <cell r="U330">
            <v>1997</v>
          </cell>
          <cell r="V330">
            <v>1997</v>
          </cell>
          <cell r="W330">
            <v>1997</v>
          </cell>
          <cell r="X330">
            <v>1997</v>
          </cell>
          <cell r="Y330">
            <v>1998</v>
          </cell>
          <cell r="Z330">
            <v>1998</v>
          </cell>
          <cell r="AA330">
            <v>1998</v>
          </cell>
          <cell r="AB330">
            <v>1998</v>
          </cell>
          <cell r="AC330">
            <v>1998</v>
          </cell>
          <cell r="AD330">
            <v>1998</v>
          </cell>
          <cell r="AE330">
            <v>1998</v>
          </cell>
          <cell r="AF330">
            <v>1998</v>
          </cell>
          <cell r="AG330">
            <v>1998</v>
          </cell>
          <cell r="AH330">
            <v>1998</v>
          </cell>
          <cell r="AM330">
            <v>1999</v>
          </cell>
          <cell r="AN330">
            <v>1999</v>
          </cell>
          <cell r="AO330">
            <v>2000</v>
          </cell>
          <cell r="AP330">
            <v>2001</v>
          </cell>
          <cell r="AQ330">
            <v>2002</v>
          </cell>
          <cell r="AR330">
            <v>2003</v>
          </cell>
          <cell r="AS330">
            <v>2004</v>
          </cell>
        </row>
        <row r="331">
          <cell r="J331" t="str">
            <v>Q1</v>
          </cell>
          <cell r="K331" t="str">
            <v>Q2</v>
          </cell>
          <cell r="L331" t="str">
            <v>Q3</v>
          </cell>
          <cell r="M331" t="str">
            <v>Q4</v>
          </cell>
          <cell r="O331" t="str">
            <v>Q1</v>
          </cell>
          <cell r="P331" t="str">
            <v>Q2</v>
          </cell>
          <cell r="Q331" t="str">
            <v>Q3</v>
          </cell>
          <cell r="R331" t="str">
            <v>Q4</v>
          </cell>
          <cell r="T331" t="str">
            <v>Q1</v>
          </cell>
          <cell r="U331" t="str">
            <v>Q2</v>
          </cell>
          <cell r="V331" t="str">
            <v>Q3</v>
          </cell>
          <cell r="W331" t="str">
            <v>Q4</v>
          </cell>
          <cell r="Y331" t="str">
            <v>Q1</v>
          </cell>
          <cell r="Z331" t="str">
            <v>Q2</v>
          </cell>
          <cell r="AA331" t="str">
            <v>Q3</v>
          </cell>
          <cell r="AB331" t="str">
            <v>Q4</v>
          </cell>
          <cell r="AD331" t="str">
            <v>Q1</v>
          </cell>
          <cell r="AE331" t="str">
            <v>Q2</v>
          </cell>
          <cell r="AF331" t="str">
            <v>Q3</v>
          </cell>
          <cell r="AG331" t="str">
            <v>Q4</v>
          </cell>
        </row>
        <row r="332">
          <cell r="O332" t="str">
            <v>Prel.</v>
          </cell>
          <cell r="P332" t="str">
            <v>Prel.</v>
          </cell>
          <cell r="Q332" t="str">
            <v>Prel.</v>
          </cell>
          <cell r="R332" t="str">
            <v>Prel.</v>
          </cell>
          <cell r="S332" t="str">
            <v>Prel.</v>
          </cell>
          <cell r="T332" t="str">
            <v>Prel.</v>
          </cell>
          <cell r="U332" t="str">
            <v>Prel.</v>
          </cell>
          <cell r="V332" t="str">
            <v>Prel.</v>
          </cell>
          <cell r="W332" t="str">
            <v>Prel.</v>
          </cell>
          <cell r="X332" t="str">
            <v>Prel.</v>
          </cell>
          <cell r="Y332" t="str">
            <v>Prog.</v>
          </cell>
          <cell r="Z332" t="str">
            <v>Prog.</v>
          </cell>
          <cell r="AA332" t="str">
            <v>Prog.</v>
          </cell>
          <cell r="AB332" t="str">
            <v>Prog.</v>
          </cell>
          <cell r="AC332" t="str">
            <v>Prog.</v>
          </cell>
          <cell r="AD332" t="str">
            <v>Prog.</v>
          </cell>
          <cell r="AE332" t="str">
            <v>Prog.</v>
          </cell>
          <cell r="AF332" t="str">
            <v>Prog.</v>
          </cell>
          <cell r="AG332" t="str">
            <v>Prog.</v>
          </cell>
          <cell r="AH332" t="str">
            <v>Prog.</v>
          </cell>
          <cell r="AM332" t="str">
            <v>Prel.</v>
          </cell>
          <cell r="AN332" t="str">
            <v>Proj.</v>
          </cell>
          <cell r="AO332" t="str">
            <v>Proj.</v>
          </cell>
          <cell r="AP332" t="str">
            <v>Proj.</v>
          </cell>
          <cell r="AQ332" t="str">
            <v>Proj.</v>
          </cell>
          <cell r="AR332" t="str">
            <v>Proj.</v>
          </cell>
          <cell r="AS332" t="str">
            <v>Proj.</v>
          </cell>
        </row>
        <row r="336">
          <cell r="F336">
            <v>36404.878571900001</v>
          </cell>
          <cell r="G336">
            <v>39223.581250000003</v>
          </cell>
          <cell r="H336">
            <v>39964.79552</v>
          </cell>
          <cell r="I336">
            <v>40084.242560000006</v>
          </cell>
          <cell r="N336">
            <v>38121.711740000006</v>
          </cell>
          <cell r="S336">
            <v>36332.246000000006</v>
          </cell>
          <cell r="X336">
            <v>37865.040699999998</v>
          </cell>
          <cell r="AC336">
            <v>34760.899129860001</v>
          </cell>
          <cell r="AH336">
            <v>38254.784365585583</v>
          </cell>
          <cell r="AM336">
            <v>41421.919999999998</v>
          </cell>
          <cell r="AN336">
            <v>46137.854912527429</v>
          </cell>
          <cell r="AO336">
            <v>51754.769359564038</v>
          </cell>
          <cell r="AP336">
            <v>56829.405506586154</v>
          </cell>
          <cell r="AQ336">
            <v>62581.108380778598</v>
          </cell>
          <cell r="AR336">
            <v>66908.786181827629</v>
          </cell>
          <cell r="AS336">
            <v>72327.459167165813</v>
          </cell>
        </row>
        <row r="338">
          <cell r="F338">
            <v>30313.899999999998</v>
          </cell>
          <cell r="G338">
            <v>32834.300000000003</v>
          </cell>
          <cell r="H338">
            <v>35151.313999999998</v>
          </cell>
          <cell r="I338">
            <v>34593.823560000004</v>
          </cell>
          <cell r="N338">
            <v>34039.042740000004</v>
          </cell>
          <cell r="S338">
            <v>32127.420000000006</v>
          </cell>
          <cell r="X338">
            <v>33876.229999999996</v>
          </cell>
          <cell r="AC338">
            <v>31428.344649999999</v>
          </cell>
          <cell r="AH338">
            <v>34875.514999999999</v>
          </cell>
          <cell r="AM338">
            <v>38367.919999999998</v>
          </cell>
          <cell r="AN338">
            <v>43441.017999999996</v>
          </cell>
          <cell r="AO338">
            <v>49011.941389365471</v>
          </cell>
          <cell r="AP338">
            <v>54194.489324589347</v>
          </cell>
          <cell r="AQ338">
            <v>59841.004393879572</v>
          </cell>
          <cell r="AR338">
            <v>64055.290735522118</v>
          </cell>
          <cell r="AS338">
            <v>69351.290535349268</v>
          </cell>
        </row>
        <row r="339">
          <cell r="F339">
            <v>25068.899999999998</v>
          </cell>
          <cell r="G339">
            <v>25574.3</v>
          </cell>
          <cell r="H339">
            <v>25936.313999999998</v>
          </cell>
          <cell r="I339">
            <v>26122.823560000004</v>
          </cell>
          <cell r="N339">
            <v>26075.042740000001</v>
          </cell>
          <cell r="S339">
            <v>24587.540000000005</v>
          </cell>
          <cell r="X339">
            <v>23253.35</v>
          </cell>
          <cell r="AC339">
            <v>21796.574649999999</v>
          </cell>
          <cell r="AH339">
            <v>22058.010000000002</v>
          </cell>
          <cell r="AM339">
            <v>22412.039999999997</v>
          </cell>
          <cell r="AN339">
            <v>24124.957999999999</v>
          </cell>
          <cell r="AO339">
            <v>25939.172828571427</v>
          </cell>
          <cell r="AP339">
            <v>27844.449308571424</v>
          </cell>
          <cell r="AQ339">
            <v>30657.473602571426</v>
          </cell>
          <cell r="AR339">
            <v>32893.902875391424</v>
          </cell>
          <cell r="AS339">
            <v>35367.045606396023</v>
          </cell>
        </row>
        <row r="340">
          <cell r="F340">
            <v>726</v>
          </cell>
          <cell r="G340">
            <v>665</v>
          </cell>
          <cell r="H340">
            <v>462.40000000000003</v>
          </cell>
          <cell r="I340">
            <v>274.09456</v>
          </cell>
          <cell r="N340">
            <v>240.572</v>
          </cell>
          <cell r="S340">
            <v>130.44999999999999</v>
          </cell>
          <cell r="X340">
            <v>112.75999999999999</v>
          </cell>
          <cell r="AC340">
            <v>32.610999999999983</v>
          </cell>
          <cell r="AH340">
            <v>192.76</v>
          </cell>
          <cell r="AM340">
            <v>41.22999999999999</v>
          </cell>
          <cell r="AN340">
            <v>-20.82</v>
          </cell>
          <cell r="AO340">
            <v>-72.231999999999999</v>
          </cell>
          <cell r="AP340">
            <v>-79.231999999999999</v>
          </cell>
          <cell r="AQ340">
            <v>-79.231999999999999</v>
          </cell>
          <cell r="AR340">
            <v>-79.231999999999999</v>
          </cell>
          <cell r="AS340">
            <v>-79.231999999999999</v>
          </cell>
        </row>
        <row r="341">
          <cell r="F341">
            <v>17786.599999999999</v>
          </cell>
          <cell r="G341">
            <v>17551.3</v>
          </cell>
          <cell r="H341">
            <v>17473.8</v>
          </cell>
          <cell r="I341">
            <v>17558.560000000001</v>
          </cell>
          <cell r="N341">
            <v>17676.939999999999</v>
          </cell>
          <cell r="S341">
            <v>17608.150000000001</v>
          </cell>
          <cell r="X341">
            <v>12436.419999999998</v>
          </cell>
          <cell r="AC341">
            <v>11556.920649999998</v>
          </cell>
          <cell r="AH341">
            <v>11556.419999999998</v>
          </cell>
          <cell r="AM341">
            <v>11557.979999999998</v>
          </cell>
          <cell r="AN341">
            <v>10678.356999999998</v>
          </cell>
          <cell r="AO341">
            <v>9790.4179999999978</v>
          </cell>
          <cell r="AP341">
            <v>8902.4789999999975</v>
          </cell>
          <cell r="AQ341">
            <v>8014.5399999999972</v>
          </cell>
          <cell r="AR341">
            <v>7126.6009999999969</v>
          </cell>
          <cell r="AS341">
            <v>6238.6619999999966</v>
          </cell>
        </row>
        <row r="342">
          <cell r="F342">
            <v>1287</v>
          </cell>
          <cell r="G342">
            <v>1343</v>
          </cell>
          <cell r="H342">
            <v>1976.9939999999999</v>
          </cell>
          <cell r="I342">
            <v>1734.9939999999999</v>
          </cell>
          <cell r="N342">
            <v>1656.29</v>
          </cell>
          <cell r="S342">
            <v>1428.09</v>
          </cell>
          <cell r="X342">
            <v>5599.25</v>
          </cell>
          <cell r="AC342">
            <v>5341.6990000000005</v>
          </cell>
          <cell r="AH342">
            <v>5342.25</v>
          </cell>
          <cell r="AM342">
            <v>5585.75</v>
          </cell>
          <cell r="AN342">
            <v>8169.75</v>
          </cell>
          <cell r="AO342">
            <v>10785.75</v>
          </cell>
          <cell r="AP342">
            <v>13616.75</v>
          </cell>
          <cell r="AQ342">
            <v>17240.75</v>
          </cell>
          <cell r="AR342">
            <v>20594.75</v>
          </cell>
          <cell r="AS342">
            <v>24254.75</v>
          </cell>
        </row>
        <row r="343">
          <cell r="F343">
            <v>2132.3000000000002</v>
          </cell>
          <cell r="G343">
            <v>2714.6</v>
          </cell>
          <cell r="H343">
            <v>2817.1</v>
          </cell>
          <cell r="I343">
            <v>2955.0240000000003</v>
          </cell>
          <cell r="N343">
            <v>3052.9337399999999</v>
          </cell>
          <cell r="S343">
            <v>2816.04</v>
          </cell>
          <cell r="X343">
            <v>2717.61</v>
          </cell>
          <cell r="AC343">
            <v>2694.2220000000002</v>
          </cell>
          <cell r="AH343">
            <v>2852.61</v>
          </cell>
          <cell r="AM343">
            <v>3183.93</v>
          </cell>
          <cell r="AN343">
            <v>3312.2109999999998</v>
          </cell>
          <cell r="AO343">
            <v>3351.5224285714285</v>
          </cell>
          <cell r="AP343">
            <v>3236.1484285714282</v>
          </cell>
          <cell r="AQ343">
            <v>3228.5044285714284</v>
          </cell>
          <cell r="AR343">
            <v>2938.6769285714286</v>
          </cell>
          <cell r="AS343">
            <v>2628.7067535714286</v>
          </cell>
        </row>
        <row r="344">
          <cell r="F344">
            <v>1874</v>
          </cell>
          <cell r="G344">
            <v>1883.4</v>
          </cell>
          <cell r="H344">
            <v>2391.52</v>
          </cell>
          <cell r="I344">
            <v>2854.6309999999999</v>
          </cell>
          <cell r="N344">
            <v>2877.23</v>
          </cell>
          <cell r="S344">
            <v>2295</v>
          </cell>
          <cell r="X344">
            <v>1927.1399999999999</v>
          </cell>
          <cell r="AC344">
            <v>1735.5939999999998</v>
          </cell>
          <cell r="AH344">
            <v>1743.6799999999998</v>
          </cell>
          <cell r="AM344">
            <v>1604.76</v>
          </cell>
          <cell r="AN344">
            <v>1582.348</v>
          </cell>
          <cell r="AO344">
            <v>1614.0884000000001</v>
          </cell>
          <cell r="AP344">
            <v>1627.8667800000003</v>
          </cell>
          <cell r="AQ344">
            <v>1636.1486410000002</v>
          </cell>
          <cell r="AR344">
            <v>1610.4292178300002</v>
          </cell>
          <cell r="AS344">
            <v>1532.8984719649002</v>
          </cell>
        </row>
        <row r="345">
          <cell r="F345">
            <v>1263</v>
          </cell>
          <cell r="G345">
            <v>1417</v>
          </cell>
          <cell r="H345">
            <v>814.5</v>
          </cell>
          <cell r="I345">
            <v>745.5200000000001</v>
          </cell>
          <cell r="N345">
            <v>571.077</v>
          </cell>
          <cell r="S345">
            <v>309.81</v>
          </cell>
          <cell r="X345">
            <v>460.16999999999996</v>
          </cell>
          <cell r="AC345">
            <v>435.52799999999996</v>
          </cell>
          <cell r="AH345">
            <v>370.28999999999996</v>
          </cell>
          <cell r="AM345">
            <v>438.38999999999993</v>
          </cell>
          <cell r="AN345">
            <v>403.11199999999991</v>
          </cell>
          <cell r="AO345">
            <v>469.62599999999992</v>
          </cell>
          <cell r="AP345">
            <v>540.43709999999987</v>
          </cell>
          <cell r="AQ345">
            <v>616.76253299999985</v>
          </cell>
          <cell r="AR345">
            <v>702.67772898999988</v>
          </cell>
          <cell r="AS345">
            <v>791.26038085969992</v>
          </cell>
        </row>
        <row r="346">
          <cell r="F346">
            <v>803</v>
          </cell>
          <cell r="G346">
            <v>2510</v>
          </cell>
          <cell r="H346">
            <v>4122</v>
          </cell>
          <cell r="I346">
            <v>3994</v>
          </cell>
          <cell r="N346">
            <v>4249</v>
          </cell>
          <cell r="S346">
            <v>4502.88</v>
          </cell>
          <cell r="X346">
            <v>6888.88</v>
          </cell>
          <cell r="AC346">
            <v>5948.77</v>
          </cell>
          <cell r="AH346">
            <v>9387.880000000001</v>
          </cell>
          <cell r="AM346">
            <v>12459.880000000001</v>
          </cell>
          <cell r="AN346">
            <v>16090.060000000001</v>
          </cell>
          <cell r="AO346">
            <v>19779.968560794045</v>
          </cell>
          <cell r="AP346">
            <v>23536.240016017924</v>
          </cell>
          <cell r="AQ346">
            <v>27322.730791308139</v>
          </cell>
          <cell r="AR346">
            <v>30870.58786013069</v>
          </cell>
          <cell r="AS346">
            <v>35372.444928953249</v>
          </cell>
        </row>
        <row r="347">
          <cell r="F347">
            <v>4442</v>
          </cell>
          <cell r="G347">
            <v>4750</v>
          </cell>
          <cell r="H347">
            <v>5093</v>
          </cell>
          <cell r="I347">
            <v>4477</v>
          </cell>
          <cell r="N347">
            <v>3715</v>
          </cell>
          <cell r="S347">
            <v>3037</v>
          </cell>
          <cell r="X347">
            <v>3734</v>
          </cell>
          <cell r="AC347">
            <v>3683</v>
          </cell>
          <cell r="AH347">
            <v>3429.625</v>
          </cell>
          <cell r="AM347">
            <v>3496</v>
          </cell>
          <cell r="AN347">
            <v>3226</v>
          </cell>
          <cell r="AO347">
            <v>3292.8</v>
          </cell>
          <cell r="AP347">
            <v>2813.8</v>
          </cell>
          <cell r="AQ347">
            <v>1860.8000000000002</v>
          </cell>
          <cell r="AR347">
            <v>290.80000000000018</v>
          </cell>
          <cell r="AS347">
            <v>-1388.1999999999998</v>
          </cell>
        </row>
        <row r="349">
          <cell r="F349">
            <v>3425.9785719000001</v>
          </cell>
          <cell r="G349">
            <v>3301.28125</v>
          </cell>
          <cell r="H349">
            <v>3034.4815199999998</v>
          </cell>
          <cell r="I349">
            <v>2997.4189999999999</v>
          </cell>
          <cell r="N349">
            <v>2593.6689999999999</v>
          </cell>
          <cell r="S349">
            <v>2408.826</v>
          </cell>
          <cell r="X349">
            <v>1910.8107</v>
          </cell>
          <cell r="AC349">
            <v>1219.23255986</v>
          </cell>
          <cell r="AH349">
            <v>1469.2693655855844</v>
          </cell>
          <cell r="AM349">
            <v>1505</v>
          </cell>
          <cell r="AN349">
            <v>1039.2446734079999</v>
          </cell>
          <cell r="AO349">
            <v>497.33258616000001</v>
          </cell>
          <cell r="AP349">
            <v>278.89679372060243</v>
          </cell>
          <cell r="AQ349">
            <v>278.89850330470028</v>
          </cell>
          <cell r="AR349">
            <v>278.90018457000002</v>
          </cell>
          <cell r="AS349">
            <v>278.90018457000002</v>
          </cell>
        </row>
        <row r="350">
          <cell r="F350">
            <v>3248.9785719000001</v>
          </cell>
          <cell r="G350">
            <v>2946.28125</v>
          </cell>
          <cell r="H350">
            <v>2679.4815199999998</v>
          </cell>
          <cell r="I350">
            <v>2642.4189999999999</v>
          </cell>
          <cell r="N350">
            <v>2238.6689999999999</v>
          </cell>
          <cell r="S350">
            <v>2195.826</v>
          </cell>
          <cell r="X350">
            <v>1617.8107</v>
          </cell>
          <cell r="AC350">
            <v>1179.23255986</v>
          </cell>
          <cell r="AH350">
            <v>1190.2693655855844</v>
          </cell>
          <cell r="AM350">
            <v>1226</v>
          </cell>
          <cell r="AN350">
            <v>760.24467340799993</v>
          </cell>
          <cell r="AO350">
            <v>218.33258616000001</v>
          </cell>
          <cell r="AP350">
            <v>-0.10320627939758796</v>
          </cell>
          <cell r="AQ350">
            <v>-0.10149669529973945</v>
          </cell>
          <cell r="AR350">
            <v>-9.9815429999978389E-2</v>
          </cell>
          <cell r="AS350">
            <v>-9.9815429999978389E-2</v>
          </cell>
        </row>
        <row r="352">
          <cell r="F352">
            <v>2665</v>
          </cell>
          <cell r="G352">
            <v>3088</v>
          </cell>
          <cell r="H352">
            <v>1779</v>
          </cell>
          <cell r="I352">
            <v>2493</v>
          </cell>
          <cell r="N352">
            <v>1489</v>
          </cell>
          <cell r="S352">
            <v>1796</v>
          </cell>
          <cell r="X352">
            <v>2078</v>
          </cell>
          <cell r="AC352">
            <v>2113.3219200000003</v>
          </cell>
          <cell r="AH352">
            <v>1910</v>
          </cell>
          <cell r="AM352">
            <v>1549</v>
          </cell>
          <cell r="AN352">
            <v>1657.5922391194347</v>
          </cell>
          <cell r="AO352">
            <v>2245.4953840385647</v>
          </cell>
          <cell r="AP352">
            <v>2356.0193882762023</v>
          </cell>
          <cell r="AQ352">
            <v>2461.2054835943268</v>
          </cell>
          <cell r="AR352">
            <v>2574.5952617355206</v>
          </cell>
          <cell r="AS352">
            <v>2697.2684472465489</v>
          </cell>
        </row>
        <row r="353">
          <cell r="F353">
            <v>687</v>
          </cell>
          <cell r="G353">
            <v>1052</v>
          </cell>
          <cell r="H353">
            <v>2</v>
          </cell>
          <cell r="I353">
            <v>0</v>
          </cell>
          <cell r="N353">
            <v>135</v>
          </cell>
          <cell r="S353">
            <v>0</v>
          </cell>
          <cell r="X353">
            <v>0</v>
          </cell>
          <cell r="AC353">
            <v>0</v>
          </cell>
          <cell r="AH353">
            <v>0</v>
          </cell>
          <cell r="AM353">
            <v>0</v>
          </cell>
          <cell r="AN353">
            <v>0</v>
          </cell>
          <cell r="AO353">
            <v>0</v>
          </cell>
          <cell r="AP353">
            <v>0</v>
          </cell>
          <cell r="AQ353">
            <v>0</v>
          </cell>
          <cell r="AR353">
            <v>0</v>
          </cell>
          <cell r="AS353">
            <v>0</v>
          </cell>
        </row>
        <row r="354">
          <cell r="F354">
            <v>1978</v>
          </cell>
          <cell r="G354">
            <v>2036</v>
          </cell>
          <cell r="H354">
            <v>1777</v>
          </cell>
          <cell r="I354">
            <v>2493</v>
          </cell>
          <cell r="N354">
            <v>1354</v>
          </cell>
          <cell r="S354">
            <v>1796</v>
          </cell>
          <cell r="X354">
            <v>2078</v>
          </cell>
          <cell r="AC354">
            <v>2113.3219200000003</v>
          </cell>
          <cell r="AH354">
            <v>1910</v>
          </cell>
          <cell r="AM354">
            <v>1549</v>
          </cell>
          <cell r="AN354">
            <v>1657.5922391194347</v>
          </cell>
          <cell r="AO354">
            <v>2245.4953840385647</v>
          </cell>
          <cell r="AP354">
            <v>2356.0193882762023</v>
          </cell>
          <cell r="AQ354">
            <v>2461.2054835943268</v>
          </cell>
          <cell r="AR354">
            <v>2574.5952617355206</v>
          </cell>
          <cell r="AS354">
            <v>2697.2684472465489</v>
          </cell>
        </row>
        <row r="356">
          <cell r="F356">
            <v>3876</v>
          </cell>
          <cell r="G356">
            <v>4236.1000000000004</v>
          </cell>
          <cell r="H356">
            <v>5972.7672000000002</v>
          </cell>
          <cell r="I356">
            <v>5136.7086400000007</v>
          </cell>
          <cell r="N356">
            <v>6371.0515599999999</v>
          </cell>
          <cell r="S356">
            <v>6183.1299999999992</v>
          </cell>
          <cell r="X356">
            <v>8953.86</v>
          </cell>
          <cell r="AC356">
            <v>7313.9252761000007</v>
          </cell>
          <cell r="AH356">
            <v>7196.0338797806817</v>
          </cell>
          <cell r="AM356">
            <v>6617.02</v>
          </cell>
          <cell r="AN356">
            <v>5876.1675969887401</v>
          </cell>
          <cell r="AO356">
            <v>6931.3086523935381</v>
          </cell>
          <cell r="AP356">
            <v>7147.9782869928886</v>
          </cell>
          <cell r="AQ356">
            <v>8115.6838373386181</v>
          </cell>
          <cell r="AR356">
            <v>8667.9233506170676</v>
          </cell>
          <cell r="AS356">
            <v>9899.0020399504865</v>
          </cell>
        </row>
        <row r="357">
          <cell r="F357">
            <v>1346</v>
          </cell>
          <cell r="G357">
            <v>1396</v>
          </cell>
          <cell r="H357">
            <v>3236</v>
          </cell>
          <cell r="I357">
            <v>2329.8612000000003</v>
          </cell>
          <cell r="N357">
            <v>3241.4159999999997</v>
          </cell>
          <cell r="S357">
            <v>3439.89</v>
          </cell>
          <cell r="X357">
            <v>6456.2599999999993</v>
          </cell>
          <cell r="AC357">
            <v>4905.86535</v>
          </cell>
          <cell r="AH357">
            <v>4719.32</v>
          </cell>
          <cell r="AM357">
            <v>4193.3500000000004</v>
          </cell>
          <cell r="AN357">
            <v>3574.5319999999997</v>
          </cell>
          <cell r="AO357">
            <v>4065.7451714285717</v>
          </cell>
          <cell r="AP357">
            <v>4352.4323199999999</v>
          </cell>
          <cell r="AQ357">
            <v>5035.7037700000001</v>
          </cell>
          <cell r="AR357">
            <v>5248.6440330999994</v>
          </cell>
          <cell r="AS357">
            <v>6164.6598440930002</v>
          </cell>
        </row>
        <row r="358">
          <cell r="F358">
            <v>719</v>
          </cell>
          <cell r="G358">
            <v>789</v>
          </cell>
          <cell r="H358">
            <v>2508</v>
          </cell>
          <cell r="I358">
            <v>1508.8612000000001</v>
          </cell>
          <cell r="N358">
            <v>2392.4159999999997</v>
          </cell>
          <cell r="S358">
            <v>2584.89</v>
          </cell>
          <cell r="X358">
            <v>5456.2599999999993</v>
          </cell>
          <cell r="AC358">
            <v>3838.8653499999996</v>
          </cell>
          <cell r="AH358">
            <v>3831.32</v>
          </cell>
          <cell r="AM358">
            <v>3565.3500000000004</v>
          </cell>
          <cell r="AN358">
            <v>2854.5319999999997</v>
          </cell>
          <cell r="AO358">
            <v>3387.7451714285717</v>
          </cell>
          <cell r="AP358">
            <v>3515.4323199999999</v>
          </cell>
          <cell r="AQ358">
            <v>3641.7037700000001</v>
          </cell>
          <cell r="AR358">
            <v>3504.6440330999999</v>
          </cell>
          <cell r="AS358">
            <v>4335.6598440930002</v>
          </cell>
        </row>
        <row r="359">
          <cell r="F359">
            <v>627</v>
          </cell>
          <cell r="G359">
            <v>607</v>
          </cell>
          <cell r="H359">
            <v>728</v>
          </cell>
          <cell r="I359">
            <v>821</v>
          </cell>
          <cell r="N359">
            <v>849</v>
          </cell>
          <cell r="S359">
            <v>855</v>
          </cell>
          <cell r="X359">
            <v>1000</v>
          </cell>
          <cell r="AC359">
            <v>1067</v>
          </cell>
          <cell r="AH359">
            <v>888</v>
          </cell>
          <cell r="AM359">
            <v>628</v>
          </cell>
          <cell r="AN359">
            <v>720</v>
          </cell>
          <cell r="AO359">
            <v>678</v>
          </cell>
          <cell r="AP359">
            <v>837</v>
          </cell>
          <cell r="AQ359">
            <v>1394</v>
          </cell>
          <cell r="AR359">
            <v>1744</v>
          </cell>
          <cell r="AS359">
            <v>1829</v>
          </cell>
        </row>
        <row r="360">
          <cell r="F360">
            <v>2530</v>
          </cell>
          <cell r="G360">
            <v>2840.1</v>
          </cell>
          <cell r="H360">
            <v>2736.7672000000002</v>
          </cell>
          <cell r="I360">
            <v>2806.84744</v>
          </cell>
          <cell r="N360">
            <v>3129.6355600000002</v>
          </cell>
          <cell r="S360">
            <v>2743.24</v>
          </cell>
          <cell r="X360">
            <v>2497.6000000000004</v>
          </cell>
          <cell r="AC360">
            <v>2408.0599261000002</v>
          </cell>
          <cell r="AH360">
            <v>2476.713879780682</v>
          </cell>
          <cell r="AM360">
            <v>2423.67</v>
          </cell>
          <cell r="AN360">
            <v>2301.63559698874</v>
          </cell>
          <cell r="AO360">
            <v>2865.5634809649664</v>
          </cell>
          <cell r="AP360">
            <v>2795.5459669928887</v>
          </cell>
          <cell r="AQ360">
            <v>3079.980067338618</v>
          </cell>
          <cell r="AR360">
            <v>3419.2793175170682</v>
          </cell>
          <cell r="AS360">
            <v>3734.3421958574868</v>
          </cell>
        </row>
        <row r="361">
          <cell r="F361">
            <v>2132</v>
          </cell>
          <cell r="G361">
            <v>2370</v>
          </cell>
          <cell r="H361">
            <v>2284</v>
          </cell>
          <cell r="I361">
            <v>2444.84744</v>
          </cell>
          <cell r="N361">
            <v>2708.6355600000002</v>
          </cell>
          <cell r="S361">
            <v>2433.2399999999998</v>
          </cell>
          <cell r="X361">
            <v>2138.6000000000004</v>
          </cell>
          <cell r="AC361">
            <v>2211.0945375000001</v>
          </cell>
          <cell r="AH361">
            <v>2318.8342187499998</v>
          </cell>
          <cell r="AM361">
            <v>2088.67</v>
          </cell>
          <cell r="AN361">
            <v>2197.2603724999999</v>
          </cell>
          <cell r="AO361">
            <v>2758.7612703428572</v>
          </cell>
          <cell r="AP361">
            <v>2682.8675925757143</v>
          </cell>
          <cell r="AQ361">
            <v>2964.7235843872145</v>
          </cell>
          <cell r="AR361">
            <v>3296.2633910578588</v>
          </cell>
          <cell r="AS361">
            <v>3602.9460341886233</v>
          </cell>
        </row>
        <row r="362">
          <cell r="F362">
            <v>1896</v>
          </cell>
          <cell r="G362">
            <v>2133</v>
          </cell>
          <cell r="H362">
            <v>2060</v>
          </cell>
          <cell r="I362">
            <v>2144.84744</v>
          </cell>
          <cell r="N362">
            <v>2407.6355600000002</v>
          </cell>
          <cell r="S362">
            <v>2180.2399999999998</v>
          </cell>
          <cell r="X362">
            <v>1935.6000000000001</v>
          </cell>
          <cell r="AC362">
            <v>2035.9161000000001</v>
          </cell>
          <cell r="AH362">
            <v>2134.56</v>
          </cell>
          <cell r="AM362">
            <v>1903.67</v>
          </cell>
          <cell r="AN362">
            <v>2077.4434349999997</v>
          </cell>
          <cell r="AO362">
            <v>2675.709020342857</v>
          </cell>
          <cell r="AP362">
            <v>2619.3403425757142</v>
          </cell>
          <cell r="AQ362">
            <v>2908.2963343872143</v>
          </cell>
          <cell r="AR362">
            <v>3255.811141057859</v>
          </cell>
          <cell r="AS362">
            <v>3587.3437841886234</v>
          </cell>
        </row>
        <row r="363">
          <cell r="F363">
            <v>236</v>
          </cell>
          <cell r="G363">
            <v>237</v>
          </cell>
          <cell r="H363">
            <v>224</v>
          </cell>
          <cell r="I363">
            <v>300</v>
          </cell>
          <cell r="N363">
            <v>301</v>
          </cell>
          <cell r="S363">
            <v>253</v>
          </cell>
          <cell r="X363">
            <v>203</v>
          </cell>
          <cell r="AC363">
            <v>175.1784375</v>
          </cell>
          <cell r="AH363">
            <v>184.27421875000002</v>
          </cell>
          <cell r="AM363">
            <v>185</v>
          </cell>
          <cell r="AN363">
            <v>119.81693749999999</v>
          </cell>
          <cell r="AO363">
            <v>83.052249999999987</v>
          </cell>
          <cell r="AP363">
            <v>63.527249999999995</v>
          </cell>
          <cell r="AQ363">
            <v>56.427249999999994</v>
          </cell>
          <cell r="AR363">
            <v>40.452249999999999</v>
          </cell>
          <cell r="AS363">
            <v>15.602249999999998</v>
          </cell>
        </row>
        <row r="364">
          <cell r="F364">
            <v>298</v>
          </cell>
          <cell r="G364">
            <v>286.10000000000002</v>
          </cell>
          <cell r="H364">
            <v>285.7672</v>
          </cell>
          <cell r="I364">
            <v>230</v>
          </cell>
          <cell r="N364">
            <v>259</v>
          </cell>
          <cell r="S364">
            <v>182</v>
          </cell>
          <cell r="X364">
            <v>143</v>
          </cell>
          <cell r="AC364">
            <v>116.8</v>
          </cell>
          <cell r="AH364">
            <v>123</v>
          </cell>
          <cell r="AM364">
            <v>120</v>
          </cell>
          <cell r="AN364">
            <v>59.979199999999999</v>
          </cell>
          <cell r="AO364">
            <v>37.680599999999998</v>
          </cell>
          <cell r="AP364">
            <v>18.762599999999999</v>
          </cell>
          <cell r="AQ364">
            <v>13.683</v>
          </cell>
          <cell r="AR364">
            <v>13.683</v>
          </cell>
          <cell r="AS364">
            <v>13.683</v>
          </cell>
        </row>
        <row r="365">
          <cell r="F365">
            <v>100</v>
          </cell>
          <cell r="G365">
            <v>184</v>
          </cell>
          <cell r="H365">
            <v>167</v>
          </cell>
          <cell r="I365">
            <v>132</v>
          </cell>
          <cell r="N365">
            <v>162</v>
          </cell>
          <cell r="S365">
            <v>128</v>
          </cell>
          <cell r="X365">
            <v>216</v>
          </cell>
          <cell r="AC365">
            <v>80.165388600000014</v>
          </cell>
          <cell r="AH365">
            <v>34.879661030682072</v>
          </cell>
          <cell r="AM365">
            <v>215</v>
          </cell>
          <cell r="AN365">
            <v>44.396024488739926</v>
          </cell>
          <cell r="AO365">
            <v>69.121610622108975</v>
          </cell>
          <cell r="AP365">
            <v>93.915774417174205</v>
          </cell>
          <cell r="AQ365">
            <v>101.57348295140376</v>
          </cell>
          <cell r="AR365">
            <v>109.33292645920957</v>
          </cell>
          <cell r="AS365">
            <v>117.71316166886346</v>
          </cell>
        </row>
        <row r="369">
          <cell r="F369">
            <v>0.68173929909925091</v>
          </cell>
          <cell r="G369">
            <v>0.64929692773252246</v>
          </cell>
          <cell r="H369">
            <v>0.66750628343624863</v>
          </cell>
          <cell r="I369">
            <v>0.6870924344290491</v>
          </cell>
          <cell r="N369">
            <v>0.49388045775455086</v>
          </cell>
          <cell r="S369">
            <v>0.51503887106644763</v>
          </cell>
          <cell r="X369">
            <v>0.42817236328900532</v>
          </cell>
          <cell r="AC369">
            <v>0.36417491938146568</v>
          </cell>
          <cell r="AH369">
            <v>0.40262002534296881</v>
          </cell>
          <cell r="AM369">
            <v>0.43595316917163174</v>
          </cell>
          <cell r="AN369">
            <v>0.47638412626005733</v>
          </cell>
          <cell r="AO369">
            <v>0.51610555200189856</v>
          </cell>
          <cell r="AP369">
            <v>0.52934095228827904</v>
          </cell>
          <cell r="AQ369">
            <v>0.56068187213542808</v>
          </cell>
          <cell r="AR369">
            <v>0.57702752177624594</v>
          </cell>
          <cell r="AS369">
            <v>0.60033189684155652</v>
          </cell>
        </row>
        <row r="370">
          <cell r="F370">
            <v>0.48449250936329585</v>
          </cell>
          <cell r="G370">
            <v>0.4649001729672117</v>
          </cell>
          <cell r="H370">
            <v>0.50204469217060965</v>
          </cell>
          <cell r="I370">
            <v>0.51623880845786752</v>
          </cell>
          <cell r="N370">
            <v>0.3928588572187699</v>
          </cell>
          <cell r="S370">
            <v>0.41238015055961058</v>
          </cell>
          <cell r="X370">
            <v>0.34084394510899746</v>
          </cell>
          <cell r="AC370">
            <v>0.29067598664170186</v>
          </cell>
          <cell r="AH370">
            <v>0.33095847326542382</v>
          </cell>
          <cell r="AM370">
            <v>0.36701640192196811</v>
          </cell>
          <cell r="AN370">
            <v>0.41522945201469946</v>
          </cell>
          <cell r="AO370">
            <v>0.45591745448385235</v>
          </cell>
          <cell r="AP370">
            <v>0.47858855418000595</v>
          </cell>
          <cell r="AQ370">
            <v>0.51946107040091893</v>
          </cell>
          <cell r="AR370">
            <v>0.54991082884770515</v>
          </cell>
          <cell r="AS370">
            <v>0.58715145013652292</v>
          </cell>
        </row>
        <row r="371">
          <cell r="F371">
            <v>8.3183520599250937E-2</v>
          </cell>
          <cell r="G371">
            <v>7.8630260380150321E-2</v>
          </cell>
          <cell r="H371">
            <v>8.506510435764679E-2</v>
          </cell>
          <cell r="I371">
            <v>7.6741198847262243E-2</v>
          </cell>
          <cell r="N371">
            <v>4.8129158340835726E-2</v>
          </cell>
          <cell r="S371">
            <v>4.3051922840905602E-2</v>
          </cell>
          <cell r="X371">
            <v>4.2223527955197626E-2</v>
          </cell>
          <cell r="AC371">
            <v>3.8585199510267676E-2</v>
          </cell>
          <cell r="AH371">
            <v>3.6095764943301939E-2</v>
          </cell>
          <cell r="AM371">
            <v>3.6794341725927347E-2</v>
          </cell>
          <cell r="AN371">
            <v>3.3309203347849314E-2</v>
          </cell>
          <cell r="AO371">
            <v>3.2836246449580685E-2</v>
          </cell>
          <cell r="AP371">
            <v>2.6209311152764762E-2</v>
          </cell>
          <cell r="AQ371">
            <v>1.6671434154241556E-2</v>
          </cell>
          <cell r="AR371">
            <v>2.5078859281130795E-3</v>
          </cell>
          <cell r="AS371">
            <v>-1.1522328432266773E-2</v>
          </cell>
        </row>
        <row r="372">
          <cell r="F372">
            <v>6.4156902095505619E-2</v>
          </cell>
          <cell r="G372">
            <v>5.4648548268549077E-2</v>
          </cell>
          <cell r="H372">
            <v>5.0682993750275011E-2</v>
          </cell>
          <cell r="I372">
            <v>5.1379389659942355E-2</v>
          </cell>
          <cell r="N372">
            <v>3.3601912781888843E-2</v>
          </cell>
          <cell r="S372">
            <v>3.4147050078751164E-2</v>
          </cell>
          <cell r="X372">
            <v>2.1607168989968062E-2</v>
          </cell>
          <cell r="AC372">
            <v>1.2773372677603171E-2</v>
          </cell>
          <cell r="AH372">
            <v>1.5463615310295331E-2</v>
          </cell>
          <cell r="AM372">
            <v>1.5839669421487602E-2</v>
          </cell>
          <cell r="AN372">
            <v>1.0730443941325579E-2</v>
          </cell>
          <cell r="AO372">
            <v>4.9594677376570331E-3</v>
          </cell>
          <cell r="AP372">
            <v>2.5978011394312737E-3</v>
          </cell>
          <cell r="AQ372">
            <v>2.4987306715180736E-3</v>
          </cell>
          <cell r="AR372">
            <v>2.4052608261046879E-3</v>
          </cell>
          <cell r="AS372">
            <v>2.314925462062644E-3</v>
          </cell>
        </row>
        <row r="373">
          <cell r="F373">
            <v>4.9906367041198503E-2</v>
          </cell>
          <cell r="G373">
            <v>5.1117946116611405E-2</v>
          </cell>
          <cell r="H373">
            <v>2.9713493157717187E-2</v>
          </cell>
          <cell r="I373">
            <v>4.2733037463976942E-2</v>
          </cell>
          <cell r="N373">
            <v>1.9290529413056364E-2</v>
          </cell>
          <cell r="S373">
            <v>2.5459747587180264E-2</v>
          </cell>
          <cell r="X373">
            <v>2.3497721234842173E-2</v>
          </cell>
          <cell r="AC373">
            <v>2.2140360551893012E-2</v>
          </cell>
          <cell r="AH373">
            <v>2.0102171823947725E-2</v>
          </cell>
          <cell r="AM373">
            <v>1.6302756102248704E-2</v>
          </cell>
          <cell r="AN373">
            <v>1.7115026956182926E-2</v>
          </cell>
          <cell r="AO373">
            <v>2.2392383330808469E-2</v>
          </cell>
          <cell r="AP373">
            <v>2.1945285816077006E-2</v>
          </cell>
          <cell r="AQ373">
            <v>2.2050636908749494E-2</v>
          </cell>
          <cell r="AR373">
            <v>2.220354617432297E-2</v>
          </cell>
          <cell r="AS373">
            <v>2.238784967523769E-2</v>
          </cell>
        </row>
        <row r="375">
          <cell r="F375">
            <v>4.7378277153558052E-2</v>
          </cell>
          <cell r="G375">
            <v>4.7014274211718929E-2</v>
          </cell>
          <cell r="H375">
            <v>4.5710462884465897E-2</v>
          </cell>
          <cell r="I375">
            <v>4.8112762458559076E-2</v>
          </cell>
          <cell r="N375">
            <v>4.0545551929030983E-2</v>
          </cell>
          <cell r="S375">
            <v>3.8887638068516917E-2</v>
          </cell>
          <cell r="X375">
            <v>2.8242496899009536E-2</v>
          </cell>
          <cell r="AC375">
            <v>2.5228203280273948E-2</v>
          </cell>
          <cell r="AH375">
            <v>2.6066663858695011E-2</v>
          </cell>
          <cell r="AM375">
            <v>2.5508393080914859E-2</v>
          </cell>
          <cell r="AN375">
            <v>2.3764925025649874E-2</v>
          </cell>
          <cell r="AO375">
            <v>2.8575786163108581E-2</v>
          </cell>
          <cell r="AP375">
            <v>2.6039282852645271E-2</v>
          </cell>
          <cell r="AQ375">
            <v>2.7594413633390068E-2</v>
          </cell>
          <cell r="AR375">
            <v>2.9488179108284541E-2</v>
          </cell>
          <cell r="AS375">
            <v>3.0995762324695475E-2</v>
          </cell>
        </row>
        <row r="379">
          <cell r="F379">
            <v>0.23356432660439891</v>
          </cell>
          <cell r="G379">
            <v>0.27273371104815863</v>
          </cell>
          <cell r="H379">
            <v>0.37049607344457541</v>
          </cell>
          <cell r="I379">
            <v>0.29048852796471192</v>
          </cell>
          <cell r="N379">
            <v>0.3069646620091544</v>
          </cell>
          <cell r="S379">
            <v>0.24477949326999204</v>
          </cell>
          <cell r="X379">
            <v>0.35638672185957654</v>
          </cell>
          <cell r="AC379">
            <v>0.33155136672998448</v>
          </cell>
          <cell r="AH379">
            <v>0.37622433038783076</v>
          </cell>
          <cell r="AM379">
            <v>0.34746875620969375</v>
          </cell>
          <cell r="AN379">
            <v>0.33215254325884047</v>
          </cell>
          <cell r="AO379">
            <v>0.36572750387698949</v>
          </cell>
          <cell r="AP379">
            <v>0.32466339077641532</v>
          </cell>
          <cell r="AQ379">
            <v>0.34148508124610033</v>
          </cell>
          <cell r="AR379">
            <v>0.34062425986636247</v>
          </cell>
          <cell r="AS379">
            <v>0.36897377937618492</v>
          </cell>
        </row>
        <row r="380">
          <cell r="F380">
            <v>8.110876770111479E-2</v>
          </cell>
          <cell r="G380">
            <v>8.9878959567344832E-2</v>
          </cell>
          <cell r="H380">
            <v>0.20073196451833014</v>
          </cell>
          <cell r="I380">
            <v>0.13175712266018211</v>
          </cell>
          <cell r="N380">
            <v>0.15617518670199951</v>
          </cell>
          <cell r="S380">
            <v>0.1361793349168646</v>
          </cell>
          <cell r="X380">
            <v>0.25697580003184206</v>
          </cell>
          <cell r="AC380">
            <v>0.22239034449817294</v>
          </cell>
          <cell r="AH380">
            <v>0.24673633233922615</v>
          </cell>
          <cell r="AM380">
            <v>0.22019853481656687</v>
          </cell>
          <cell r="AN380">
            <v>0.20205174123497427</v>
          </cell>
          <cell r="AO380">
            <v>0.21452728590192199</v>
          </cell>
          <cell r="AP380">
            <v>0.19768882590304176</v>
          </cell>
          <cell r="AQ380">
            <v>0.21188820874442285</v>
          </cell>
          <cell r="AR380">
            <v>0.20625649498266649</v>
          </cell>
          <cell r="AS380">
            <v>0.22978052050739592</v>
          </cell>
        </row>
        <row r="381">
          <cell r="F381">
            <v>0.15245555890328413</v>
          </cell>
          <cell r="G381">
            <v>0.18285475148081379</v>
          </cell>
          <cell r="H381">
            <v>0.16976410892624527</v>
          </cell>
          <cell r="I381">
            <v>0.15873140530452978</v>
          </cell>
          <cell r="N381">
            <v>0.15078947530715492</v>
          </cell>
          <cell r="S381">
            <v>0.10860015835312746</v>
          </cell>
          <cell r="X381">
            <v>9.941092182773445E-2</v>
          </cell>
          <cell r="AC381">
            <v>0.10916102223181155</v>
          </cell>
          <cell r="AH381">
            <v>0.12948799804860459</v>
          </cell>
          <cell r="AM381">
            <v>0.12727022139312688</v>
          </cell>
          <cell r="AN381">
            <v>0.1301008020238662</v>
          </cell>
          <cell r="AO381">
            <v>0.1512002179750675</v>
          </cell>
          <cell r="AP381">
            <v>0.12697456487337355</v>
          </cell>
          <cell r="AQ381">
            <v>0.12959687250167748</v>
          </cell>
          <cell r="AR381">
            <v>0.13436776488369595</v>
          </cell>
          <cell r="AS381">
            <v>0.13919325886878897</v>
          </cell>
        </row>
        <row r="397">
          <cell r="B397">
            <v>1987</v>
          </cell>
          <cell r="C397">
            <v>1988</v>
          </cell>
          <cell r="D397">
            <v>1989</v>
          </cell>
          <cell r="E397">
            <v>1990</v>
          </cell>
          <cell r="F397">
            <v>1991</v>
          </cell>
          <cell r="G397">
            <v>1992</v>
          </cell>
          <cell r="H397">
            <v>1993</v>
          </cell>
          <cell r="I397">
            <v>1994</v>
          </cell>
          <cell r="J397" t="str">
            <v>1995</v>
          </cell>
          <cell r="K397" t="str">
            <v>1995</v>
          </cell>
          <cell r="L397" t="str">
            <v>1995</v>
          </cell>
          <cell r="M397" t="str">
            <v>1995</v>
          </cell>
          <cell r="N397">
            <v>1995</v>
          </cell>
          <cell r="O397">
            <v>1996</v>
          </cell>
          <cell r="P397">
            <v>1996</v>
          </cell>
          <cell r="Q397">
            <v>1996</v>
          </cell>
          <cell r="R397">
            <v>1996</v>
          </cell>
          <cell r="S397">
            <v>1996</v>
          </cell>
          <cell r="T397">
            <v>1997</v>
          </cell>
          <cell r="U397">
            <v>1997</v>
          </cell>
          <cell r="V397">
            <v>1997</v>
          </cell>
          <cell r="W397">
            <v>1997</v>
          </cell>
          <cell r="X397">
            <v>1997</v>
          </cell>
          <cell r="Y397">
            <v>1998</v>
          </cell>
          <cell r="Z397">
            <v>1998</v>
          </cell>
          <cell r="AA397">
            <v>1998</v>
          </cell>
          <cell r="AB397">
            <v>1998</v>
          </cell>
          <cell r="AC397">
            <v>1998</v>
          </cell>
          <cell r="AD397">
            <v>1998</v>
          </cell>
          <cell r="AE397">
            <v>1998</v>
          </cell>
          <cell r="AF397">
            <v>1998</v>
          </cell>
          <cell r="AG397">
            <v>1998</v>
          </cell>
          <cell r="AH397">
            <v>1998</v>
          </cell>
          <cell r="AN397">
            <v>1999</v>
          </cell>
          <cell r="AO397">
            <v>2000</v>
          </cell>
          <cell r="AP397">
            <v>2001</v>
          </cell>
          <cell r="AQ397">
            <v>2002</v>
          </cell>
          <cell r="AR397">
            <v>2003</v>
          </cell>
          <cell r="AS397">
            <v>2004</v>
          </cell>
        </row>
        <row r="398">
          <cell r="J398" t="str">
            <v>Q1</v>
          </cell>
          <cell r="K398" t="str">
            <v>Q2</v>
          </cell>
          <cell r="L398" t="str">
            <v>Q3</v>
          </cell>
          <cell r="M398" t="str">
            <v>Q4</v>
          </cell>
          <cell r="O398" t="str">
            <v>Q1</v>
          </cell>
          <cell r="P398" t="str">
            <v>Q2</v>
          </cell>
          <cell r="Q398" t="str">
            <v>Q3</v>
          </cell>
          <cell r="R398" t="str">
            <v>Q4</v>
          </cell>
          <cell r="T398" t="str">
            <v>Q1</v>
          </cell>
          <cell r="U398" t="str">
            <v>Q2</v>
          </cell>
          <cell r="V398" t="str">
            <v>Q3</v>
          </cell>
          <cell r="W398" t="str">
            <v>Q4</v>
          </cell>
          <cell r="Y398" t="str">
            <v>Q1</v>
          </cell>
          <cell r="Z398" t="str">
            <v>Q2</v>
          </cell>
          <cell r="AA398" t="str">
            <v>Q3</v>
          </cell>
          <cell r="AB398" t="str">
            <v>Q4</v>
          </cell>
          <cell r="AD398" t="str">
            <v>Q1</v>
          </cell>
          <cell r="AE398" t="str">
            <v>Q2</v>
          </cell>
          <cell r="AF398" t="str">
            <v>Q3</v>
          </cell>
          <cell r="AG398" t="str">
            <v>Q4</v>
          </cell>
        </row>
        <row r="399">
          <cell r="O399" t="str">
            <v>Prel.</v>
          </cell>
          <cell r="P399" t="str">
            <v>Prel.</v>
          </cell>
          <cell r="Q399" t="str">
            <v>Prel.</v>
          </cell>
          <cell r="R399" t="str">
            <v>Prel.</v>
          </cell>
          <cell r="S399" t="str">
            <v>Prel.</v>
          </cell>
          <cell r="T399" t="str">
            <v>Prel.</v>
          </cell>
          <cell r="U399" t="str">
            <v>Prel.</v>
          </cell>
          <cell r="V399" t="str">
            <v>Prel.</v>
          </cell>
          <cell r="W399" t="str">
            <v>Prel.</v>
          </cell>
          <cell r="X399" t="str">
            <v>Prel.</v>
          </cell>
          <cell r="Y399" t="str">
            <v>Prog.</v>
          </cell>
          <cell r="Z399" t="str">
            <v>Prog.</v>
          </cell>
          <cell r="AA399" t="str">
            <v>Prog.</v>
          </cell>
          <cell r="AB399" t="str">
            <v>Prog.</v>
          </cell>
          <cell r="AC399" t="str">
            <v>Prog.</v>
          </cell>
          <cell r="AD399" t="str">
            <v>Prog.</v>
          </cell>
          <cell r="AE399" t="str">
            <v>Prog.</v>
          </cell>
          <cell r="AF399" t="str">
            <v>Prog.</v>
          </cell>
          <cell r="AG399" t="str">
            <v>Prog.</v>
          </cell>
          <cell r="AH399" t="str">
            <v>Prog.</v>
          </cell>
          <cell r="AN399" t="str">
            <v>Proj.</v>
          </cell>
          <cell r="AO399" t="str">
            <v>Proj.</v>
          </cell>
          <cell r="AP399" t="str">
            <v>Proj.</v>
          </cell>
          <cell r="AQ399" t="str">
            <v>Proj.</v>
          </cell>
          <cell r="AR399" t="str">
            <v>Proj.</v>
          </cell>
          <cell r="AS399" t="str">
            <v>Proj.</v>
          </cell>
        </row>
        <row r="401">
          <cell r="H401">
            <v>26273.313999999998</v>
          </cell>
          <cell r="I401">
            <v>27723.823560000004</v>
          </cell>
          <cell r="N401">
            <v>27813.042740000004</v>
          </cell>
          <cell r="S401">
            <v>19097.420000000006</v>
          </cell>
          <cell r="X401">
            <v>17968.229999999996</v>
          </cell>
          <cell r="AC401">
            <v>14660.666570000001</v>
          </cell>
          <cell r="AH401">
            <v>21883.953370649906</v>
          </cell>
          <cell r="AN401">
            <v>29038.854912527429</v>
          </cell>
          <cell r="AO401">
            <v>36336.769359564038</v>
          </cell>
          <cell r="AP401">
            <v>43689.001483661101</v>
          </cell>
          <cell r="AQ401">
            <v>51875.02546499492</v>
          </cell>
          <cell r="AR401">
            <v>61452.34221033557</v>
          </cell>
          <cell r="AS401">
            <v>71833.375895431891</v>
          </cell>
        </row>
        <row r="403">
          <cell r="H403">
            <v>37285.313999999998</v>
          </cell>
          <cell r="I403">
            <v>37441.823560000004</v>
          </cell>
          <cell r="N403">
            <v>35883.042740000004</v>
          </cell>
          <cell r="S403">
            <v>34136.420000000006</v>
          </cell>
          <cell r="X403">
            <v>36247.229999999996</v>
          </cell>
          <cell r="AC403">
            <v>33581.666570000001</v>
          </cell>
          <cell r="AH403">
            <v>37064.514999999999</v>
          </cell>
          <cell r="AN403">
            <v>45377.610239119429</v>
          </cell>
          <cell r="AO403">
            <v>51536.436773404035</v>
          </cell>
          <cell r="AP403">
            <v>56829.50871286555</v>
          </cell>
          <cell r="AQ403">
            <v>62581.209877473899</v>
          </cell>
          <cell r="AR403">
            <v>66908.885997257632</v>
          </cell>
          <cell r="AS403">
            <v>72327.558982595816</v>
          </cell>
        </row>
        <row r="404">
          <cell r="H404">
            <v>35506.313999999998</v>
          </cell>
          <cell r="I404">
            <v>34948.823560000004</v>
          </cell>
          <cell r="N404">
            <v>34394.042740000004</v>
          </cell>
          <cell r="S404">
            <v>32340.420000000006</v>
          </cell>
          <cell r="X404">
            <v>34169.229999999996</v>
          </cell>
          <cell r="AC404">
            <v>31468.344649999999</v>
          </cell>
          <cell r="AH404">
            <v>35154.514999999999</v>
          </cell>
          <cell r="AN404">
            <v>43720.017999999996</v>
          </cell>
          <cell r="AO404">
            <v>49290.941389365471</v>
          </cell>
          <cell r="AP404">
            <v>54473.489324589347</v>
          </cell>
          <cell r="AQ404">
            <v>60120.004393879572</v>
          </cell>
          <cell r="AR404">
            <v>64334.290735522118</v>
          </cell>
          <cell r="AS404">
            <v>69630.290535349268</v>
          </cell>
        </row>
        <row r="405">
          <cell r="H405">
            <v>30413.313999999998</v>
          </cell>
          <cell r="I405">
            <v>30471.823560000004</v>
          </cell>
          <cell r="N405">
            <v>30679.042740000001</v>
          </cell>
          <cell r="S405">
            <v>29303.420000000006</v>
          </cell>
          <cell r="X405">
            <v>30435.23</v>
          </cell>
          <cell r="AC405">
            <v>27785.344649999999</v>
          </cell>
          <cell r="AH405">
            <v>31724.890000000003</v>
          </cell>
          <cell r="AN405">
            <v>40494.017999999996</v>
          </cell>
          <cell r="AO405">
            <v>45998.141389365468</v>
          </cell>
          <cell r="AP405">
            <v>51659.689324589344</v>
          </cell>
          <cell r="AQ405">
            <v>58259.204393879569</v>
          </cell>
          <cell r="AR405">
            <v>64043.490735522115</v>
          </cell>
          <cell r="AS405">
            <v>71018.490535349265</v>
          </cell>
        </row>
        <row r="406">
          <cell r="H406">
            <v>25936.313999999998</v>
          </cell>
          <cell r="I406">
            <v>26122.823560000004</v>
          </cell>
          <cell r="N406">
            <v>26075.042740000001</v>
          </cell>
          <cell r="S406">
            <v>24587.540000000005</v>
          </cell>
          <cell r="X406">
            <v>23253.35</v>
          </cell>
          <cell r="AC406">
            <v>21796.574649999999</v>
          </cell>
          <cell r="AH406">
            <v>22058.010000000002</v>
          </cell>
          <cell r="AN406">
            <v>24124.957999999999</v>
          </cell>
          <cell r="AO406">
            <v>25939.172828571427</v>
          </cell>
          <cell r="AP406">
            <v>27844.449308571424</v>
          </cell>
          <cell r="AQ406">
            <v>30657.473602571426</v>
          </cell>
          <cell r="AR406">
            <v>32893.902875391424</v>
          </cell>
          <cell r="AS406">
            <v>35367.045606396023</v>
          </cell>
        </row>
        <row r="407">
          <cell r="H407">
            <v>4122</v>
          </cell>
          <cell r="I407">
            <v>3994</v>
          </cell>
          <cell r="N407">
            <v>4249</v>
          </cell>
          <cell r="S407">
            <v>4502.88</v>
          </cell>
          <cell r="X407">
            <v>6888.88</v>
          </cell>
          <cell r="AC407">
            <v>5948.77</v>
          </cell>
          <cell r="AH407">
            <v>9387.880000000001</v>
          </cell>
          <cell r="AN407">
            <v>16090.060000000001</v>
          </cell>
          <cell r="AO407">
            <v>19779.968560794045</v>
          </cell>
          <cell r="AP407">
            <v>23536.240016017924</v>
          </cell>
          <cell r="AQ407">
            <v>27322.730791308139</v>
          </cell>
          <cell r="AR407">
            <v>30870.58786013069</v>
          </cell>
          <cell r="AS407">
            <v>35372.444928953249</v>
          </cell>
        </row>
        <row r="408">
          <cell r="H408">
            <v>355</v>
          </cell>
          <cell r="I408">
            <v>355</v>
          </cell>
          <cell r="N408">
            <v>355</v>
          </cell>
          <cell r="S408">
            <v>213</v>
          </cell>
          <cell r="X408">
            <v>293</v>
          </cell>
          <cell r="AC408">
            <v>40</v>
          </cell>
          <cell r="AH408">
            <v>279</v>
          </cell>
          <cell r="AN408">
            <v>279</v>
          </cell>
          <cell r="AO408">
            <v>279</v>
          </cell>
          <cell r="AP408">
            <v>279</v>
          </cell>
          <cell r="AQ408">
            <v>279</v>
          </cell>
          <cell r="AR408">
            <v>279</v>
          </cell>
          <cell r="AS408">
            <v>279</v>
          </cell>
        </row>
        <row r="409">
          <cell r="H409">
            <v>5093</v>
          </cell>
          <cell r="I409">
            <v>4477</v>
          </cell>
          <cell r="N409">
            <v>3715</v>
          </cell>
          <cell r="S409">
            <v>3037</v>
          </cell>
          <cell r="X409">
            <v>3734</v>
          </cell>
          <cell r="AC409">
            <v>3683</v>
          </cell>
          <cell r="AH409">
            <v>3429.625</v>
          </cell>
          <cell r="AN409">
            <v>3226</v>
          </cell>
          <cell r="AO409">
            <v>3292.8</v>
          </cell>
          <cell r="AP409">
            <v>2813.8</v>
          </cell>
          <cell r="AQ409">
            <v>1860.8000000000002</v>
          </cell>
          <cell r="AR409">
            <v>290.80000000000018</v>
          </cell>
          <cell r="AS409">
            <v>-1388.1999999999998</v>
          </cell>
        </row>
        <row r="410">
          <cell r="H410">
            <v>1779</v>
          </cell>
          <cell r="I410">
            <v>2493</v>
          </cell>
          <cell r="N410">
            <v>1489</v>
          </cell>
          <cell r="S410">
            <v>1796</v>
          </cell>
          <cell r="X410">
            <v>2078</v>
          </cell>
          <cell r="AC410">
            <v>2113.3219200000003</v>
          </cell>
          <cell r="AH410">
            <v>1910</v>
          </cell>
          <cell r="AN410">
            <v>1657.5922391194347</v>
          </cell>
          <cell r="AO410">
            <v>2245.4953840385647</v>
          </cell>
          <cell r="AP410">
            <v>2356.0193882762023</v>
          </cell>
          <cell r="AQ410">
            <v>2461.2054835943268</v>
          </cell>
          <cell r="AR410">
            <v>2574.5952617355206</v>
          </cell>
          <cell r="AS410">
            <v>2697.2684472465489</v>
          </cell>
        </row>
        <row r="411">
          <cell r="H411">
            <v>2</v>
          </cell>
          <cell r="I411">
            <v>0</v>
          </cell>
          <cell r="N411">
            <v>135</v>
          </cell>
          <cell r="S411">
            <v>0</v>
          </cell>
          <cell r="X411">
            <v>0</v>
          </cell>
          <cell r="AC411">
            <v>0</v>
          </cell>
          <cell r="AH411">
            <v>0</v>
          </cell>
          <cell r="AN411">
            <v>0</v>
          </cell>
          <cell r="AO411">
            <v>0</v>
          </cell>
          <cell r="AP411">
            <v>0</v>
          </cell>
          <cell r="AQ411">
            <v>0</v>
          </cell>
          <cell r="AR411">
            <v>0</v>
          </cell>
          <cell r="AS411">
            <v>0</v>
          </cell>
        </row>
        <row r="412">
          <cell r="H412">
            <v>1777</v>
          </cell>
          <cell r="I412">
            <v>2493</v>
          </cell>
          <cell r="N412">
            <v>1354</v>
          </cell>
          <cell r="S412">
            <v>1796</v>
          </cell>
          <cell r="X412">
            <v>2078</v>
          </cell>
          <cell r="AC412">
            <v>2113.3219200000003</v>
          </cell>
          <cell r="AH412">
            <v>1910</v>
          </cell>
          <cell r="AN412">
            <v>1657.5922391194347</v>
          </cell>
          <cell r="AO412">
            <v>2245.4953840385647</v>
          </cell>
          <cell r="AP412">
            <v>2356.0193882762023</v>
          </cell>
          <cell r="AQ412">
            <v>2461.2054835943268</v>
          </cell>
          <cell r="AR412">
            <v>2574.5952617355206</v>
          </cell>
          <cell r="AS412">
            <v>2697.2684472465489</v>
          </cell>
        </row>
        <row r="414">
          <cell r="H414">
            <v>11012</v>
          </cell>
          <cell r="I414">
            <v>9718</v>
          </cell>
          <cell r="J414">
            <v>0</v>
          </cell>
          <cell r="K414">
            <v>0</v>
          </cell>
          <cell r="L414">
            <v>0</v>
          </cell>
          <cell r="M414">
            <v>0</v>
          </cell>
          <cell r="N414">
            <v>8070</v>
          </cell>
          <cell r="O414">
            <v>0</v>
          </cell>
          <cell r="P414">
            <v>0</v>
          </cell>
          <cell r="Q414">
            <v>0</v>
          </cell>
          <cell r="R414">
            <v>0</v>
          </cell>
          <cell r="S414">
            <v>15039</v>
          </cell>
          <cell r="T414">
            <v>0</v>
          </cell>
          <cell r="U414">
            <v>0</v>
          </cell>
          <cell r="V414">
            <v>0</v>
          </cell>
          <cell r="W414">
            <v>0</v>
          </cell>
          <cell r="X414">
            <v>18279</v>
          </cell>
          <cell r="AC414">
            <v>18921</v>
          </cell>
          <cell r="AH414">
            <v>15180.561629350095</v>
          </cell>
          <cell r="AN414">
            <v>16338.755326592</v>
          </cell>
          <cell r="AO414">
            <v>15199.667413839999</v>
          </cell>
          <cell r="AP414">
            <v>13140.507229204452</v>
          </cell>
          <cell r="AQ414">
            <v>10706.184412478977</v>
          </cell>
          <cell r="AR414">
            <v>5456.5437869220623</v>
          </cell>
          <cell r="AS414">
            <v>494.18308716391994</v>
          </cell>
        </row>
        <row r="415">
          <cell r="H415">
            <v>9205</v>
          </cell>
          <cell r="I415">
            <v>8246</v>
          </cell>
          <cell r="N415">
            <v>7100</v>
          </cell>
          <cell r="S415">
            <v>13625</v>
          </cell>
          <cell r="X415">
            <v>16881</v>
          </cell>
          <cell r="AC415">
            <v>17523</v>
          </cell>
          <cell r="AH415">
            <v>13782.561629350095</v>
          </cell>
          <cell r="AN415">
            <v>14940.755326592</v>
          </cell>
          <cell r="AO415">
            <v>13801.667413839999</v>
          </cell>
          <cell r="AP415">
            <v>11742.507229204452</v>
          </cell>
          <cell r="AQ415">
            <v>9308.1844124789768</v>
          </cell>
          <cell r="AR415">
            <v>4058.5437869220627</v>
          </cell>
          <cell r="AS415">
            <v>-903.81691283608006</v>
          </cell>
        </row>
        <row r="416">
          <cell r="H416">
            <v>8324</v>
          </cell>
          <cell r="I416">
            <v>7262</v>
          </cell>
          <cell r="N416">
            <v>6194</v>
          </cell>
          <cell r="S416">
            <v>12038</v>
          </cell>
          <cell r="X416">
            <v>15659</v>
          </cell>
          <cell r="AC416">
            <v>15204</v>
          </cell>
          <cell r="AH416">
            <v>12205.561629350095</v>
          </cell>
          <cell r="AN416">
            <v>14737.755326592</v>
          </cell>
          <cell r="AO416">
            <v>13598.667413839999</v>
          </cell>
          <cell r="AP416">
            <v>11216.507229204452</v>
          </cell>
          <cell r="AQ416">
            <v>8439.1844124789768</v>
          </cell>
          <cell r="AR416">
            <v>2825.5437869220627</v>
          </cell>
          <cell r="AS416">
            <v>-2500.8169128360801</v>
          </cell>
        </row>
        <row r="417">
          <cell r="H417">
            <v>881</v>
          </cell>
          <cell r="I417">
            <v>984</v>
          </cell>
          <cell r="N417">
            <v>906</v>
          </cell>
          <cell r="S417">
            <v>1587</v>
          </cell>
          <cell r="X417">
            <v>1222</v>
          </cell>
          <cell r="AC417">
            <v>2319</v>
          </cell>
          <cell r="AH417">
            <v>1577</v>
          </cell>
          <cell r="AN417">
            <v>203</v>
          </cell>
          <cell r="AO417">
            <v>203</v>
          </cell>
          <cell r="AP417">
            <v>526</v>
          </cell>
          <cell r="AQ417">
            <v>869</v>
          </cell>
          <cell r="AR417">
            <v>1233</v>
          </cell>
          <cell r="AS417">
            <v>1597</v>
          </cell>
        </row>
        <row r="418">
          <cell r="H418">
            <v>300</v>
          </cell>
          <cell r="I418">
            <v>300</v>
          </cell>
          <cell r="N418">
            <v>300</v>
          </cell>
          <cell r="S418">
            <v>600</v>
          </cell>
          <cell r="X418">
            <v>600</v>
          </cell>
          <cell r="AC418">
            <v>600</v>
          </cell>
          <cell r="AH418">
            <v>600</v>
          </cell>
          <cell r="AN418">
            <v>600</v>
          </cell>
          <cell r="AO418">
            <v>600</v>
          </cell>
          <cell r="AP418">
            <v>600</v>
          </cell>
          <cell r="AQ418">
            <v>600</v>
          </cell>
          <cell r="AR418">
            <v>600</v>
          </cell>
          <cell r="AS418">
            <v>600</v>
          </cell>
        </row>
        <row r="419">
          <cell r="H419">
            <v>1507</v>
          </cell>
          <cell r="I419">
            <v>1172</v>
          </cell>
          <cell r="N419">
            <v>670</v>
          </cell>
          <cell r="S419">
            <v>814</v>
          </cell>
          <cell r="X419">
            <v>798</v>
          </cell>
          <cell r="AC419">
            <v>798</v>
          </cell>
          <cell r="AH419">
            <v>798</v>
          </cell>
          <cell r="AN419">
            <v>798</v>
          </cell>
          <cell r="AO419">
            <v>798</v>
          </cell>
          <cell r="AP419">
            <v>798</v>
          </cell>
          <cell r="AQ419">
            <v>798</v>
          </cell>
          <cell r="AR419">
            <v>798</v>
          </cell>
          <cell r="AS419">
            <v>798</v>
          </cell>
        </row>
        <row r="420">
          <cell r="H420">
            <v>20154</v>
          </cell>
          <cell r="I420">
            <v>16054</v>
          </cell>
          <cell r="J420">
            <v>16334</v>
          </cell>
          <cell r="K420">
            <v>16878</v>
          </cell>
          <cell r="L420">
            <v>17247</v>
          </cell>
          <cell r="M420">
            <v>17303</v>
          </cell>
          <cell r="N420">
            <v>17303</v>
          </cell>
          <cell r="O420">
            <v>18401</v>
          </cell>
          <cell r="P420">
            <v>18106</v>
          </cell>
          <cell r="Q420">
            <v>18403</v>
          </cell>
          <cell r="R420">
            <v>17582</v>
          </cell>
          <cell r="S420">
            <v>17582</v>
          </cell>
          <cell r="T420">
            <v>18458</v>
          </cell>
          <cell r="U420">
            <v>19466</v>
          </cell>
          <cell r="V420">
            <v>20405</v>
          </cell>
          <cell r="W420">
            <v>21514</v>
          </cell>
          <cell r="X420">
            <v>21514</v>
          </cell>
          <cell r="Y420">
            <v>23508.296249999999</v>
          </cell>
          <cell r="Z420">
            <v>23890.243268294926</v>
          </cell>
          <cell r="AA420">
            <v>23705.59097340771</v>
          </cell>
          <cell r="AB420">
            <v>24368.407438863185</v>
          </cell>
          <cell r="AC420">
            <v>21587.407438863185</v>
          </cell>
          <cell r="AD420">
            <v>22751</v>
          </cell>
          <cell r="AE420">
            <v>23491</v>
          </cell>
          <cell r="AF420">
            <v>25629.319374999999</v>
          </cell>
          <cell r="AG420">
            <v>26936.225418480979</v>
          </cell>
          <cell r="AH420">
            <v>23880.225418480979</v>
          </cell>
          <cell r="AN420">
            <v>28839.06943774212</v>
          </cell>
          <cell r="AO420">
            <v>33358.412774536249</v>
          </cell>
          <cell r="AP420">
            <v>23215.279051501348</v>
          </cell>
          <cell r="AQ420">
            <v>22697.97923162657</v>
          </cell>
          <cell r="AR420">
            <v>23908.596940812953</v>
          </cell>
          <cell r="AS420">
            <v>24710.338443981462</v>
          </cell>
        </row>
        <row r="423">
          <cell r="H423">
            <v>43.882627080919342</v>
          </cell>
          <cell r="I423">
            <v>47.521989203135455</v>
          </cell>
          <cell r="N423">
            <v>36.032795100239348</v>
          </cell>
          <cell r="S423">
            <v>27.072132113940324</v>
          </cell>
          <cell r="X423">
            <v>20.318212686406547</v>
          </cell>
          <cell r="AC423">
            <v>15.359346851940314</v>
          </cell>
          <cell r="AH423">
            <v>23.032198473511222</v>
          </cell>
          <cell r="AN423">
            <v>29.983295823622726</v>
          </cell>
          <cell r="AO423">
            <v>36.235517306614931</v>
          </cell>
          <cell r="AP423">
            <v>40.694386020288412</v>
          </cell>
          <cell r="AQ423">
            <v>46.476304347015613</v>
          </cell>
          <cell r="AR423">
            <v>52.997064745147831</v>
          </cell>
          <cell r="AS423">
            <v>59.62309101466947</v>
          </cell>
        </row>
        <row r="425">
          <cell r="H425">
            <v>30415.313999999998</v>
          </cell>
          <cell r="I425">
            <v>30471.823560000004</v>
          </cell>
          <cell r="J425">
            <v>0</v>
          </cell>
          <cell r="K425">
            <v>0</v>
          </cell>
          <cell r="L425">
            <v>0</v>
          </cell>
          <cell r="M425">
            <v>0</v>
          </cell>
          <cell r="N425">
            <v>30814.042740000001</v>
          </cell>
          <cell r="O425">
            <v>0</v>
          </cell>
          <cell r="P425">
            <v>0</v>
          </cell>
          <cell r="Q425">
            <v>0</v>
          </cell>
          <cell r="R425">
            <v>0</v>
          </cell>
          <cell r="S425">
            <v>29303.420000000006</v>
          </cell>
          <cell r="T425">
            <v>0</v>
          </cell>
          <cell r="U425">
            <v>0</v>
          </cell>
          <cell r="V425">
            <v>0</v>
          </cell>
          <cell r="W425">
            <v>0</v>
          </cell>
          <cell r="X425">
            <v>30435.23</v>
          </cell>
          <cell r="AC425">
            <v>27785.344649999999</v>
          </cell>
          <cell r="AH425">
            <v>31724.890000000003</v>
          </cell>
          <cell r="AN425">
            <v>40494.017999999996</v>
          </cell>
          <cell r="AO425">
            <v>45998.141389365468</v>
          </cell>
          <cell r="AP425">
            <v>51659.689324589344</v>
          </cell>
          <cell r="AQ425">
            <v>58259.204393879569</v>
          </cell>
          <cell r="AR425">
            <v>64043.490735522115</v>
          </cell>
          <cell r="AS425">
            <v>71018.490535349265</v>
          </cell>
        </row>
        <row r="426">
          <cell r="H426">
            <v>50.800743363059006</v>
          </cell>
          <cell r="I426">
            <v>52.232393814086464</v>
          </cell>
          <cell r="J426">
            <v>0</v>
          </cell>
          <cell r="K426">
            <v>0</v>
          </cell>
          <cell r="L426">
            <v>0</v>
          </cell>
          <cell r="M426">
            <v>0</v>
          </cell>
          <cell r="N426">
            <v>39.920698308337542</v>
          </cell>
          <cell r="O426">
            <v>0</v>
          </cell>
          <cell r="P426">
            <v>0</v>
          </cell>
          <cell r="Q426">
            <v>0</v>
          </cell>
          <cell r="R426">
            <v>0</v>
          </cell>
          <cell r="S426">
            <v>41.539959723893652</v>
          </cell>
          <cell r="T426">
            <v>0</v>
          </cell>
          <cell r="U426">
            <v>0</v>
          </cell>
          <cell r="V426">
            <v>0</v>
          </cell>
          <cell r="W426">
            <v>0</v>
          </cell>
          <cell r="X426">
            <v>34.415714641881877</v>
          </cell>
          <cell r="AC426">
            <v>29.109504935699121</v>
          </cell>
          <cell r="AH426">
            <v>33.389486380934081</v>
          </cell>
          <cell r="AN426">
            <v>41.811019216784572</v>
          </cell>
          <cell r="AO426">
            <v>45.869968017609992</v>
          </cell>
          <cell r="AP426">
            <v>48.118731664060078</v>
          </cell>
          <cell r="AQ426">
            <v>52.196071041007272</v>
          </cell>
          <cell r="AR426">
            <v>55.231695049125236</v>
          </cell>
          <cell r="AS426">
            <v>58.94672040859556</v>
          </cell>
        </row>
        <row r="428">
          <cell r="H428">
            <v>20910.313999999998</v>
          </cell>
          <cell r="I428">
            <v>21925.823560000004</v>
          </cell>
          <cell r="J428">
            <v>0</v>
          </cell>
          <cell r="K428">
            <v>0</v>
          </cell>
          <cell r="L428">
            <v>0</v>
          </cell>
          <cell r="M428">
            <v>0</v>
          </cell>
          <cell r="N428">
            <v>23414.042740000001</v>
          </cell>
          <cell r="O428">
            <v>0</v>
          </cell>
          <cell r="P428">
            <v>0</v>
          </cell>
          <cell r="Q428">
            <v>0</v>
          </cell>
          <cell r="R428">
            <v>0</v>
          </cell>
          <cell r="S428">
            <v>15078.420000000006</v>
          </cell>
          <cell r="T428">
            <v>0</v>
          </cell>
          <cell r="U428">
            <v>0</v>
          </cell>
          <cell r="V428">
            <v>0</v>
          </cell>
          <cell r="W428">
            <v>0</v>
          </cell>
          <cell r="X428">
            <v>12954.23</v>
          </cell>
          <cell r="AC428">
            <v>9662.3446499999991</v>
          </cell>
          <cell r="AH428">
            <v>17342.328370649906</v>
          </cell>
          <cell r="AN428">
            <v>24953.262673407997</v>
          </cell>
          <cell r="AO428">
            <v>31596.47397552547</v>
          </cell>
          <cell r="AP428">
            <v>39317.182095384895</v>
          </cell>
          <cell r="AQ428">
            <v>48351.01998140059</v>
          </cell>
          <cell r="AR428">
            <v>59384.946948600053</v>
          </cell>
          <cell r="AS428">
            <v>71322.30744818534</v>
          </cell>
        </row>
        <row r="429">
          <cell r="H429">
            <v>34.925153005324219</v>
          </cell>
          <cell r="I429">
            <v>37.583515427919316</v>
          </cell>
          <cell r="J429">
            <v>0</v>
          </cell>
          <cell r="K429">
            <v>0</v>
          </cell>
          <cell r="L429">
            <v>0</v>
          </cell>
          <cell r="M429">
            <v>0</v>
          </cell>
          <cell r="N429">
            <v>30.33373271689247</v>
          </cell>
          <cell r="O429">
            <v>0</v>
          </cell>
          <cell r="P429">
            <v>0</v>
          </cell>
          <cell r="Q429">
            <v>0</v>
          </cell>
          <cell r="R429">
            <v>0</v>
          </cell>
          <cell r="S429">
            <v>21.374875680038461</v>
          </cell>
          <cell r="T429">
            <v>0</v>
          </cell>
          <cell r="U429">
            <v>0</v>
          </cell>
          <cell r="V429">
            <v>0</v>
          </cell>
          <cell r="W429">
            <v>0</v>
          </cell>
          <cell r="X429">
            <v>14.648454540521149</v>
          </cell>
          <cell r="AC429">
            <v>10.122820962726513</v>
          </cell>
          <cell r="AH429">
            <v>18.25227564053025</v>
          </cell>
          <cell r="AN429">
            <v>25.764826428420488</v>
          </cell>
          <cell r="AO429">
            <v>31.508430709369428</v>
          </cell>
          <cell r="AP429">
            <v>36.622228274499058</v>
          </cell>
          <cell r="AQ429">
            <v>43.319048039033618</v>
          </cell>
          <cell r="AR429">
            <v>51.214124069510227</v>
          </cell>
          <cell r="AS429">
            <v>59.19889432107032</v>
          </cell>
        </row>
        <row r="436">
          <cell r="B436">
            <v>1987</v>
          </cell>
          <cell r="C436">
            <v>1988</v>
          </cell>
          <cell r="D436">
            <v>1989</v>
          </cell>
          <cell r="E436">
            <v>1990</v>
          </cell>
          <cell r="F436">
            <v>1991</v>
          </cell>
          <cell r="G436">
            <v>1992</v>
          </cell>
          <cell r="H436">
            <v>1993</v>
          </cell>
          <cell r="I436">
            <v>1994</v>
          </cell>
          <cell r="J436" t="str">
            <v>1995</v>
          </cell>
          <cell r="K436" t="str">
            <v>1995</v>
          </cell>
          <cell r="L436" t="str">
            <v>1995</v>
          </cell>
          <cell r="M436" t="str">
            <v>1995</v>
          </cell>
          <cell r="N436">
            <v>1995</v>
          </cell>
          <cell r="O436">
            <v>1996</v>
          </cell>
          <cell r="P436">
            <v>1996</v>
          </cell>
          <cell r="Q436">
            <v>1996</v>
          </cell>
          <cell r="R436">
            <v>1996</v>
          </cell>
          <cell r="S436">
            <v>1996</v>
          </cell>
          <cell r="T436">
            <v>1997</v>
          </cell>
          <cell r="U436">
            <v>1997</v>
          </cell>
          <cell r="V436">
            <v>1997</v>
          </cell>
          <cell r="W436">
            <v>1997</v>
          </cell>
          <cell r="X436">
            <v>1997</v>
          </cell>
          <cell r="Y436">
            <v>1998</v>
          </cell>
          <cell r="Z436">
            <v>1998</v>
          </cell>
          <cell r="AA436">
            <v>1998</v>
          </cell>
          <cell r="AB436">
            <v>1998</v>
          </cell>
          <cell r="AC436">
            <v>1998</v>
          </cell>
          <cell r="AD436">
            <v>1998</v>
          </cell>
          <cell r="AE436">
            <v>1998</v>
          </cell>
          <cell r="AF436">
            <v>1998</v>
          </cell>
          <cell r="AG436">
            <v>1998</v>
          </cell>
          <cell r="AH436">
            <v>1998</v>
          </cell>
          <cell r="AN436">
            <v>1999</v>
          </cell>
          <cell r="AO436">
            <v>2000</v>
          </cell>
          <cell r="AP436">
            <v>2001</v>
          </cell>
          <cell r="AQ436">
            <v>2002</v>
          </cell>
          <cell r="AR436">
            <v>2003</v>
          </cell>
          <cell r="AS436">
            <v>2004</v>
          </cell>
        </row>
        <row r="437">
          <cell r="J437" t="str">
            <v>Q1</v>
          </cell>
          <cell r="K437" t="str">
            <v>Q2</v>
          </cell>
          <cell r="L437" t="str">
            <v>Q3</v>
          </cell>
          <cell r="M437" t="str">
            <v>Q4</v>
          </cell>
          <cell r="O437" t="str">
            <v>Q1</v>
          </cell>
          <cell r="P437" t="str">
            <v>Q2</v>
          </cell>
          <cell r="Q437" t="str">
            <v>Q3</v>
          </cell>
          <cell r="R437" t="str">
            <v>Q4</v>
          </cell>
          <cell r="T437" t="str">
            <v>Q1</v>
          </cell>
          <cell r="U437" t="str">
            <v>Q2</v>
          </cell>
          <cell r="V437" t="str">
            <v>Q3</v>
          </cell>
          <cell r="W437" t="str">
            <v>Q4</v>
          </cell>
          <cell r="Y437" t="str">
            <v>Q1</v>
          </cell>
          <cell r="Z437" t="str">
            <v>Q2</v>
          </cell>
          <cell r="AA437" t="str">
            <v>Q3</v>
          </cell>
          <cell r="AB437" t="str">
            <v>Q4</v>
          </cell>
          <cell r="AD437" t="str">
            <v>Q1</v>
          </cell>
          <cell r="AE437" t="str">
            <v>Q2</v>
          </cell>
          <cell r="AF437" t="str">
            <v>Q3</v>
          </cell>
          <cell r="AG437" t="str">
            <v>Q4</v>
          </cell>
        </row>
        <row r="438">
          <cell r="O438" t="str">
            <v>Prel.</v>
          </cell>
          <cell r="P438" t="str">
            <v>Prel.</v>
          </cell>
          <cell r="Q438" t="str">
            <v>Prel.</v>
          </cell>
          <cell r="R438" t="str">
            <v>Prel.</v>
          </cell>
          <cell r="S438" t="str">
            <v>Prel.</v>
          </cell>
          <cell r="T438" t="str">
            <v>Prel.</v>
          </cell>
          <cell r="U438" t="str">
            <v>Prel.</v>
          </cell>
          <cell r="V438" t="str">
            <v>Prel.</v>
          </cell>
          <cell r="W438" t="str">
            <v>Prel.</v>
          </cell>
          <cell r="X438" t="str">
            <v>Prel.</v>
          </cell>
          <cell r="Y438" t="str">
            <v>Prog.</v>
          </cell>
          <cell r="Z438" t="str">
            <v>Prog.</v>
          </cell>
          <cell r="AA438" t="str">
            <v>Prog.</v>
          </cell>
          <cell r="AB438" t="str">
            <v>Prog.</v>
          </cell>
          <cell r="AC438" t="str">
            <v>Prog.</v>
          </cell>
          <cell r="AD438" t="str">
            <v>Prog.</v>
          </cell>
          <cell r="AE438" t="str">
            <v>Prog.</v>
          </cell>
          <cell r="AF438" t="str">
            <v>Prog.</v>
          </cell>
          <cell r="AG438" t="str">
            <v>Prog.</v>
          </cell>
          <cell r="AH438" t="str">
            <v>Prog.</v>
          </cell>
          <cell r="AN438" t="str">
            <v>Proj.</v>
          </cell>
          <cell r="AO438" t="str">
            <v>Proj.</v>
          </cell>
          <cell r="AP438" t="str">
            <v>Proj.</v>
          </cell>
          <cell r="AQ438" t="str">
            <v>Proj.</v>
          </cell>
          <cell r="AR438" t="str">
            <v>Proj.</v>
          </cell>
          <cell r="AS438" t="str">
            <v>Proj.</v>
          </cell>
        </row>
        <row r="442">
          <cell r="E442">
            <v>29595.1</v>
          </cell>
          <cell r="F442">
            <v>29086.899999999998</v>
          </cell>
          <cell r="G442">
            <v>29750.3</v>
          </cell>
          <cell r="H442">
            <v>30623.313999999998</v>
          </cell>
          <cell r="I442">
            <v>30722.823560000001</v>
          </cell>
          <cell r="N442">
            <v>29959.042739999997</v>
          </cell>
        </row>
        <row r="444">
          <cell r="E444">
            <v>25233.1</v>
          </cell>
          <cell r="F444">
            <v>25068.899999999998</v>
          </cell>
          <cell r="G444">
            <v>25574.3</v>
          </cell>
          <cell r="H444">
            <v>25936.313999999998</v>
          </cell>
          <cell r="I444">
            <v>26122.823560000001</v>
          </cell>
          <cell r="N444">
            <v>26075.042739999997</v>
          </cell>
        </row>
        <row r="445">
          <cell r="I445">
            <v>23246.65956</v>
          </cell>
          <cell r="N445">
            <v>23232.629999999997</v>
          </cell>
        </row>
        <row r="446">
          <cell r="I446">
            <v>2876.1639999999998</v>
          </cell>
          <cell r="N446">
            <v>2842.4127399999998</v>
          </cell>
        </row>
        <row r="448">
          <cell r="E448">
            <v>4362</v>
          </cell>
          <cell r="F448">
            <v>4018</v>
          </cell>
          <cell r="G448">
            <v>4176</v>
          </cell>
          <cell r="H448">
            <v>4687</v>
          </cell>
          <cell r="I448">
            <v>4600</v>
          </cell>
          <cell r="N448">
            <v>3884</v>
          </cell>
        </row>
        <row r="449">
          <cell r="E449">
            <v>0</v>
          </cell>
          <cell r="F449">
            <v>177</v>
          </cell>
          <cell r="G449">
            <v>355</v>
          </cell>
          <cell r="H449">
            <v>355</v>
          </cell>
          <cell r="I449">
            <v>355</v>
          </cell>
          <cell r="N449">
            <v>355</v>
          </cell>
        </row>
        <row r="450">
          <cell r="E450">
            <v>3011.7427668</v>
          </cell>
          <cell r="F450">
            <v>3248.9785719000001</v>
          </cell>
          <cell r="G450">
            <v>2946.28125</v>
          </cell>
          <cell r="H450">
            <v>2679.4815199999998</v>
          </cell>
          <cell r="I450">
            <v>2642.4189999999999</v>
          </cell>
          <cell r="N450">
            <v>2238.6689999999999</v>
          </cell>
        </row>
        <row r="451">
          <cell r="E451">
            <v>1350.2572332</v>
          </cell>
          <cell r="F451">
            <v>592.02142809999987</v>
          </cell>
          <cell r="G451">
            <v>874.71875</v>
          </cell>
          <cell r="H451">
            <v>1652.5184800000002</v>
          </cell>
          <cell r="I451">
            <v>1602.5810000000001</v>
          </cell>
          <cell r="N451">
            <v>1290.3310000000001</v>
          </cell>
        </row>
        <row r="453">
          <cell r="E453">
            <v>9243</v>
          </cell>
          <cell r="F453">
            <v>11974</v>
          </cell>
          <cell r="G453">
            <v>10904</v>
          </cell>
          <cell r="H453">
            <v>10561</v>
          </cell>
          <cell r="I453">
            <v>9422</v>
          </cell>
          <cell r="N453">
            <v>8235</v>
          </cell>
        </row>
        <row r="455">
          <cell r="E455">
            <v>7360</v>
          </cell>
          <cell r="F455">
            <v>9743</v>
          </cell>
          <cell r="G455">
            <v>8613</v>
          </cell>
          <cell r="H455">
            <v>8324</v>
          </cell>
          <cell r="I455">
            <v>7230</v>
          </cell>
          <cell r="N455">
            <v>5464</v>
          </cell>
        </row>
        <row r="457">
          <cell r="E457">
            <v>1883</v>
          </cell>
          <cell r="F457">
            <v>2231</v>
          </cell>
          <cell r="G457">
            <v>2291</v>
          </cell>
          <cell r="H457">
            <v>2237</v>
          </cell>
          <cell r="I457">
            <v>2192</v>
          </cell>
          <cell r="N457">
            <v>2771</v>
          </cell>
        </row>
        <row r="458">
          <cell r="E458">
            <v>438</v>
          </cell>
          <cell r="F458">
            <v>789</v>
          </cell>
          <cell r="G458">
            <v>728</v>
          </cell>
          <cell r="H458">
            <v>881</v>
          </cell>
          <cell r="I458">
            <v>984</v>
          </cell>
          <cell r="N458">
            <v>906</v>
          </cell>
        </row>
        <row r="459">
          <cell r="E459">
            <v>1167</v>
          </cell>
          <cell r="F459">
            <v>1119</v>
          </cell>
          <cell r="G459">
            <v>1109</v>
          </cell>
          <cell r="H459">
            <v>983</v>
          </cell>
          <cell r="I459">
            <v>930</v>
          </cell>
          <cell r="N459">
            <v>959</v>
          </cell>
        </row>
        <row r="460">
          <cell r="E460">
            <v>278</v>
          </cell>
          <cell r="F460">
            <v>323</v>
          </cell>
          <cell r="G460">
            <v>454</v>
          </cell>
          <cell r="H460">
            <v>373</v>
          </cell>
          <cell r="I460">
            <v>278</v>
          </cell>
          <cell r="N460">
            <v>906</v>
          </cell>
        </row>
        <row r="462">
          <cell r="E462">
            <v>20352.099999999999</v>
          </cell>
          <cell r="F462">
            <v>17112.899999999998</v>
          </cell>
          <cell r="G462">
            <v>18846.3</v>
          </cell>
          <cell r="H462">
            <v>20062.313999999998</v>
          </cell>
          <cell r="I462">
            <v>21300.823560000001</v>
          </cell>
          <cell r="N462">
            <v>21724.042739999997</v>
          </cell>
        </row>
        <row r="464">
          <cell r="E464">
            <v>25233.1</v>
          </cell>
          <cell r="F464">
            <v>25068.899999999998</v>
          </cell>
          <cell r="G464">
            <v>25574.3</v>
          </cell>
          <cell r="H464">
            <v>25936.313999999998</v>
          </cell>
          <cell r="I464">
            <v>26122.823560000001</v>
          </cell>
          <cell r="N464">
            <v>26075.042739999997</v>
          </cell>
        </row>
        <row r="466">
          <cell r="E466">
            <v>-2998</v>
          </cell>
          <cell r="F466">
            <v>-5725</v>
          </cell>
          <cell r="G466">
            <v>-4437</v>
          </cell>
          <cell r="H466">
            <v>-3637</v>
          </cell>
          <cell r="I466">
            <v>-2630</v>
          </cell>
          <cell r="N466">
            <v>-1580</v>
          </cell>
        </row>
        <row r="468">
          <cell r="E468">
            <v>-1883</v>
          </cell>
          <cell r="F468">
            <v>-2231</v>
          </cell>
          <cell r="G468">
            <v>-2291</v>
          </cell>
          <cell r="H468">
            <v>-2237</v>
          </cell>
          <cell r="I468">
            <v>-2192</v>
          </cell>
          <cell r="N468">
            <v>-2771</v>
          </cell>
        </row>
        <row r="472">
          <cell r="E472">
            <v>61.156022024305706</v>
          </cell>
          <cell r="F472">
            <v>54.469850187265919</v>
          </cell>
          <cell r="G472">
            <v>49.247870218686025</v>
          </cell>
          <cell r="H472">
            <v>51.148152389298758</v>
          </cell>
          <cell r="I472">
            <v>52.662638194489908</v>
          </cell>
          <cell r="N472">
            <v>38.813015121758411</v>
          </cell>
        </row>
        <row r="474">
          <cell r="E474">
            <v>52.142280963453686</v>
          </cell>
          <cell r="F474">
            <v>46.945505617977531</v>
          </cell>
          <cell r="G474">
            <v>42.335028800843752</v>
          </cell>
          <cell r="H474">
            <v>43.319757648982822</v>
          </cell>
          <cell r="I474">
            <v>44.777681422155617</v>
          </cell>
          <cell r="N474">
            <v>33.781153722140481</v>
          </cell>
        </row>
        <row r="475">
          <cell r="I475">
            <v>39.847588202559081</v>
          </cell>
          <cell r="N475">
            <v>30.098706001185736</v>
          </cell>
        </row>
        <row r="476">
          <cell r="I476">
            <v>4.9300932195965403</v>
          </cell>
          <cell r="N476">
            <v>3.6824477209547437</v>
          </cell>
        </row>
        <row r="478">
          <cell r="E478">
            <v>9.0137410608520145</v>
          </cell>
          <cell r="F478">
            <v>7.5243445692883899</v>
          </cell>
          <cell r="G478">
            <v>6.9128414178422686</v>
          </cell>
          <cell r="H478">
            <v>7.8283947403159333</v>
          </cell>
          <cell r="I478">
            <v>7.8849567723342933</v>
          </cell>
          <cell r="N478">
            <v>5.0318613996179264</v>
          </cell>
        </row>
        <row r="479">
          <cell r="E479">
            <v>0</v>
          </cell>
          <cell r="F479">
            <v>0.33146067415730335</v>
          </cell>
          <cell r="G479">
            <v>0.58765773547270239</v>
          </cell>
          <cell r="H479">
            <v>0.59293367459188318</v>
          </cell>
          <cell r="I479">
            <v>0.6085129682997118</v>
          </cell>
          <cell r="N479">
            <v>0.45991524121121624</v>
          </cell>
        </row>
        <row r="480">
          <cell r="E480">
            <v>6.2235372402176106</v>
          </cell>
          <cell r="F480">
            <v>6.0842295353932583</v>
          </cell>
          <cell r="G480">
            <v>4.8771970913822056</v>
          </cell>
          <cell r="H480">
            <v>4.475365700435618</v>
          </cell>
          <cell r="I480">
            <v>4.5294259976945233</v>
          </cell>
          <cell r="N480">
            <v>2.9002760369776683</v>
          </cell>
        </row>
        <row r="481">
          <cell r="E481">
            <v>2.7902038206344049</v>
          </cell>
          <cell r="F481">
            <v>1.1086543597378276</v>
          </cell>
          <cell r="G481">
            <v>1.4479865909873604</v>
          </cell>
          <cell r="H481">
            <v>2.7600953652884326</v>
          </cell>
          <cell r="I481">
            <v>2.7470178063400574</v>
          </cell>
          <cell r="N481">
            <v>1.6716701214290419</v>
          </cell>
        </row>
        <row r="483">
          <cell r="E483">
            <v>19.099956126881057</v>
          </cell>
          <cell r="F483">
            <v>22.423220973782772</v>
          </cell>
          <cell r="G483">
            <v>18.050197035477034</v>
          </cell>
          <cell r="H483">
            <v>17.639359260182754</v>
          </cell>
          <cell r="I483">
            <v>16.15044841498559</v>
          </cell>
          <cell r="N483">
            <v>10.668738060209481</v>
          </cell>
        </row>
        <row r="485">
          <cell r="E485">
            <v>15.208879919273461</v>
          </cell>
          <cell r="F485">
            <v>18.245318352059925</v>
          </cell>
          <cell r="G485">
            <v>14.257735424299678</v>
          </cell>
          <cell r="H485">
            <v>13.903041992402352</v>
          </cell>
          <cell r="I485">
            <v>12.393095100864553</v>
          </cell>
          <cell r="N485">
            <v>7.0788081069805227</v>
          </cell>
        </row>
        <row r="487">
          <cell r="E487">
            <v>3.8910762076075986</v>
          </cell>
          <cell r="F487">
            <v>4.1779026217228461</v>
          </cell>
          <cell r="G487">
            <v>3.7924616111773557</v>
          </cell>
          <cell r="H487">
            <v>3.7363172677804015</v>
          </cell>
          <cell r="I487">
            <v>3.7573533141210373</v>
          </cell>
          <cell r="N487">
            <v>3.5899299532289581</v>
          </cell>
        </row>
        <row r="488">
          <cell r="E488">
            <v>0.90509366910893685</v>
          </cell>
          <cell r="F488">
            <v>1.4775280898876404</v>
          </cell>
          <cell r="G488">
            <v>1.2051122011947248</v>
          </cell>
          <cell r="H488">
            <v>1.4714776544097157</v>
          </cell>
          <cell r="I488">
            <v>1.6866951008645532</v>
          </cell>
          <cell r="N488">
            <v>1.1737555170066534</v>
          </cell>
        </row>
        <row r="489">
          <cell r="E489">
            <v>2.4115166937217567</v>
          </cell>
          <cell r="F489">
            <v>2.095505617977528</v>
          </cell>
          <cell r="G489">
            <v>1.8358096581386676</v>
          </cell>
          <cell r="H489">
            <v>1.6418416961234399</v>
          </cell>
          <cell r="I489">
            <v>1.5941325648414983</v>
          </cell>
          <cell r="N489">
            <v>1.2424189192156518</v>
          </cell>
        </row>
        <row r="490">
          <cell r="E490">
            <v>0.5744658447769051</v>
          </cell>
          <cell r="F490">
            <v>0.60486891385767794</v>
          </cell>
          <cell r="G490">
            <v>0.75153975184396304</v>
          </cell>
          <cell r="H490">
            <v>0.62299791724724618</v>
          </cell>
          <cell r="I490">
            <v>0.47652564841498557</v>
          </cell>
          <cell r="N490">
            <v>1.1737555170066534</v>
          </cell>
        </row>
        <row r="492">
          <cell r="E492">
            <v>42.056065897424638</v>
          </cell>
          <cell r="F492">
            <v>32.046629213483143</v>
          </cell>
          <cell r="G492">
            <v>31.197673183208991</v>
          </cell>
          <cell r="H492">
            <v>33.508793129116</v>
          </cell>
          <cell r="I492">
            <v>36.512189779504325</v>
          </cell>
          <cell r="N492">
            <v>28.14427706154893</v>
          </cell>
        </row>
        <row r="494">
          <cell r="E494">
            <v>52.142280963453686</v>
          </cell>
          <cell r="F494">
            <v>46.945505617977531</v>
          </cell>
          <cell r="G494">
            <v>42.335028800843752</v>
          </cell>
          <cell r="H494">
            <v>43.319757648982822</v>
          </cell>
          <cell r="I494">
            <v>44.777681422155617</v>
          </cell>
          <cell r="N494">
            <v>33.781153722140481</v>
          </cell>
        </row>
        <row r="496">
          <cell r="E496">
            <v>-6.1951388584214451</v>
          </cell>
          <cell r="F496">
            <v>-10.720973782771535</v>
          </cell>
          <cell r="G496">
            <v>-7.3448940064574098</v>
          </cell>
          <cell r="H496">
            <v>-6.0746472520864199</v>
          </cell>
          <cell r="I496">
            <v>-4.5081383285302588</v>
          </cell>
          <cell r="N496">
            <v>-2.0469467073625962</v>
          </cell>
        </row>
        <row r="498">
          <cell r="E498">
            <v>-3.8910762076075986</v>
          </cell>
          <cell r="F498">
            <v>-4.1779026217228461</v>
          </cell>
          <cell r="G498">
            <v>-3.7924616111773557</v>
          </cell>
          <cell r="H498">
            <v>-3.7363172677804015</v>
          </cell>
          <cell r="I498">
            <v>-3.7573533141210373</v>
          </cell>
          <cell r="N498">
            <v>-3.5899299532289581</v>
          </cell>
        </row>
        <row r="502">
          <cell r="E502">
            <v>134.02970879942032</v>
          </cell>
          <cell r="F502">
            <v>152.1758920163231</v>
          </cell>
          <cell r="G502">
            <v>168.49011723395822</v>
          </cell>
          <cell r="H502">
            <v>168.5377765547606</v>
          </cell>
          <cell r="I502">
            <v>154.28525867523729</v>
          </cell>
          <cell r="N502">
            <v>130.08138048716947</v>
          </cell>
        </row>
        <row r="504">
          <cell r="E504">
            <v>114.27516869706987</v>
          </cell>
          <cell r="F504">
            <v>131.1546510411217</v>
          </cell>
          <cell r="G504">
            <v>144.83944044854732</v>
          </cell>
          <cell r="H504">
            <v>142.7425096312603</v>
          </cell>
          <cell r="I504">
            <v>131.18477155626979</v>
          </cell>
          <cell r="N504">
            <v>113.21715400981284</v>
          </cell>
        </row>
        <row r="505">
          <cell r="N505">
            <v>100.8754721896574</v>
          </cell>
        </row>
        <row r="506">
          <cell r="N506">
            <v>12.341681820155442</v>
          </cell>
        </row>
        <row r="508">
          <cell r="E508">
            <v>19.754540102350436</v>
          </cell>
          <cell r="F508">
            <v>21.021240975201422</v>
          </cell>
          <cell r="G508">
            <v>23.650676785410884</v>
          </cell>
          <cell r="H508">
            <v>25.795266923500275</v>
          </cell>
          <cell r="I508">
            <v>23.100487118967507</v>
          </cell>
          <cell r="N508">
            <v>16.864226477356606</v>
          </cell>
        </row>
        <row r="509">
          <cell r="E509">
            <v>0</v>
          </cell>
          <cell r="F509">
            <v>0.9260228105053887</v>
          </cell>
          <cell r="G509">
            <v>2.010534065809594</v>
          </cell>
          <cell r="H509">
            <v>1.9537699504678041</v>
          </cell>
          <cell r="I509">
            <v>1.7827549841811883</v>
          </cell>
          <cell r="N509">
            <v>1.541400720767661</v>
          </cell>
        </row>
        <row r="510">
          <cell r="E510">
            <v>13.639521610434311</v>
          </cell>
          <cell r="F510">
            <v>16.997899821596736</v>
          </cell>
          <cell r="G510">
            <v>16.686193860791754</v>
          </cell>
          <cell r="H510">
            <v>14.746733736929004</v>
          </cell>
          <cell r="I510">
            <v>13.269818711394565</v>
          </cell>
          <cell r="N510">
            <v>9.7202422821414611</v>
          </cell>
        </row>
        <row r="511">
          <cell r="E511">
            <v>6.1150184919161266</v>
          </cell>
          <cell r="F511">
            <v>3.0973183430992983</v>
          </cell>
          <cell r="G511">
            <v>4.9539488588095377</v>
          </cell>
          <cell r="H511">
            <v>9.0947632361034696</v>
          </cell>
          <cell r="I511">
            <v>8.0479134233917549</v>
          </cell>
          <cell r="N511">
            <v>5.6025834744474841</v>
          </cell>
        </row>
        <row r="513">
          <cell r="E513">
            <v>41.859517232009416</v>
          </cell>
          <cell r="F513">
            <v>62.645181542324998</v>
          </cell>
          <cell r="G513">
            <v>61.754544939683981</v>
          </cell>
          <cell r="H513">
            <v>58.123280132085853</v>
          </cell>
          <cell r="I513">
            <v>47.31582383367649</v>
          </cell>
          <cell r="N513">
            <v>35.756154747948415</v>
          </cell>
        </row>
        <row r="515">
          <cell r="E515">
            <v>33.331823739866856</v>
          </cell>
          <cell r="F515">
            <v>50.973108716124308</v>
          </cell>
          <cell r="G515">
            <v>48.779520869909952</v>
          </cell>
          <cell r="H515">
            <v>45.811777655476057</v>
          </cell>
          <cell r="I515">
            <v>36.307939536985891</v>
          </cell>
          <cell r="N515">
            <v>23.724545178238028</v>
          </cell>
        </row>
        <row r="517">
          <cell r="E517">
            <v>8.527693492142566</v>
          </cell>
          <cell r="F517">
            <v>11.67207282620069</v>
          </cell>
          <cell r="G517">
            <v>12.975024069774028</v>
          </cell>
          <cell r="H517">
            <v>12.311502476609796</v>
          </cell>
          <cell r="I517">
            <v>11.007884296690603</v>
          </cell>
          <cell r="N517">
            <v>12.03160956971039</v>
          </cell>
        </row>
        <row r="518">
          <cell r="E518">
            <v>1.983605814954033</v>
          </cell>
          <cell r="F518">
            <v>4.1278643925918175</v>
          </cell>
          <cell r="G518">
            <v>4.1230107039700972</v>
          </cell>
          <cell r="H518">
            <v>4.8486516235553108</v>
          </cell>
          <cell r="I518">
            <v>4.9414955054487022</v>
          </cell>
          <cell r="N518">
            <v>3.9338283183535236</v>
          </cell>
        </row>
        <row r="519">
          <cell r="E519">
            <v>5.285086726144649</v>
          </cell>
          <cell r="F519">
            <v>5.8543475986188138</v>
          </cell>
          <cell r="G519">
            <v>6.2807951520643375</v>
          </cell>
          <cell r="H519">
            <v>5.4100165107319755</v>
          </cell>
          <cell r="I519">
            <v>4.6703158740521271</v>
          </cell>
          <cell r="N519">
            <v>4.1639529330033431</v>
          </cell>
        </row>
        <row r="521">
          <cell r="E521">
            <v>92.170191567410882</v>
          </cell>
          <cell r="F521">
            <v>89.530710473998099</v>
          </cell>
          <cell r="G521">
            <v>106.73557229427422</v>
          </cell>
          <cell r="H521">
            <v>110.41449642267473</v>
          </cell>
          <cell r="I521">
            <v>106.9694348415608</v>
          </cell>
          <cell r="N521">
            <v>94.32522573922104</v>
          </cell>
        </row>
        <row r="523">
          <cell r="E523">
            <v>114.27516869706987</v>
          </cell>
          <cell r="F523">
            <v>131.1546510411217</v>
          </cell>
          <cell r="G523">
            <v>144.83944044854732</v>
          </cell>
          <cell r="H523">
            <v>142.7425096312603</v>
          </cell>
          <cell r="I523">
            <v>131.18477155626979</v>
          </cell>
          <cell r="N523">
            <v>113.21715400981284</v>
          </cell>
        </row>
        <row r="525">
          <cell r="E525">
            <v>-13.577283637516416</v>
          </cell>
          <cell r="F525">
            <v>-29.951867740922882</v>
          </cell>
          <cell r="G525">
            <v>-25.128844084499065</v>
          </cell>
          <cell r="H525">
            <v>-20.016510731975785</v>
          </cell>
          <cell r="I525">
            <v>-13.207452418018381</v>
          </cell>
          <cell r="N525">
            <v>-6.8603187008814208</v>
          </cell>
        </row>
        <row r="527">
          <cell r="E527">
            <v>-8.527693492142566</v>
          </cell>
          <cell r="F527">
            <v>-11.67207282620069</v>
          </cell>
          <cell r="G527">
            <v>-12.975024069774028</v>
          </cell>
          <cell r="H527">
            <v>-12.311502476609796</v>
          </cell>
          <cell r="I527">
            <v>-11.007884296690603</v>
          </cell>
          <cell r="N527">
            <v>-12.03160956971039</v>
          </cell>
        </row>
      </sheetData>
      <sheetData sheetId="7" refreshError="1">
        <row r="3">
          <cell r="B3">
            <v>1987</v>
          </cell>
          <cell r="C3">
            <v>1988</v>
          </cell>
          <cell r="D3">
            <v>1989</v>
          </cell>
          <cell r="E3">
            <v>1990</v>
          </cell>
          <cell r="F3">
            <v>1991</v>
          </cell>
          <cell r="G3">
            <v>1992</v>
          </cell>
          <cell r="H3">
            <v>1993</v>
          </cell>
          <cell r="I3">
            <v>1994</v>
          </cell>
          <cell r="J3">
            <v>1995</v>
          </cell>
          <cell r="K3">
            <v>1995</v>
          </cell>
          <cell r="L3">
            <v>1995</v>
          </cell>
          <cell r="M3">
            <v>1995</v>
          </cell>
          <cell r="N3">
            <v>1995</v>
          </cell>
          <cell r="O3">
            <v>1996</v>
          </cell>
          <cell r="P3">
            <v>1996</v>
          </cell>
          <cell r="Q3">
            <v>1996</v>
          </cell>
          <cell r="R3">
            <v>1996</v>
          </cell>
          <cell r="S3">
            <v>1996</v>
          </cell>
          <cell r="T3">
            <v>1997</v>
          </cell>
          <cell r="U3">
            <v>1997</v>
          </cell>
          <cell r="V3">
            <v>1997</v>
          </cell>
          <cell r="W3">
            <v>1997</v>
          </cell>
          <cell r="X3">
            <v>1997</v>
          </cell>
          <cell r="Y3">
            <v>1998</v>
          </cell>
          <cell r="Z3">
            <v>1998</v>
          </cell>
          <cell r="AA3">
            <v>1998</v>
          </cell>
          <cell r="AB3">
            <v>1998</v>
          </cell>
          <cell r="AC3">
            <v>1998</v>
          </cell>
          <cell r="AD3">
            <v>1998</v>
          </cell>
          <cell r="AE3">
            <v>1998</v>
          </cell>
          <cell r="AF3">
            <v>1998</v>
          </cell>
          <cell r="AG3">
            <v>1998</v>
          </cell>
          <cell r="AH3">
            <v>1998</v>
          </cell>
          <cell r="AI3">
            <v>1999</v>
          </cell>
          <cell r="AJ3">
            <v>1999</v>
          </cell>
          <cell r="AK3">
            <v>2000</v>
          </cell>
          <cell r="AL3">
            <v>2001</v>
          </cell>
          <cell r="AM3">
            <v>2002</v>
          </cell>
          <cell r="AN3">
            <v>2003</v>
          </cell>
          <cell r="AO3">
            <v>2004</v>
          </cell>
          <cell r="AP3">
            <v>2005</v>
          </cell>
          <cell r="AQ3">
            <v>2006</v>
          </cell>
          <cell r="AR3">
            <v>2007</v>
          </cell>
        </row>
        <row r="4">
          <cell r="J4" t="str">
            <v>Q1</v>
          </cell>
          <cell r="K4" t="str">
            <v>Q2</v>
          </cell>
          <cell r="L4" t="str">
            <v>Q3</v>
          </cell>
          <cell r="M4" t="str">
            <v>Q4</v>
          </cell>
          <cell r="O4" t="str">
            <v>Q1</v>
          </cell>
          <cell r="P4" t="str">
            <v>Q2</v>
          </cell>
          <cell r="Q4" t="str">
            <v>Q3</v>
          </cell>
          <cell r="R4" t="str">
            <v>Q4</v>
          </cell>
          <cell r="T4" t="str">
            <v>Q1</v>
          </cell>
          <cell r="U4" t="str">
            <v>Q2</v>
          </cell>
          <cell r="V4" t="str">
            <v>Q3</v>
          </cell>
          <cell r="W4" t="str">
            <v>Q4</v>
          </cell>
          <cell r="Y4" t="str">
            <v>Q1</v>
          </cell>
          <cell r="Z4" t="str">
            <v>Q2</v>
          </cell>
          <cell r="AA4" t="str">
            <v>Q3</v>
          </cell>
          <cell r="AB4" t="str">
            <v>Q4</v>
          </cell>
          <cell r="AC4" t="str">
            <v>Rev-3</v>
          </cell>
          <cell r="AD4" t="str">
            <v>Q1</v>
          </cell>
          <cell r="AE4" t="str">
            <v>Q2</v>
          </cell>
          <cell r="AF4" t="str">
            <v>Q3</v>
          </cell>
          <cell r="AG4" t="str">
            <v>Q4</v>
          </cell>
          <cell r="AH4" t="str">
            <v>Rev-3</v>
          </cell>
          <cell r="AI4" t="str">
            <v>Auth</v>
          </cell>
          <cell r="AJ4" t="str">
            <v>Staff</v>
          </cell>
        </row>
        <row r="5">
          <cell r="O5" t="str">
            <v>Prel.</v>
          </cell>
          <cell r="P5" t="str">
            <v>Prel.</v>
          </cell>
          <cell r="Q5" t="str">
            <v>Prel.</v>
          </cell>
          <cell r="R5" t="str">
            <v>Prel.</v>
          </cell>
          <cell r="S5" t="str">
            <v>Prel.</v>
          </cell>
          <cell r="T5" t="str">
            <v>Prel.</v>
          </cell>
          <cell r="U5" t="str">
            <v>Prel.</v>
          </cell>
          <cell r="V5" t="str">
            <v>Prel.</v>
          </cell>
          <cell r="W5" t="str">
            <v>Prel.</v>
          </cell>
          <cell r="X5" t="str">
            <v>Prel.</v>
          </cell>
          <cell r="Y5" t="str">
            <v>Prog.</v>
          </cell>
          <cell r="Z5" t="str">
            <v>Prog.</v>
          </cell>
          <cell r="AA5" t="str">
            <v>Prog.</v>
          </cell>
          <cell r="AB5" t="str">
            <v>Prog.</v>
          </cell>
          <cell r="AC5" t="str">
            <v>Prog.</v>
          </cell>
          <cell r="AD5" t="str">
            <v>Prog.</v>
          </cell>
          <cell r="AE5" t="str">
            <v>Prog.</v>
          </cell>
          <cell r="AF5" t="str">
            <v>Prog.</v>
          </cell>
          <cell r="AG5" t="str">
            <v>Prog.</v>
          </cell>
          <cell r="AH5" t="str">
            <v>Prog.</v>
          </cell>
          <cell r="AI5" t="str">
            <v>Proj.</v>
          </cell>
          <cell r="AJ5" t="str">
            <v>Proj.</v>
          </cell>
          <cell r="AK5" t="str">
            <v>Proj.</v>
          </cell>
          <cell r="AL5" t="str">
            <v>Proj.</v>
          </cell>
          <cell r="AM5" t="str">
            <v>Proj.</v>
          </cell>
          <cell r="AN5" t="str">
            <v>Proj.</v>
          </cell>
          <cell r="AO5" t="str">
            <v>Proj.</v>
          </cell>
          <cell r="AP5" t="str">
            <v>Proj.</v>
          </cell>
          <cell r="AQ5" t="str">
            <v>Proj.</v>
          </cell>
          <cell r="AR5" t="str">
            <v>Proj.</v>
          </cell>
        </row>
        <row r="7">
          <cell r="AE7" t="str">
            <v xml:space="preserve"> </v>
          </cell>
        </row>
        <row r="10">
          <cell r="H10">
            <v>9329.0779000000002</v>
          </cell>
          <cell r="I10">
            <v>9568.8249999999989</v>
          </cell>
          <cell r="J10">
            <v>2390</v>
          </cell>
          <cell r="K10">
            <v>2977</v>
          </cell>
          <cell r="L10">
            <v>2569</v>
          </cell>
          <cell r="M10">
            <v>2527</v>
          </cell>
          <cell r="N10">
            <v>10463</v>
          </cell>
          <cell r="O10">
            <v>2847</v>
          </cell>
          <cell r="P10">
            <v>3483</v>
          </cell>
          <cell r="Q10">
            <v>4023.06</v>
          </cell>
          <cell r="R10">
            <v>4950</v>
          </cell>
          <cell r="S10">
            <v>15303.06</v>
          </cell>
          <cell r="T10">
            <v>3598.9219199999998</v>
          </cell>
          <cell r="U10">
            <v>4005.6725663999996</v>
          </cell>
          <cell r="V10">
            <v>4039.4022480000003</v>
          </cell>
          <cell r="W10">
            <v>3703</v>
          </cell>
          <cell r="X10">
            <v>15346.9967344</v>
          </cell>
          <cell r="Y10">
            <v>2596.16</v>
          </cell>
          <cell r="Z10">
            <v>2600.3640000000005</v>
          </cell>
          <cell r="AA10">
            <v>2598.7088000000003</v>
          </cell>
          <cell r="AB10">
            <v>3157.7420000000006</v>
          </cell>
          <cell r="AC10">
            <v>10952.974800000002</v>
          </cell>
          <cell r="AD10">
            <v>2610.5828800000004</v>
          </cell>
          <cell r="AE10">
            <v>2542.8972970000004</v>
          </cell>
          <cell r="AF10">
            <v>2506.1994000000004</v>
          </cell>
          <cell r="AG10">
            <v>2104.8068000000003</v>
          </cell>
          <cell r="AH10">
            <v>9764.4863770000011</v>
          </cell>
          <cell r="AI10">
            <v>7334.0840500000004</v>
          </cell>
          <cell r="AJ10">
            <v>7334.1240500000004</v>
          </cell>
          <cell r="AK10">
            <v>8665.2154604342413</v>
          </cell>
          <cell r="AL10">
            <v>8762.6754300785142</v>
          </cell>
          <cell r="AM10">
            <v>8980.2998774051048</v>
          </cell>
          <cell r="AN10">
            <v>9432.5634869613878</v>
          </cell>
          <cell r="AO10">
            <v>10266.19102867975</v>
          </cell>
        </row>
        <row r="11">
          <cell r="Y11">
            <v>325.58</v>
          </cell>
          <cell r="Z11">
            <v>420.05</v>
          </cell>
          <cell r="AA11">
            <v>540.44000000000005</v>
          </cell>
          <cell r="AB11">
            <v>667.66</v>
          </cell>
        </row>
        <row r="12">
          <cell r="H12">
            <v>10561.0779</v>
          </cell>
          <cell r="I12">
            <v>11316.824999999999</v>
          </cell>
          <cell r="J12">
            <v>3033</v>
          </cell>
          <cell r="K12">
            <v>3638</v>
          </cell>
          <cell r="L12">
            <v>3276</v>
          </cell>
          <cell r="M12">
            <v>3570</v>
          </cell>
          <cell r="N12">
            <v>13517</v>
          </cell>
          <cell r="O12">
            <v>3733</v>
          </cell>
          <cell r="P12">
            <v>4341</v>
          </cell>
          <cell r="Q12">
            <v>4669</v>
          </cell>
          <cell r="R12">
            <v>5642</v>
          </cell>
          <cell r="S12">
            <v>18385</v>
          </cell>
          <cell r="T12">
            <v>4513.9219199999998</v>
          </cell>
          <cell r="U12">
            <v>4419.6725663999996</v>
          </cell>
          <cell r="V12">
            <v>4688.4022480000003</v>
          </cell>
          <cell r="W12">
            <v>4545</v>
          </cell>
          <cell r="X12">
            <v>18166.9967344</v>
          </cell>
          <cell r="Y12">
            <v>3201.12</v>
          </cell>
          <cell r="Z12">
            <v>3392.8440000000005</v>
          </cell>
          <cell r="AA12">
            <v>3630.2188000000001</v>
          </cell>
          <cell r="AB12">
            <v>4437.7120000000004</v>
          </cell>
          <cell r="AC12">
            <v>14661.894800000002</v>
          </cell>
          <cell r="AD12">
            <v>3209.5828800000004</v>
          </cell>
          <cell r="AE12">
            <v>3067.9072970000002</v>
          </cell>
          <cell r="AF12">
            <v>3007.1994000000004</v>
          </cell>
          <cell r="AG12">
            <v>2736.8068000000003</v>
          </cell>
          <cell r="AH12">
            <v>12021.496377000001</v>
          </cell>
          <cell r="AI12">
            <v>9856.0840499999995</v>
          </cell>
          <cell r="AJ12">
            <v>9856.0840499999995</v>
          </cell>
          <cell r="AK12">
            <v>11488.982011302729</v>
          </cell>
          <cell r="AL12">
            <v>13300.934758436724</v>
          </cell>
          <cell r="AM12">
            <v>14055.654562313895</v>
          </cell>
          <cell r="AN12">
            <v>14845.620908188585</v>
          </cell>
          <cell r="AO12">
            <v>15679.248449906947</v>
          </cell>
        </row>
        <row r="13">
          <cell r="H13">
            <v>-716</v>
          </cell>
          <cell r="I13">
            <v>-776</v>
          </cell>
          <cell r="J13">
            <v>-230</v>
          </cell>
          <cell r="K13">
            <v>-284</v>
          </cell>
          <cell r="L13">
            <v>-269</v>
          </cell>
          <cell r="M13">
            <v>-397</v>
          </cell>
          <cell r="N13">
            <v>-1180</v>
          </cell>
          <cell r="O13">
            <v>-321</v>
          </cell>
          <cell r="P13">
            <v>-423</v>
          </cell>
          <cell r="Q13">
            <v>-349</v>
          </cell>
          <cell r="R13">
            <v>-253</v>
          </cell>
          <cell r="S13">
            <v>-1346</v>
          </cell>
          <cell r="T13">
            <v>-252</v>
          </cell>
          <cell r="U13">
            <v>-97</v>
          </cell>
          <cell r="V13">
            <v>-260</v>
          </cell>
          <cell r="W13">
            <v>-172</v>
          </cell>
          <cell r="X13">
            <v>-781</v>
          </cell>
          <cell r="Y13">
            <v>-238.78</v>
          </cell>
          <cell r="Z13">
            <v>-317.95499999999998</v>
          </cell>
          <cell r="AA13">
            <v>-402.34500000000003</v>
          </cell>
          <cell r="AB13">
            <v>-488.96499999999997</v>
          </cell>
          <cell r="AC13">
            <v>-1448.0450000000001</v>
          </cell>
          <cell r="AD13">
            <v>-260</v>
          </cell>
          <cell r="AE13">
            <v>-283</v>
          </cell>
          <cell r="AF13">
            <v>-246</v>
          </cell>
          <cell r="AG13">
            <v>-243</v>
          </cell>
          <cell r="AH13">
            <v>-1032</v>
          </cell>
          <cell r="AI13">
            <v>-964.8</v>
          </cell>
          <cell r="AJ13">
            <v>-964.8</v>
          </cell>
          <cell r="AK13">
            <v>-992.33151364764285</v>
          </cell>
          <cell r="AL13">
            <v>-1485</v>
          </cell>
          <cell r="AM13">
            <v>-1657</v>
          </cell>
          <cell r="AN13">
            <v>-1771</v>
          </cell>
          <cell r="AO13">
            <v>-1771</v>
          </cell>
        </row>
        <row r="14">
          <cell r="H14">
            <v>0</v>
          </cell>
          <cell r="I14">
            <v>0</v>
          </cell>
          <cell r="J14">
            <v>-59</v>
          </cell>
          <cell r="K14">
            <v>-102</v>
          </cell>
          <cell r="L14">
            <v>-121</v>
          </cell>
          <cell r="M14">
            <v>-257</v>
          </cell>
          <cell r="N14">
            <v>-539</v>
          </cell>
          <cell r="O14">
            <v>-176</v>
          </cell>
          <cell r="P14">
            <v>-214</v>
          </cell>
          <cell r="Q14">
            <v>-141</v>
          </cell>
          <cell r="R14">
            <v>-311</v>
          </cell>
          <cell r="S14">
            <v>-842</v>
          </cell>
          <cell r="T14">
            <v>-228</v>
          </cell>
          <cell r="U14">
            <v>-206</v>
          </cell>
          <cell r="V14">
            <v>-269</v>
          </cell>
          <cell r="W14">
            <v>-392</v>
          </cell>
          <cell r="X14">
            <v>-1095</v>
          </cell>
          <cell r="Y14">
            <v>-173.6</v>
          </cell>
          <cell r="Z14">
            <v>-204.19</v>
          </cell>
          <cell r="AA14">
            <v>-276.19</v>
          </cell>
          <cell r="AB14">
            <v>-357.39</v>
          </cell>
          <cell r="AC14">
            <v>-1011.37</v>
          </cell>
          <cell r="AD14">
            <v>-142</v>
          </cell>
          <cell r="AE14">
            <v>-125</v>
          </cell>
          <cell r="AF14">
            <v>-159</v>
          </cell>
          <cell r="AG14">
            <v>-147</v>
          </cell>
          <cell r="AH14">
            <v>-573</v>
          </cell>
          <cell r="AI14">
            <v>-671.3</v>
          </cell>
          <cell r="AJ14">
            <v>-671.3</v>
          </cell>
          <cell r="AK14">
            <v>-690.45620347394561</v>
          </cell>
          <cell r="AL14">
            <v>-1033.250932835821</v>
          </cell>
          <cell r="AM14">
            <v>-1152.9271351575458</v>
          </cell>
          <cell r="AN14">
            <v>-1232.2474087893866</v>
          </cell>
          <cell r="AO14">
            <v>-1232.2474087893868</v>
          </cell>
        </row>
        <row r="15">
          <cell r="H15">
            <v>0</v>
          </cell>
          <cell r="I15">
            <v>0</v>
          </cell>
          <cell r="N15">
            <v>0</v>
          </cell>
          <cell r="S15">
            <v>0</v>
          </cell>
          <cell r="X15">
            <v>0</v>
          </cell>
          <cell r="AD15">
            <v>-16</v>
          </cell>
          <cell r="AE15">
            <v>-31</v>
          </cell>
          <cell r="AF15">
            <v>-54</v>
          </cell>
          <cell r="AG15">
            <v>-311</v>
          </cell>
          <cell r="AH15">
            <v>-412</v>
          </cell>
          <cell r="AI15">
            <v>-333.3</v>
          </cell>
          <cell r="AJ15">
            <v>-333.3</v>
          </cell>
          <cell r="AK15">
            <v>-342.81104218362293</v>
          </cell>
          <cell r="AL15">
            <v>-513.00839552238813</v>
          </cell>
          <cell r="AM15">
            <v>-572.42754975124387</v>
          </cell>
          <cell r="AN15">
            <v>-611.810012437811</v>
          </cell>
          <cell r="AO15">
            <v>-611.81001243781111</v>
          </cell>
        </row>
        <row r="16">
          <cell r="H16">
            <v>-428</v>
          </cell>
          <cell r="I16">
            <v>-841</v>
          </cell>
          <cell r="J16">
            <v>-247</v>
          </cell>
          <cell r="K16">
            <v>-262</v>
          </cell>
          <cell r="L16">
            <v>-279</v>
          </cell>
          <cell r="M16">
            <v>-341</v>
          </cell>
          <cell r="N16">
            <v>-1129</v>
          </cell>
          <cell r="O16">
            <v>-318</v>
          </cell>
          <cell r="P16">
            <v>-150</v>
          </cell>
          <cell r="Q16">
            <v>-118</v>
          </cell>
          <cell r="R16">
            <v>-130</v>
          </cell>
          <cell r="S16">
            <v>-716</v>
          </cell>
          <cell r="T16">
            <v>-348</v>
          </cell>
          <cell r="U16">
            <v>-173</v>
          </cell>
          <cell r="V16">
            <v>-240</v>
          </cell>
          <cell r="W16">
            <v>-255</v>
          </cell>
          <cell r="X16">
            <v>-1016</v>
          </cell>
          <cell r="Y16">
            <v>-192.34</v>
          </cell>
          <cell r="Z16">
            <v>-270.09500000000003</v>
          </cell>
          <cell r="AA16">
            <v>-352.73500000000001</v>
          </cell>
          <cell r="AB16">
            <v>-433.375</v>
          </cell>
          <cell r="AC16">
            <v>-1248.5450000000001</v>
          </cell>
          <cell r="AD16">
            <v>-152</v>
          </cell>
          <cell r="AE16">
            <v>-176.01</v>
          </cell>
          <cell r="AF16">
            <v>-87</v>
          </cell>
          <cell r="AG16">
            <v>-54</v>
          </cell>
          <cell r="AH16">
            <v>-469.01</v>
          </cell>
          <cell r="AI16">
            <v>-355.56</v>
          </cell>
          <cell r="AJ16">
            <v>-355.56</v>
          </cell>
          <cell r="AK16">
            <v>-365.70625310173705</v>
          </cell>
          <cell r="AL16">
            <v>-1385</v>
          </cell>
          <cell r="AM16">
            <v>-1551</v>
          </cell>
          <cell r="AN16">
            <v>-1655</v>
          </cell>
          <cell r="AO16">
            <v>-1655</v>
          </cell>
        </row>
        <row r="17">
          <cell r="H17">
            <v>295</v>
          </cell>
          <cell r="I17">
            <v>303</v>
          </cell>
          <cell r="J17">
            <v>106</v>
          </cell>
          <cell r="K17">
            <v>108</v>
          </cell>
          <cell r="L17">
            <v>157</v>
          </cell>
          <cell r="M17">
            <v>142</v>
          </cell>
          <cell r="N17">
            <v>513</v>
          </cell>
          <cell r="O17">
            <v>107</v>
          </cell>
          <cell r="P17">
            <v>109</v>
          </cell>
          <cell r="Q17">
            <v>114</v>
          </cell>
          <cell r="R17">
            <v>122</v>
          </cell>
          <cell r="S17">
            <v>452</v>
          </cell>
          <cell r="T17">
            <v>79</v>
          </cell>
          <cell r="U17">
            <v>64</v>
          </cell>
          <cell r="V17">
            <v>54</v>
          </cell>
          <cell r="W17">
            <v>77</v>
          </cell>
          <cell r="X17">
            <v>274</v>
          </cell>
          <cell r="Y17">
            <v>23.69</v>
          </cell>
          <cell r="Z17">
            <v>25.11</v>
          </cell>
          <cell r="AA17">
            <v>26.86</v>
          </cell>
          <cell r="AB17">
            <v>32.840000000000003</v>
          </cell>
          <cell r="AC17">
            <v>108.5</v>
          </cell>
          <cell r="AD17">
            <v>26</v>
          </cell>
          <cell r="AE17">
            <v>30.99</v>
          </cell>
          <cell r="AF17">
            <v>18</v>
          </cell>
          <cell r="AG17">
            <v>32</v>
          </cell>
          <cell r="AH17">
            <v>106.99</v>
          </cell>
          <cell r="AI17">
            <v>72.94</v>
          </cell>
          <cell r="AJ17">
            <v>72.94</v>
          </cell>
          <cell r="AK17">
            <v>75.021414392059569</v>
          </cell>
          <cell r="AL17">
            <v>100</v>
          </cell>
          <cell r="AM17">
            <v>106</v>
          </cell>
          <cell r="AN17">
            <v>116</v>
          </cell>
          <cell r="AO17">
            <v>116</v>
          </cell>
        </row>
        <row r="18">
          <cell r="H18">
            <v>465</v>
          </cell>
          <cell r="I18">
            <v>165</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row>
        <row r="19">
          <cell r="H19">
            <v>-723</v>
          </cell>
          <cell r="I19">
            <v>-1309</v>
          </cell>
          <cell r="J19">
            <v>-353</v>
          </cell>
          <cell r="K19">
            <v>-370</v>
          </cell>
          <cell r="L19">
            <v>-436</v>
          </cell>
          <cell r="M19">
            <v>-483</v>
          </cell>
          <cell r="N19">
            <v>-1642</v>
          </cell>
          <cell r="O19">
            <v>-425</v>
          </cell>
          <cell r="P19">
            <v>-259</v>
          </cell>
          <cell r="Q19">
            <v>-232</v>
          </cell>
          <cell r="R19">
            <v>-252</v>
          </cell>
          <cell r="S19">
            <v>-1168</v>
          </cell>
          <cell r="T19">
            <v>-427</v>
          </cell>
          <cell r="U19">
            <v>-237</v>
          </cell>
          <cell r="V19">
            <v>-294</v>
          </cell>
          <cell r="W19">
            <v>-332</v>
          </cell>
          <cell r="X19">
            <v>-1290</v>
          </cell>
          <cell r="Y19">
            <v>-216.03</v>
          </cell>
          <cell r="Z19">
            <v>-295.20499999999998</v>
          </cell>
          <cell r="AA19">
            <v>-379.59500000000003</v>
          </cell>
          <cell r="AB19">
            <v>-466.21499999999997</v>
          </cell>
          <cell r="AC19">
            <v>-1357.0450000000001</v>
          </cell>
          <cell r="AD19">
            <v>-178</v>
          </cell>
          <cell r="AE19">
            <v>-207</v>
          </cell>
          <cell r="AF19">
            <v>-105</v>
          </cell>
          <cell r="AG19">
            <v>-86</v>
          </cell>
          <cell r="AH19">
            <v>-576</v>
          </cell>
          <cell r="AI19">
            <v>-428.5</v>
          </cell>
          <cell r="AJ19">
            <v>-428.5</v>
          </cell>
          <cell r="AK19">
            <v>-440.72766749379662</v>
          </cell>
          <cell r="AL19">
            <v>-1485</v>
          </cell>
          <cell r="AM19">
            <v>-1657</v>
          </cell>
          <cell r="AN19">
            <v>-1771</v>
          </cell>
          <cell r="AO19">
            <v>-1771</v>
          </cell>
        </row>
        <row r="20">
          <cell r="H20">
            <v>-350</v>
          </cell>
          <cell r="I20">
            <v>-383</v>
          </cell>
          <cell r="J20">
            <v>-165</v>
          </cell>
          <cell r="K20">
            <v>-34</v>
          </cell>
          <cell r="L20">
            <v>-90</v>
          </cell>
          <cell r="M20">
            <v>-95</v>
          </cell>
          <cell r="N20">
            <v>-384</v>
          </cell>
          <cell r="O20">
            <v>-84</v>
          </cell>
          <cell r="P20">
            <v>-94</v>
          </cell>
          <cell r="Q20">
            <v>-80.94</v>
          </cell>
          <cell r="R20">
            <v>-50</v>
          </cell>
          <cell r="S20">
            <v>-308.94</v>
          </cell>
          <cell r="T20">
            <v>-97</v>
          </cell>
          <cell r="U20">
            <v>-9</v>
          </cell>
          <cell r="V20">
            <v>-16</v>
          </cell>
          <cell r="W20">
            <v>-42</v>
          </cell>
          <cell r="X20">
            <v>-164</v>
          </cell>
          <cell r="Y20">
            <v>-14.74</v>
          </cell>
          <cell r="Z20">
            <v>-14.74</v>
          </cell>
          <cell r="AA20">
            <v>-14.74</v>
          </cell>
          <cell r="AB20">
            <v>-14.74</v>
          </cell>
          <cell r="AC20">
            <v>-58.96</v>
          </cell>
          <cell r="AD20">
            <v>-51</v>
          </cell>
          <cell r="AE20">
            <v>-48</v>
          </cell>
          <cell r="AF20">
            <v>-70</v>
          </cell>
          <cell r="AG20">
            <v>91</v>
          </cell>
          <cell r="AH20">
            <v>-78</v>
          </cell>
          <cell r="AI20">
            <v>-297.04000000000002</v>
          </cell>
          <cell r="AJ20">
            <v>-297</v>
          </cell>
          <cell r="AK20">
            <v>-535.3151364764268</v>
          </cell>
          <cell r="AL20">
            <v>-231</v>
          </cell>
          <cell r="AM20">
            <v>-252</v>
          </cell>
          <cell r="AN20">
            <v>-254</v>
          </cell>
          <cell r="AO20">
            <v>-254</v>
          </cell>
        </row>
        <row r="21">
          <cell r="H21">
            <v>8</v>
          </cell>
          <cell r="I21">
            <v>15</v>
          </cell>
          <cell r="J21">
            <v>7</v>
          </cell>
          <cell r="K21">
            <v>7</v>
          </cell>
          <cell r="L21">
            <v>11</v>
          </cell>
          <cell r="M21">
            <v>6</v>
          </cell>
          <cell r="N21">
            <v>31</v>
          </cell>
          <cell r="O21">
            <v>5</v>
          </cell>
          <cell r="P21">
            <v>7</v>
          </cell>
          <cell r="Q21">
            <v>5.0599999999999996</v>
          </cell>
          <cell r="R21">
            <v>6</v>
          </cell>
          <cell r="S21">
            <v>23.06</v>
          </cell>
          <cell r="T21">
            <v>15</v>
          </cell>
          <cell r="U21">
            <v>10</v>
          </cell>
          <cell r="V21">
            <v>10</v>
          </cell>
          <cell r="W21">
            <v>6</v>
          </cell>
          <cell r="X21">
            <v>41</v>
          </cell>
          <cell r="Y21">
            <v>13.25</v>
          </cell>
          <cell r="Z21">
            <v>13.25</v>
          </cell>
          <cell r="AA21">
            <v>13.25</v>
          </cell>
          <cell r="AB21">
            <v>13.25</v>
          </cell>
          <cell r="AC21">
            <v>53</v>
          </cell>
          <cell r="AD21">
            <v>4</v>
          </cell>
          <cell r="AE21">
            <v>7</v>
          </cell>
          <cell r="AF21">
            <v>9</v>
          </cell>
          <cell r="AG21">
            <v>149</v>
          </cell>
          <cell r="AH21">
            <v>169</v>
          </cell>
          <cell r="AI21">
            <v>24</v>
          </cell>
          <cell r="AJ21">
            <v>24</v>
          </cell>
          <cell r="AK21">
            <v>24.684863523573206</v>
          </cell>
          <cell r="AL21">
            <v>57</v>
          </cell>
          <cell r="AM21">
            <v>58</v>
          </cell>
          <cell r="AN21">
            <v>59</v>
          </cell>
          <cell r="AO21">
            <v>59</v>
          </cell>
        </row>
        <row r="22">
          <cell r="H22">
            <v>-358</v>
          </cell>
          <cell r="I22">
            <v>-398</v>
          </cell>
          <cell r="J22">
            <v>-172</v>
          </cell>
          <cell r="K22">
            <v>-41</v>
          </cell>
          <cell r="L22">
            <v>-101</v>
          </cell>
          <cell r="M22">
            <v>-101</v>
          </cell>
          <cell r="N22">
            <v>-415</v>
          </cell>
          <cell r="O22">
            <v>-89</v>
          </cell>
          <cell r="P22">
            <v>-101</v>
          </cell>
          <cell r="Q22">
            <v>-86</v>
          </cell>
          <cell r="R22">
            <v>-56</v>
          </cell>
          <cell r="S22">
            <v>-332</v>
          </cell>
          <cell r="T22">
            <v>-112</v>
          </cell>
          <cell r="U22">
            <v>-19</v>
          </cell>
          <cell r="V22">
            <v>-26</v>
          </cell>
          <cell r="W22">
            <v>-48</v>
          </cell>
          <cell r="X22">
            <v>-205</v>
          </cell>
          <cell r="Y22">
            <v>-27.99</v>
          </cell>
          <cell r="Z22">
            <v>-27.99</v>
          </cell>
          <cell r="AA22">
            <v>-27.99</v>
          </cell>
          <cell r="AB22">
            <v>-27.99</v>
          </cell>
          <cell r="AC22">
            <v>-111.96</v>
          </cell>
          <cell r="AD22">
            <v>-55</v>
          </cell>
          <cell r="AE22">
            <v>-55</v>
          </cell>
          <cell r="AF22">
            <v>-79</v>
          </cell>
          <cell r="AG22">
            <v>-58</v>
          </cell>
          <cell r="AH22">
            <v>-247</v>
          </cell>
          <cell r="AI22">
            <v>-321.04000000000002</v>
          </cell>
          <cell r="AJ22">
            <v>-321</v>
          </cell>
          <cell r="AK22">
            <v>-560</v>
          </cell>
          <cell r="AL22">
            <v>-288</v>
          </cell>
          <cell r="AM22">
            <v>-310</v>
          </cell>
          <cell r="AN22">
            <v>-313</v>
          </cell>
          <cell r="AO22">
            <v>-313</v>
          </cell>
        </row>
        <row r="23">
          <cell r="H23">
            <v>262</v>
          </cell>
          <cell r="I23">
            <v>252</v>
          </cell>
          <cell r="J23">
            <v>58</v>
          </cell>
          <cell r="K23">
            <v>21</v>
          </cell>
          <cell r="L23">
            <v>52</v>
          </cell>
          <cell r="M23">
            <v>47</v>
          </cell>
          <cell r="N23">
            <v>178</v>
          </cell>
          <cell r="O23">
            <v>13</v>
          </cell>
          <cell r="P23">
            <v>23</v>
          </cell>
          <cell r="Q23">
            <v>43</v>
          </cell>
          <cell r="R23">
            <v>52</v>
          </cell>
          <cell r="S23">
            <v>131</v>
          </cell>
          <cell r="T23">
            <v>10</v>
          </cell>
          <cell r="U23">
            <v>71</v>
          </cell>
          <cell r="V23">
            <v>136</v>
          </cell>
          <cell r="W23">
            <v>19</v>
          </cell>
          <cell r="X23">
            <v>236</v>
          </cell>
          <cell r="Y23">
            <v>14.5</v>
          </cell>
          <cell r="Z23">
            <v>14.5</v>
          </cell>
          <cell r="AA23">
            <v>14.5</v>
          </cell>
          <cell r="AB23">
            <v>14.5</v>
          </cell>
          <cell r="AC23">
            <v>58</v>
          </cell>
          <cell r="AD23">
            <v>22</v>
          </cell>
          <cell r="AE23">
            <v>138</v>
          </cell>
          <cell r="AF23">
            <v>115</v>
          </cell>
          <cell r="AG23">
            <v>32</v>
          </cell>
          <cell r="AH23">
            <v>307</v>
          </cell>
          <cell r="AI23">
            <v>100</v>
          </cell>
          <cell r="AJ23">
            <v>100</v>
          </cell>
          <cell r="AK23">
            <v>102.85359801488836</v>
          </cell>
          <cell r="AL23">
            <v>109</v>
          </cell>
          <cell r="AM23">
            <v>110</v>
          </cell>
          <cell r="AN23">
            <v>111</v>
          </cell>
          <cell r="AO23">
            <v>111</v>
          </cell>
        </row>
        <row r="24">
          <cell r="H24">
            <v>262</v>
          </cell>
          <cell r="I24">
            <v>252</v>
          </cell>
          <cell r="J24">
            <v>58</v>
          </cell>
          <cell r="K24">
            <v>21</v>
          </cell>
          <cell r="L24">
            <v>52</v>
          </cell>
          <cell r="M24">
            <v>47</v>
          </cell>
          <cell r="N24">
            <v>178</v>
          </cell>
          <cell r="O24">
            <v>13</v>
          </cell>
          <cell r="P24">
            <v>23</v>
          </cell>
          <cell r="Q24">
            <v>43</v>
          </cell>
          <cell r="R24">
            <v>52</v>
          </cell>
          <cell r="S24">
            <v>131</v>
          </cell>
          <cell r="T24">
            <v>10</v>
          </cell>
          <cell r="U24">
            <v>71</v>
          </cell>
          <cell r="V24">
            <v>136</v>
          </cell>
          <cell r="W24">
            <v>19</v>
          </cell>
          <cell r="X24">
            <v>236</v>
          </cell>
          <cell r="Y24">
            <v>14.5</v>
          </cell>
          <cell r="Z24">
            <v>14.5</v>
          </cell>
          <cell r="AA24">
            <v>14.5</v>
          </cell>
          <cell r="AB24">
            <v>14.5</v>
          </cell>
          <cell r="AC24">
            <v>58</v>
          </cell>
          <cell r="AD24">
            <v>22</v>
          </cell>
          <cell r="AE24">
            <v>138</v>
          </cell>
          <cell r="AF24">
            <v>115</v>
          </cell>
          <cell r="AG24">
            <v>32</v>
          </cell>
          <cell r="AH24">
            <v>307</v>
          </cell>
          <cell r="AI24">
            <v>100</v>
          </cell>
          <cell r="AJ24">
            <v>100</v>
          </cell>
          <cell r="AK24">
            <v>102.85359801488836</v>
          </cell>
          <cell r="AL24">
            <v>109</v>
          </cell>
          <cell r="AM24">
            <v>110</v>
          </cell>
          <cell r="AN24">
            <v>111</v>
          </cell>
          <cell r="AO24">
            <v>111</v>
          </cell>
        </row>
        <row r="25">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row>
        <row r="27">
          <cell r="H27">
            <v>-5.9000000000000909</v>
          </cell>
          <cell r="I27">
            <v>-892.8</v>
          </cell>
          <cell r="J27">
            <v>-384</v>
          </cell>
          <cell r="K27">
            <v>58</v>
          </cell>
          <cell r="L27">
            <v>-26</v>
          </cell>
          <cell r="M27">
            <v>825</v>
          </cell>
          <cell r="N27">
            <v>473</v>
          </cell>
          <cell r="O27">
            <v>-299.79000000000008</v>
          </cell>
          <cell r="P27">
            <v>-116</v>
          </cell>
          <cell r="Q27">
            <v>-396</v>
          </cell>
          <cell r="R27">
            <v>111.20999999999998</v>
          </cell>
          <cell r="S27">
            <v>-1735.46</v>
          </cell>
          <cell r="T27">
            <v>-123</v>
          </cell>
          <cell r="U27">
            <v>-74.699999999999989</v>
          </cell>
          <cell r="V27">
            <v>-741</v>
          </cell>
          <cell r="W27">
            <v>1258</v>
          </cell>
          <cell r="X27">
            <v>319.29999999999995</v>
          </cell>
          <cell r="Y27">
            <v>35.85</v>
          </cell>
          <cell r="Z27">
            <v>263.64999999999998</v>
          </cell>
          <cell r="AA27">
            <v>101.29</v>
          </cell>
          <cell r="AB27">
            <v>856.66</v>
          </cell>
          <cell r="AC27">
            <v>1257.45</v>
          </cell>
          <cell r="AD27">
            <v>21</v>
          </cell>
          <cell r="AE27">
            <v>1206</v>
          </cell>
          <cell r="AF27">
            <v>-343</v>
          </cell>
          <cell r="AG27">
            <v>1380</v>
          </cell>
          <cell r="AH27">
            <v>2264</v>
          </cell>
          <cell r="AI27">
            <v>2235.3199999999997</v>
          </cell>
          <cell r="AJ27">
            <v>2235.3199999999997</v>
          </cell>
          <cell r="AK27">
            <v>3069.1253846153845</v>
          </cell>
          <cell r="AL27">
            <v>1657</v>
          </cell>
          <cell r="AM27">
            <v>1492</v>
          </cell>
          <cell r="AN27">
            <v>1149</v>
          </cell>
          <cell r="AO27">
            <v>2103</v>
          </cell>
        </row>
        <row r="29">
          <cell r="H29">
            <v>-727</v>
          </cell>
          <cell r="I29">
            <v>-414.8</v>
          </cell>
          <cell r="J29">
            <v>-58</v>
          </cell>
          <cell r="K29">
            <v>-36</v>
          </cell>
          <cell r="L29">
            <v>-52</v>
          </cell>
          <cell r="M29">
            <v>-47</v>
          </cell>
          <cell r="N29">
            <v>-193</v>
          </cell>
          <cell r="O29">
            <v>-13</v>
          </cell>
          <cell r="P29">
            <v>-23</v>
          </cell>
          <cell r="Q29">
            <v>-43</v>
          </cell>
          <cell r="R29">
            <v>-52</v>
          </cell>
          <cell r="S29">
            <v>-131</v>
          </cell>
          <cell r="T29">
            <v>-260</v>
          </cell>
          <cell r="U29">
            <v>-71</v>
          </cell>
          <cell r="V29">
            <v>-136</v>
          </cell>
          <cell r="W29">
            <v>-72</v>
          </cell>
          <cell r="X29">
            <v>-539</v>
          </cell>
          <cell r="Y29">
            <v>-14.5</v>
          </cell>
          <cell r="Z29">
            <v>-276.5</v>
          </cell>
          <cell r="AA29">
            <v>-14.5</v>
          </cell>
          <cell r="AB29">
            <v>-14.5</v>
          </cell>
          <cell r="AC29">
            <v>-320</v>
          </cell>
          <cell r="AD29">
            <v>-62</v>
          </cell>
          <cell r="AE29">
            <v>-138</v>
          </cell>
          <cell r="AF29">
            <v>-115</v>
          </cell>
          <cell r="AG29">
            <v>-32</v>
          </cell>
          <cell r="AH29">
            <v>-347</v>
          </cell>
          <cell r="AI29">
            <v>-100</v>
          </cell>
          <cell r="AJ29">
            <v>-100</v>
          </cell>
          <cell r="AK29">
            <v>-102.85359801488836</v>
          </cell>
          <cell r="AL29">
            <v>0</v>
          </cell>
          <cell r="AM29">
            <v>0</v>
          </cell>
          <cell r="AN29">
            <v>0</v>
          </cell>
          <cell r="AO29">
            <v>0</v>
          </cell>
        </row>
        <row r="30">
          <cell r="H30">
            <v>-262</v>
          </cell>
          <cell r="I30">
            <v>-252</v>
          </cell>
          <cell r="J30">
            <v>-58</v>
          </cell>
          <cell r="K30">
            <v>-21</v>
          </cell>
          <cell r="L30">
            <v>-52</v>
          </cell>
          <cell r="M30">
            <v>-47</v>
          </cell>
          <cell r="N30">
            <v>-178</v>
          </cell>
          <cell r="O30">
            <v>-13</v>
          </cell>
          <cell r="P30">
            <v>-23</v>
          </cell>
          <cell r="Q30">
            <v>-43</v>
          </cell>
          <cell r="R30">
            <v>-52</v>
          </cell>
          <cell r="S30">
            <v>-131</v>
          </cell>
          <cell r="T30">
            <v>-10</v>
          </cell>
          <cell r="U30">
            <v>-71</v>
          </cell>
          <cell r="V30">
            <v>-136</v>
          </cell>
          <cell r="W30">
            <v>-19</v>
          </cell>
          <cell r="X30">
            <v>-236</v>
          </cell>
          <cell r="Y30">
            <v>-14.5</v>
          </cell>
          <cell r="Z30">
            <v>-14.5</v>
          </cell>
          <cell r="AA30">
            <v>-14.5</v>
          </cell>
          <cell r="AB30">
            <v>-14.5</v>
          </cell>
          <cell r="AC30">
            <v>-58</v>
          </cell>
          <cell r="AD30">
            <v>-22</v>
          </cell>
          <cell r="AE30">
            <v>-138</v>
          </cell>
          <cell r="AF30">
            <v>-115</v>
          </cell>
          <cell r="AG30">
            <v>-32</v>
          </cell>
          <cell r="AH30">
            <v>-307</v>
          </cell>
          <cell r="AI30">
            <v>-100</v>
          </cell>
          <cell r="AJ30">
            <v>-100</v>
          </cell>
          <cell r="AK30">
            <v>-102.85359801488836</v>
          </cell>
          <cell r="AL30">
            <v>-109</v>
          </cell>
          <cell r="AM30">
            <v>-110</v>
          </cell>
          <cell r="AN30">
            <v>-111</v>
          </cell>
          <cell r="AO30">
            <v>-111</v>
          </cell>
        </row>
        <row r="31">
          <cell r="H31">
            <v>-465</v>
          </cell>
          <cell r="I31">
            <v>-162.80000000000001</v>
          </cell>
          <cell r="J31">
            <v>0</v>
          </cell>
          <cell r="K31">
            <v>-15</v>
          </cell>
          <cell r="L31">
            <v>0</v>
          </cell>
          <cell r="M31">
            <v>0</v>
          </cell>
          <cell r="N31">
            <v>-15</v>
          </cell>
          <cell r="O31">
            <v>0</v>
          </cell>
          <cell r="P31">
            <v>0</v>
          </cell>
          <cell r="Q31">
            <v>0</v>
          </cell>
          <cell r="R31">
            <v>0</v>
          </cell>
          <cell r="S31">
            <v>0</v>
          </cell>
          <cell r="T31">
            <v>-250</v>
          </cell>
          <cell r="U31">
            <v>0</v>
          </cell>
          <cell r="V31">
            <v>0</v>
          </cell>
          <cell r="W31">
            <v>-53</v>
          </cell>
          <cell r="X31">
            <v>-303</v>
          </cell>
          <cell r="Y31">
            <v>0</v>
          </cell>
          <cell r="Z31">
            <v>-262</v>
          </cell>
          <cell r="AA31">
            <v>0</v>
          </cell>
          <cell r="AB31">
            <v>0</v>
          </cell>
          <cell r="AC31">
            <v>-262</v>
          </cell>
          <cell r="AD31">
            <v>-40</v>
          </cell>
          <cell r="AE31">
            <v>0</v>
          </cell>
          <cell r="AF31">
            <v>0</v>
          </cell>
          <cell r="AG31">
            <v>0</v>
          </cell>
          <cell r="AH31">
            <v>-40</v>
          </cell>
          <cell r="AI31">
            <v>0</v>
          </cell>
          <cell r="AJ31">
            <v>0</v>
          </cell>
          <cell r="AK31">
            <v>0</v>
          </cell>
          <cell r="AL31">
            <v>109</v>
          </cell>
          <cell r="AM31">
            <v>110</v>
          </cell>
          <cell r="AN31">
            <v>111</v>
          </cell>
          <cell r="AO31">
            <v>111</v>
          </cell>
        </row>
        <row r="32">
          <cell r="H32">
            <v>1612</v>
          </cell>
          <cell r="I32">
            <v>-128</v>
          </cell>
          <cell r="J32">
            <v>-190</v>
          </cell>
          <cell r="K32">
            <v>-193</v>
          </cell>
          <cell r="L32">
            <v>-122</v>
          </cell>
          <cell r="M32">
            <v>277</v>
          </cell>
          <cell r="N32">
            <v>-228</v>
          </cell>
          <cell r="O32">
            <v>-121</v>
          </cell>
          <cell r="P32">
            <v>-308</v>
          </cell>
          <cell r="Q32">
            <v>-77</v>
          </cell>
          <cell r="R32">
            <v>-31</v>
          </cell>
          <cell r="S32">
            <v>-537</v>
          </cell>
          <cell r="T32">
            <v>-596</v>
          </cell>
          <cell r="U32">
            <v>67</v>
          </cell>
          <cell r="V32">
            <v>-66</v>
          </cell>
          <cell r="W32">
            <v>-59</v>
          </cell>
          <cell r="X32">
            <v>-654</v>
          </cell>
          <cell r="Y32">
            <v>92</v>
          </cell>
          <cell r="Z32">
            <v>708</v>
          </cell>
          <cell r="AA32">
            <v>0</v>
          </cell>
          <cell r="AB32">
            <v>301.12</v>
          </cell>
          <cell r="AC32">
            <v>1101.1199999999999</v>
          </cell>
          <cell r="AD32">
            <v>158</v>
          </cell>
          <cell r="AE32">
            <v>1437</v>
          </cell>
          <cell r="AF32">
            <v>-304</v>
          </cell>
          <cell r="AG32">
            <v>592</v>
          </cell>
          <cell r="AH32">
            <v>1883</v>
          </cell>
          <cell r="AI32">
            <v>1830.1799999999998</v>
          </cell>
          <cell r="AJ32">
            <v>1830.1799999999998</v>
          </cell>
          <cell r="AK32">
            <v>2529</v>
          </cell>
          <cell r="AL32">
            <v>2019</v>
          </cell>
          <cell r="AM32">
            <v>1848</v>
          </cell>
          <cell r="AN32">
            <v>1476</v>
          </cell>
          <cell r="AO32">
            <v>2430</v>
          </cell>
        </row>
        <row r="33">
          <cell r="H33">
            <v>2825</v>
          </cell>
          <cell r="I33">
            <v>585</v>
          </cell>
          <cell r="J33">
            <v>183</v>
          </cell>
          <cell r="K33">
            <v>44</v>
          </cell>
          <cell r="L33">
            <v>41</v>
          </cell>
          <cell r="M33">
            <v>348</v>
          </cell>
          <cell r="N33">
            <v>616</v>
          </cell>
          <cell r="O33">
            <v>150</v>
          </cell>
          <cell r="P33">
            <v>86</v>
          </cell>
          <cell r="Q33">
            <v>0</v>
          </cell>
          <cell r="R33">
            <v>4</v>
          </cell>
          <cell r="S33">
            <v>240</v>
          </cell>
          <cell r="T33">
            <v>47</v>
          </cell>
          <cell r="U33">
            <v>87</v>
          </cell>
          <cell r="V33">
            <v>84</v>
          </cell>
          <cell r="W33">
            <v>1</v>
          </cell>
          <cell r="X33">
            <v>219</v>
          </cell>
          <cell r="Y33">
            <v>550</v>
          </cell>
          <cell r="Z33">
            <v>1500</v>
          </cell>
          <cell r="AA33">
            <v>0</v>
          </cell>
          <cell r="AB33">
            <v>301.12</v>
          </cell>
          <cell r="AC33">
            <v>2351.12</v>
          </cell>
          <cell r="AD33">
            <v>550</v>
          </cell>
          <cell r="AE33">
            <v>1800</v>
          </cell>
          <cell r="AF33">
            <v>0</v>
          </cell>
          <cell r="AG33">
            <v>788</v>
          </cell>
          <cell r="AH33">
            <v>3138</v>
          </cell>
          <cell r="AI33">
            <v>2785.18</v>
          </cell>
          <cell r="AJ33">
            <v>2785.18</v>
          </cell>
          <cell r="AK33">
            <v>3795</v>
          </cell>
          <cell r="AL33">
            <v>3720</v>
          </cell>
          <cell r="AM33">
            <v>3748</v>
          </cell>
          <cell r="AN33">
            <v>2828</v>
          </cell>
          <cell r="AO33">
            <v>4578</v>
          </cell>
        </row>
        <row r="34">
          <cell r="H34">
            <v>-1213</v>
          </cell>
          <cell r="I34">
            <v>-713</v>
          </cell>
          <cell r="J34">
            <v>-373</v>
          </cell>
          <cell r="K34">
            <v>-237</v>
          </cell>
          <cell r="L34">
            <v>-163</v>
          </cell>
          <cell r="M34">
            <v>-71</v>
          </cell>
          <cell r="N34">
            <v>-844</v>
          </cell>
          <cell r="O34">
            <v>-271</v>
          </cell>
          <cell r="P34">
            <v>-394</v>
          </cell>
          <cell r="Q34">
            <v>-77</v>
          </cell>
          <cell r="R34">
            <v>-35</v>
          </cell>
          <cell r="S34">
            <v>-777</v>
          </cell>
          <cell r="T34">
            <v>-643</v>
          </cell>
          <cell r="U34">
            <v>-20</v>
          </cell>
          <cell r="V34">
            <v>-150</v>
          </cell>
          <cell r="W34">
            <v>-60</v>
          </cell>
          <cell r="X34">
            <v>-873</v>
          </cell>
          <cell r="Y34">
            <v>-458</v>
          </cell>
          <cell r="Z34">
            <v>-792</v>
          </cell>
          <cell r="AA34">
            <v>0</v>
          </cell>
          <cell r="AB34">
            <v>0</v>
          </cell>
          <cell r="AC34">
            <v>-1250</v>
          </cell>
          <cell r="AD34">
            <v>-392</v>
          </cell>
          <cell r="AE34">
            <v>-363</v>
          </cell>
          <cell r="AF34">
            <v>-304</v>
          </cell>
          <cell r="AG34">
            <v>-196</v>
          </cell>
          <cell r="AH34">
            <v>-1255</v>
          </cell>
          <cell r="AI34">
            <v>-955</v>
          </cell>
          <cell r="AJ34">
            <v>-955</v>
          </cell>
          <cell r="AK34">
            <v>-1266</v>
          </cell>
          <cell r="AL34">
            <v>-1701</v>
          </cell>
          <cell r="AM34">
            <v>-1900</v>
          </cell>
          <cell r="AN34">
            <v>-1352</v>
          </cell>
          <cell r="AO34">
            <v>-2148</v>
          </cell>
        </row>
        <row r="35">
          <cell r="J35">
            <v>0</v>
          </cell>
          <cell r="K35">
            <v>0</v>
          </cell>
          <cell r="L35">
            <v>0</v>
          </cell>
          <cell r="M35">
            <v>0</v>
          </cell>
          <cell r="N35">
            <v>0</v>
          </cell>
          <cell r="O35">
            <v>0</v>
          </cell>
          <cell r="P35">
            <v>0</v>
          </cell>
          <cell r="Q35">
            <v>244</v>
          </cell>
          <cell r="R35">
            <v>0</v>
          </cell>
          <cell r="S35">
            <v>244</v>
          </cell>
          <cell r="T35">
            <v>-7</v>
          </cell>
          <cell r="U35">
            <v>-25</v>
          </cell>
          <cell r="V35">
            <v>-8</v>
          </cell>
          <cell r="W35">
            <v>-28</v>
          </cell>
          <cell r="X35">
            <v>-68</v>
          </cell>
          <cell r="Y35">
            <v>-7.4</v>
          </cell>
          <cell r="Z35">
            <v>-27.6</v>
          </cell>
          <cell r="AA35">
            <v>-7.4</v>
          </cell>
          <cell r="AB35">
            <v>-27.6</v>
          </cell>
          <cell r="AC35">
            <v>-70</v>
          </cell>
          <cell r="AD35">
            <v>-8</v>
          </cell>
          <cell r="AE35">
            <v>-26</v>
          </cell>
          <cell r="AF35">
            <v>-8</v>
          </cell>
          <cell r="AG35">
            <v>-27</v>
          </cell>
          <cell r="AH35">
            <v>-69</v>
          </cell>
          <cell r="AI35">
            <v>-70</v>
          </cell>
          <cell r="AJ35">
            <v>-70</v>
          </cell>
          <cell r="AK35">
            <v>0</v>
          </cell>
          <cell r="AL35">
            <v>0</v>
          </cell>
          <cell r="AM35">
            <v>0</v>
          </cell>
          <cell r="AN35">
            <v>0</v>
          </cell>
          <cell r="AO35">
            <v>0</v>
          </cell>
        </row>
        <row r="36">
          <cell r="H36">
            <v>-890.90000000000009</v>
          </cell>
          <cell r="I36">
            <v>-350</v>
          </cell>
          <cell r="J36">
            <v>-187</v>
          </cell>
          <cell r="K36">
            <v>193</v>
          </cell>
          <cell r="L36">
            <v>35</v>
          </cell>
          <cell r="M36">
            <v>344</v>
          </cell>
          <cell r="N36">
            <v>385</v>
          </cell>
          <cell r="O36">
            <v>-336.46000000000004</v>
          </cell>
          <cell r="P36">
            <v>27</v>
          </cell>
          <cell r="Q36">
            <v>-655</v>
          </cell>
          <cell r="R36">
            <v>-103</v>
          </cell>
          <cell r="S36">
            <v>-1067.46</v>
          </cell>
          <cell r="T36">
            <v>740</v>
          </cell>
          <cell r="U36">
            <v>-45.699999999999996</v>
          </cell>
          <cell r="V36">
            <v>-531</v>
          </cell>
          <cell r="W36">
            <v>1417</v>
          </cell>
          <cell r="X36">
            <v>1580.3</v>
          </cell>
          <cell r="Y36">
            <v>-34.25</v>
          </cell>
          <cell r="Z36">
            <v>-140.25</v>
          </cell>
          <cell r="AA36">
            <v>123.19</v>
          </cell>
          <cell r="AB36">
            <v>597.64</v>
          </cell>
          <cell r="AC36">
            <v>546.33000000000004</v>
          </cell>
          <cell r="AD36">
            <v>-67</v>
          </cell>
          <cell r="AE36">
            <v>-67</v>
          </cell>
          <cell r="AF36">
            <v>84</v>
          </cell>
          <cell r="AG36">
            <v>847</v>
          </cell>
          <cell r="AH36">
            <v>797</v>
          </cell>
          <cell r="AI36">
            <v>575.14</v>
          </cell>
          <cell r="AJ36">
            <v>575.14</v>
          </cell>
          <cell r="AK36">
            <v>642.97898263027309</v>
          </cell>
          <cell r="AL36">
            <v>-362</v>
          </cell>
          <cell r="AM36">
            <v>-356</v>
          </cell>
          <cell r="AN36">
            <v>-327</v>
          </cell>
          <cell r="AO36">
            <v>-327</v>
          </cell>
        </row>
        <row r="37">
          <cell r="H37">
            <v>300.5</v>
          </cell>
          <cell r="I37">
            <v>-371</v>
          </cell>
          <cell r="J37">
            <v>21</v>
          </cell>
          <cell r="K37">
            <v>73</v>
          </cell>
          <cell r="L37">
            <v>110</v>
          </cell>
          <cell r="M37">
            <v>-201</v>
          </cell>
          <cell r="N37">
            <v>3</v>
          </cell>
          <cell r="O37">
            <v>27</v>
          </cell>
          <cell r="P37">
            <v>62</v>
          </cell>
          <cell r="Q37">
            <v>-390</v>
          </cell>
          <cell r="R37">
            <v>-172</v>
          </cell>
          <cell r="S37">
            <v>-473</v>
          </cell>
          <cell r="T37">
            <v>391</v>
          </cell>
          <cell r="U37">
            <v>93.2</v>
          </cell>
          <cell r="V37">
            <v>-182</v>
          </cell>
          <cell r="W37">
            <v>394</v>
          </cell>
          <cell r="X37">
            <v>696.2</v>
          </cell>
          <cell r="Y37">
            <v>302.39</v>
          </cell>
          <cell r="Z37">
            <v>-201.01</v>
          </cell>
          <cell r="AA37">
            <v>193.38</v>
          </cell>
          <cell r="AB37">
            <v>105.23</v>
          </cell>
          <cell r="AC37">
            <v>399.99</v>
          </cell>
          <cell r="AD37">
            <v>453</v>
          </cell>
          <cell r="AE37">
            <v>-126</v>
          </cell>
          <cell r="AF37">
            <v>155</v>
          </cell>
          <cell r="AG37">
            <v>586</v>
          </cell>
          <cell r="AH37">
            <v>1068</v>
          </cell>
          <cell r="AI37">
            <v>387.57</v>
          </cell>
          <cell r="AJ37">
            <v>387.57</v>
          </cell>
          <cell r="AK37">
            <v>398.62968982630281</v>
          </cell>
          <cell r="AL37">
            <v>-206</v>
          </cell>
          <cell r="AM37">
            <v>-192</v>
          </cell>
          <cell r="AN37">
            <v>-279</v>
          </cell>
          <cell r="AO37">
            <v>-279</v>
          </cell>
        </row>
        <row r="38">
          <cell r="H38">
            <v>-195.10000000000002</v>
          </cell>
          <cell r="I38">
            <v>21</v>
          </cell>
          <cell r="J38">
            <v>-191</v>
          </cell>
          <cell r="K38">
            <v>100</v>
          </cell>
          <cell r="L38">
            <v>-117</v>
          </cell>
          <cell r="M38">
            <v>247</v>
          </cell>
          <cell r="N38">
            <v>39</v>
          </cell>
          <cell r="O38">
            <v>-148</v>
          </cell>
          <cell r="P38">
            <v>32</v>
          </cell>
          <cell r="Q38">
            <v>-213</v>
          </cell>
          <cell r="R38">
            <v>-266</v>
          </cell>
          <cell r="S38">
            <v>-595</v>
          </cell>
          <cell r="T38">
            <v>390</v>
          </cell>
          <cell r="U38">
            <v>-57</v>
          </cell>
          <cell r="V38">
            <v>-334</v>
          </cell>
          <cell r="W38">
            <v>726</v>
          </cell>
          <cell r="X38">
            <v>725</v>
          </cell>
          <cell r="Y38">
            <v>-381</v>
          </cell>
          <cell r="Z38">
            <v>14</v>
          </cell>
          <cell r="AA38">
            <v>-128.75</v>
          </cell>
          <cell r="AB38">
            <v>416.65</v>
          </cell>
          <cell r="AC38">
            <v>-79.099999999999994</v>
          </cell>
          <cell r="AD38">
            <v>-422</v>
          </cell>
          <cell r="AE38">
            <v>89</v>
          </cell>
          <cell r="AF38">
            <v>35</v>
          </cell>
          <cell r="AG38">
            <v>141</v>
          </cell>
          <cell r="AH38">
            <v>-157</v>
          </cell>
          <cell r="AI38">
            <v>-50</v>
          </cell>
          <cell r="AJ38">
            <v>-50</v>
          </cell>
        </row>
        <row r="39">
          <cell r="J39">
            <v>-57</v>
          </cell>
          <cell r="K39">
            <v>10</v>
          </cell>
          <cell r="L39">
            <v>23</v>
          </cell>
          <cell r="M39">
            <v>9</v>
          </cell>
          <cell r="N39">
            <v>-15</v>
          </cell>
          <cell r="O39">
            <v>3</v>
          </cell>
          <cell r="P39">
            <v>31</v>
          </cell>
          <cell r="Q39">
            <v>-75</v>
          </cell>
          <cell r="R39">
            <v>-2</v>
          </cell>
          <cell r="S39">
            <v>-43</v>
          </cell>
          <cell r="T39">
            <v>-118</v>
          </cell>
          <cell r="U39">
            <v>-17</v>
          </cell>
          <cell r="V39">
            <v>-162</v>
          </cell>
          <cell r="W39">
            <v>497</v>
          </cell>
          <cell r="X39">
            <v>200</v>
          </cell>
          <cell r="Y39">
            <v>-452</v>
          </cell>
          <cell r="Z39">
            <v>95</v>
          </cell>
          <cell r="AA39">
            <v>-128.75</v>
          </cell>
          <cell r="AB39">
            <v>406.15</v>
          </cell>
          <cell r="AC39">
            <v>-79.599999999999994</v>
          </cell>
          <cell r="AD39">
            <v>-419</v>
          </cell>
          <cell r="AE39">
            <v>201</v>
          </cell>
          <cell r="AF39">
            <v>-31</v>
          </cell>
          <cell r="AG39">
            <v>121</v>
          </cell>
          <cell r="AH39">
            <v>-128</v>
          </cell>
          <cell r="AI39">
            <v>61</v>
          </cell>
          <cell r="AJ39">
            <v>61</v>
          </cell>
        </row>
        <row r="40">
          <cell r="H40">
            <v>-59.5</v>
          </cell>
          <cell r="I40">
            <v>-69</v>
          </cell>
          <cell r="J40">
            <v>-56</v>
          </cell>
          <cell r="K40">
            <v>25</v>
          </cell>
          <cell r="L40">
            <v>33</v>
          </cell>
          <cell r="M40">
            <v>146</v>
          </cell>
          <cell r="N40">
            <v>148</v>
          </cell>
          <cell r="O40">
            <v>-18</v>
          </cell>
          <cell r="P40">
            <v>-32</v>
          </cell>
          <cell r="Q40">
            <v>-108</v>
          </cell>
          <cell r="R40">
            <v>298</v>
          </cell>
          <cell r="S40">
            <v>140</v>
          </cell>
          <cell r="T40">
            <v>40</v>
          </cell>
          <cell r="U40">
            <v>-87</v>
          </cell>
          <cell r="V40">
            <v>-16</v>
          </cell>
          <cell r="W40">
            <v>278</v>
          </cell>
          <cell r="X40">
            <v>215</v>
          </cell>
          <cell r="Y40">
            <v>38</v>
          </cell>
          <cell r="Z40">
            <v>40.4</v>
          </cell>
          <cell r="AA40">
            <v>52.2</v>
          </cell>
          <cell r="AB40">
            <v>69.400000000000006</v>
          </cell>
          <cell r="AC40">
            <v>200</v>
          </cell>
          <cell r="AD40">
            <v>-84</v>
          </cell>
          <cell r="AE40">
            <v>13</v>
          </cell>
          <cell r="AF40">
            <v>-137</v>
          </cell>
          <cell r="AG40">
            <v>109</v>
          </cell>
          <cell r="AH40">
            <v>-99</v>
          </cell>
          <cell r="AI40">
            <v>216.84</v>
          </cell>
          <cell r="AJ40">
            <v>216.84</v>
          </cell>
          <cell r="AK40">
            <v>223.02774193548393</v>
          </cell>
          <cell r="AL40">
            <v>-155</v>
          </cell>
          <cell r="AM40">
            <v>-169</v>
          </cell>
          <cell r="AN40">
            <v>-56</v>
          </cell>
          <cell r="AO40">
            <v>-56</v>
          </cell>
        </row>
        <row r="41">
          <cell r="H41">
            <v>113.2</v>
          </cell>
          <cell r="I41">
            <v>69</v>
          </cell>
          <cell r="J41">
            <v>39</v>
          </cell>
          <cell r="K41">
            <v>-5</v>
          </cell>
          <cell r="L41">
            <v>9</v>
          </cell>
          <cell r="M41">
            <v>17</v>
          </cell>
          <cell r="N41">
            <v>60</v>
          </cell>
          <cell r="O41">
            <v>-62.46</v>
          </cell>
          <cell r="P41">
            <v>-35</v>
          </cell>
          <cell r="Q41">
            <v>56</v>
          </cell>
          <cell r="R41">
            <v>37</v>
          </cell>
          <cell r="S41">
            <v>-4.460000000000008</v>
          </cell>
          <cell r="T41">
            <v>-81</v>
          </cell>
          <cell r="U41">
            <v>5.0999999999999996</v>
          </cell>
          <cell r="V41">
            <v>1</v>
          </cell>
          <cell r="W41">
            <v>19</v>
          </cell>
          <cell r="X41">
            <v>-55.900000000000006</v>
          </cell>
          <cell r="Y41">
            <v>6.36</v>
          </cell>
          <cell r="Z41">
            <v>6.36</v>
          </cell>
          <cell r="AA41">
            <v>6.36</v>
          </cell>
          <cell r="AB41">
            <v>6.36</v>
          </cell>
          <cell r="AC41">
            <v>25.44</v>
          </cell>
          <cell r="AD41">
            <v>-14</v>
          </cell>
          <cell r="AE41">
            <v>-43</v>
          </cell>
          <cell r="AF41">
            <v>31</v>
          </cell>
          <cell r="AG41">
            <v>11</v>
          </cell>
          <cell r="AH41">
            <v>-15</v>
          </cell>
          <cell r="AI41">
            <v>20.73</v>
          </cell>
          <cell r="AJ41">
            <v>20.73</v>
          </cell>
          <cell r="AK41">
            <v>21.321550868486359</v>
          </cell>
          <cell r="AL41">
            <v>-12</v>
          </cell>
          <cell r="AM41">
            <v>-5</v>
          </cell>
          <cell r="AN41">
            <v>-1</v>
          </cell>
          <cell r="AO41">
            <v>-1</v>
          </cell>
        </row>
        <row r="42">
          <cell r="H42">
            <v>-1050</v>
          </cell>
          <cell r="I42">
            <v>0</v>
          </cell>
          <cell r="J42">
            <v>0</v>
          </cell>
          <cell r="K42">
            <v>0</v>
          </cell>
          <cell r="L42">
            <v>0</v>
          </cell>
          <cell r="M42">
            <v>135</v>
          </cell>
          <cell r="N42">
            <v>135</v>
          </cell>
          <cell r="O42">
            <v>-135</v>
          </cell>
          <cell r="P42">
            <v>0</v>
          </cell>
          <cell r="Q42">
            <v>0</v>
          </cell>
          <cell r="S42">
            <v>-135</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11</v>
          </cell>
          <cell r="AM42">
            <v>10</v>
          </cell>
          <cell r="AN42">
            <v>9</v>
          </cell>
          <cell r="AO42">
            <v>9</v>
          </cell>
        </row>
        <row r="44">
          <cell r="H44">
            <v>9323.1779000000006</v>
          </cell>
          <cell r="I44">
            <v>8676.0249999999996</v>
          </cell>
          <cell r="J44">
            <v>2006</v>
          </cell>
          <cell r="K44">
            <v>3035</v>
          </cell>
          <cell r="L44">
            <v>2543</v>
          </cell>
          <cell r="M44">
            <v>3352</v>
          </cell>
          <cell r="N44">
            <v>10936</v>
          </cell>
          <cell r="O44">
            <v>2547.21</v>
          </cell>
          <cell r="P44">
            <v>3367</v>
          </cell>
          <cell r="Q44">
            <v>3627.06</v>
          </cell>
          <cell r="R44">
            <v>5061.21</v>
          </cell>
          <cell r="S44">
            <v>13567.599999999999</v>
          </cell>
          <cell r="T44">
            <v>3475.9219199999998</v>
          </cell>
          <cell r="U44">
            <v>3930.9725663999998</v>
          </cell>
          <cell r="V44">
            <v>3298.4022480000003</v>
          </cell>
          <cell r="W44">
            <v>4961</v>
          </cell>
          <cell r="X44">
            <v>15666.296734399999</v>
          </cell>
          <cell r="Y44">
            <v>2632.01</v>
          </cell>
          <cell r="Z44">
            <v>2864.0140000000006</v>
          </cell>
          <cell r="AA44">
            <v>2699.9988000000003</v>
          </cell>
          <cell r="AB44">
            <v>4014.4020000000005</v>
          </cell>
          <cell r="AC44">
            <v>12210.424800000001</v>
          </cell>
          <cell r="AD44">
            <v>2631.5828800000004</v>
          </cell>
          <cell r="AE44">
            <v>3748.8972970000004</v>
          </cell>
          <cell r="AF44">
            <v>2163.1994000000004</v>
          </cell>
          <cell r="AG44">
            <v>3484.8068000000003</v>
          </cell>
          <cell r="AH44">
            <v>12028.486377000001</v>
          </cell>
          <cell r="AI44">
            <v>9569.404050000001</v>
          </cell>
          <cell r="AJ44">
            <v>9569.4440500000001</v>
          </cell>
          <cell r="AK44">
            <v>11734.340845049626</v>
          </cell>
          <cell r="AL44">
            <v>10419.675430078514</v>
          </cell>
          <cell r="AM44">
            <v>10472.299877405105</v>
          </cell>
          <cell r="AN44">
            <v>10581.563486961388</v>
          </cell>
          <cell r="AO44">
            <v>12369.19102867975</v>
          </cell>
        </row>
        <row r="47">
          <cell r="H47">
            <v>2.169</v>
          </cell>
          <cell r="I47">
            <v>2.34</v>
          </cell>
          <cell r="J47">
            <v>2.376586741889986</v>
          </cell>
          <cell r="K47">
            <v>2.43619877989165</v>
          </cell>
          <cell r="L47">
            <v>2.5200775408474105</v>
          </cell>
          <cell r="M47">
            <v>2.6505702066999284</v>
          </cell>
          <cell r="N47">
            <v>2.4942163133408837</v>
          </cell>
          <cell r="O47">
            <v>2.5462110360821226</v>
          </cell>
          <cell r="P47">
            <v>2.7321475775084019</v>
          </cell>
          <cell r="Q47">
            <v>2.7854006586169047</v>
          </cell>
          <cell r="R47">
            <v>2.8872922295914192</v>
          </cell>
          <cell r="S47">
            <v>2.7434565911600561</v>
          </cell>
          <cell r="T47">
            <v>2.8304</v>
          </cell>
          <cell r="U47">
            <v>3.1008</v>
          </cell>
          <cell r="V47">
            <v>3.1322000000000001</v>
          </cell>
          <cell r="W47">
            <v>3.14</v>
          </cell>
          <cell r="X47">
            <v>3.0508500000000005</v>
          </cell>
          <cell r="Y47">
            <v>3.04</v>
          </cell>
          <cell r="Z47">
            <v>3.1070000000000002</v>
          </cell>
          <cell r="AA47">
            <v>3.1070000000000002</v>
          </cell>
          <cell r="AB47">
            <v>3.1120000000000001</v>
          </cell>
          <cell r="AC47">
            <v>3.0915000000000004</v>
          </cell>
          <cell r="AD47">
            <v>3.1448</v>
          </cell>
          <cell r="AE47">
            <v>3.0386000000000002</v>
          </cell>
          <cell r="AF47">
            <v>3.0350000000000001</v>
          </cell>
          <cell r="AG47">
            <v>3.2690000000000001</v>
          </cell>
          <cell r="AH47">
            <v>3.1218500000000002</v>
          </cell>
          <cell r="AI47">
            <v>2.9969999999999999</v>
          </cell>
          <cell r="AJ47">
            <v>2.9969999999999999</v>
          </cell>
          <cell r="AK47">
            <v>3.0825223325062039</v>
          </cell>
          <cell r="AL47">
            <v>3.2888914392059556</v>
          </cell>
          <cell r="AM47">
            <v>3.4413442928039699</v>
          </cell>
          <cell r="AN47">
            <v>3.5993746898263024</v>
          </cell>
          <cell r="AO47">
            <v>3.7648418114143918</v>
          </cell>
        </row>
        <row r="48">
          <cell r="S48">
            <v>9.9927290382175071E-2</v>
          </cell>
          <cell r="X48">
            <v>0.11204602610824055</v>
          </cell>
          <cell r="AC48">
            <v>1.2494473283442664E-2</v>
          </cell>
          <cell r="AH48">
            <v>2.3272202828719779E-2</v>
          </cell>
          <cell r="AI48">
            <v>-8.3205873355766347E-2</v>
          </cell>
          <cell r="AJ48">
            <v>-3.999231225074884E-2</v>
          </cell>
          <cell r="AK48">
            <v>2.8535980148883588E-2</v>
          </cell>
          <cell r="AL48">
            <v>6.6948130277442619E-2</v>
          </cell>
          <cell r="AM48">
            <v>4.6353872244205618E-2</v>
          </cell>
          <cell r="AN48">
            <v>4.5921123716909706E-2</v>
          </cell>
          <cell r="AO48">
            <v>4.5971074380165344E-2</v>
          </cell>
        </row>
        <row r="49">
          <cell r="H49">
            <v>2.169</v>
          </cell>
          <cell r="I49">
            <v>2.34</v>
          </cell>
          <cell r="J49">
            <v>2.376586741889986</v>
          </cell>
          <cell r="K49">
            <v>2.43619877989165</v>
          </cell>
          <cell r="L49">
            <v>2.5200775408474105</v>
          </cell>
          <cell r="M49">
            <v>2.6505702066999284</v>
          </cell>
          <cell r="N49">
            <v>2.4942163133408837</v>
          </cell>
          <cell r="O49">
            <v>2.5462110360821226</v>
          </cell>
          <cell r="P49">
            <v>2.7479</v>
          </cell>
          <cell r="Q49">
            <v>2.7854006586169047</v>
          </cell>
          <cell r="R49">
            <v>2.8872922295914192</v>
          </cell>
          <cell r="S49">
            <v>2.7417009810726114</v>
          </cell>
          <cell r="T49">
            <v>2.8304</v>
          </cell>
          <cell r="U49">
            <v>3.1008</v>
          </cell>
          <cell r="V49">
            <v>3.1322000000000001</v>
          </cell>
          <cell r="W49">
            <v>3.14</v>
          </cell>
          <cell r="X49">
            <v>3.0508500000000005</v>
          </cell>
          <cell r="Y49">
            <v>3.04</v>
          </cell>
          <cell r="Z49">
            <v>3.1070000000000002</v>
          </cell>
          <cell r="AA49">
            <v>3.1070000000000002</v>
          </cell>
          <cell r="AB49">
            <v>3.1120000000000001</v>
          </cell>
          <cell r="AC49">
            <v>3.0915000000000004</v>
          </cell>
          <cell r="AD49">
            <v>3.1448</v>
          </cell>
          <cell r="AE49">
            <v>3.0386000000000002</v>
          </cell>
          <cell r="AF49">
            <v>3.0350000000000001</v>
          </cell>
          <cell r="AG49">
            <v>3.2690000000000001</v>
          </cell>
          <cell r="AH49">
            <v>3.1218500000000002</v>
          </cell>
          <cell r="AI49">
            <v>3.7309999999999999</v>
          </cell>
          <cell r="AJ49">
            <v>3.7309999999999999</v>
          </cell>
          <cell r="AK49">
            <v>4.109</v>
          </cell>
          <cell r="AL49">
            <v>4.4239999999999995</v>
          </cell>
          <cell r="AM49">
            <v>4.5819999999999999</v>
          </cell>
          <cell r="AN49">
            <v>4.6980000000000004</v>
          </cell>
          <cell r="AO49">
            <v>4.7510000000000003</v>
          </cell>
        </row>
        <row r="50">
          <cell r="S50">
            <v>9.9223417956173066E-2</v>
          </cell>
          <cell r="T50">
            <v>0.11161249397267614</v>
          </cell>
          <cell r="U50">
            <v>0.12842534298919173</v>
          </cell>
          <cell r="V50">
            <v>0.12450608866995072</v>
          </cell>
          <cell r="W50">
            <v>8.7524140375753179E-2</v>
          </cell>
          <cell r="X50">
            <v>0.11275810931301611</v>
          </cell>
          <cell r="AC50">
            <v>1.2494473283442664E-2</v>
          </cell>
          <cell r="AH50">
            <v>2.3272202828719779E-2</v>
          </cell>
          <cell r="AI50">
            <v>0.14132762312633829</v>
          </cell>
          <cell r="AJ50">
            <v>0.19512468568316854</v>
          </cell>
          <cell r="AK50">
            <v>0.10131332082551592</v>
          </cell>
          <cell r="AL50">
            <v>7.6660988074957359E-2</v>
          </cell>
          <cell r="AM50">
            <v>3.5714285714285809E-2</v>
          </cell>
          <cell r="AN50">
            <v>2.5316455696202667E-2</v>
          </cell>
          <cell r="AO50">
            <v>1.12813963388676E-2</v>
          </cell>
        </row>
        <row r="51">
          <cell r="AI51">
            <v>0.08</v>
          </cell>
          <cell r="AJ51">
            <v>0.08</v>
          </cell>
          <cell r="AK51">
            <v>0.10300000000000001</v>
          </cell>
          <cell r="AL51">
            <v>0.28599999999999998</v>
          </cell>
          <cell r="AM51">
            <v>0.40699999999999997</v>
          </cell>
          <cell r="AN51">
            <v>0.5</v>
          </cell>
          <cell r="AO51">
            <v>0.5</v>
          </cell>
        </row>
        <row r="52">
          <cell r="AK52">
            <v>0.28750000000000009</v>
          </cell>
          <cell r="AL52">
            <v>1.7766990291262132</v>
          </cell>
          <cell r="AM52">
            <v>0.42307692307692313</v>
          </cell>
          <cell r="AN52">
            <v>0.22850122850122867</v>
          </cell>
          <cell r="AO52">
            <v>0</v>
          </cell>
        </row>
        <row r="53">
          <cell r="J53">
            <v>17.149999999999999</v>
          </cell>
          <cell r="K53">
            <v>18.170000000000002</v>
          </cell>
          <cell r="L53">
            <v>16.43</v>
          </cell>
          <cell r="M53">
            <v>16.91</v>
          </cell>
          <cell r="N53">
            <v>17.170000000000002</v>
          </cell>
          <cell r="O53">
            <v>18.28</v>
          </cell>
          <cell r="P53">
            <v>19.420000000000002</v>
          </cell>
          <cell r="Q53">
            <v>20.76</v>
          </cell>
          <cell r="R53">
            <v>23.21</v>
          </cell>
          <cell r="S53">
            <v>20.417500000000004</v>
          </cell>
          <cell r="T53">
            <v>21.08</v>
          </cell>
          <cell r="U53">
            <v>18.489999999999998</v>
          </cell>
          <cell r="V53">
            <v>18.66</v>
          </cell>
          <cell r="W53">
            <v>18.84</v>
          </cell>
          <cell r="X53">
            <v>19.267499999999998</v>
          </cell>
          <cell r="Y53">
            <v>13.96</v>
          </cell>
          <cell r="Z53">
            <v>14</v>
          </cell>
          <cell r="AA53">
            <v>14.92</v>
          </cell>
          <cell r="AB53">
            <v>15.5</v>
          </cell>
          <cell r="AC53">
            <v>14.595000000000001</v>
          </cell>
          <cell r="AD53">
            <v>14.1633</v>
          </cell>
          <cell r="AE53">
            <v>13.283160000000001</v>
          </cell>
          <cell r="AF53">
            <v>12.577389999999999</v>
          </cell>
          <cell r="AG53">
            <v>13.10833</v>
          </cell>
          <cell r="AH53">
            <v>13.283045000000001</v>
          </cell>
          <cell r="AI53">
            <v>12</v>
          </cell>
          <cell r="AJ53">
            <v>12</v>
          </cell>
          <cell r="AK53">
            <v>13.6</v>
          </cell>
          <cell r="AL53">
            <v>14.6</v>
          </cell>
          <cell r="AM53">
            <v>14.6</v>
          </cell>
          <cell r="AN53">
            <v>14.6</v>
          </cell>
          <cell r="AO53">
            <v>14.6</v>
          </cell>
        </row>
        <row r="54">
          <cell r="AK54">
            <v>0.1333333333333333</v>
          </cell>
          <cell r="AL54">
            <v>7.3529411764705843E-2</v>
          </cell>
          <cell r="AM54">
            <v>0</v>
          </cell>
          <cell r="AN54">
            <v>0</v>
          </cell>
          <cell r="AO54">
            <v>0</v>
          </cell>
        </row>
        <row r="55">
          <cell r="J55">
            <v>14.18</v>
          </cell>
          <cell r="K55">
            <v>16.41</v>
          </cell>
          <cell r="L55">
            <v>14.13</v>
          </cell>
          <cell r="M55">
            <v>14.64</v>
          </cell>
          <cell r="N55">
            <v>14.8475</v>
          </cell>
          <cell r="O55">
            <v>16.29</v>
          </cell>
          <cell r="P55">
            <v>17.46</v>
          </cell>
          <cell r="Q55">
            <v>18.22</v>
          </cell>
          <cell r="R55">
            <v>21.24</v>
          </cell>
          <cell r="S55">
            <v>18.36</v>
          </cell>
          <cell r="T55">
            <v>17.72</v>
          </cell>
          <cell r="U55">
            <v>15.66</v>
          </cell>
          <cell r="V55">
            <v>16.27</v>
          </cell>
          <cell r="W55">
            <v>15.78</v>
          </cell>
          <cell r="X55">
            <v>16.357499999999998</v>
          </cell>
          <cell r="Y55">
            <v>12.122962173681408</v>
          </cell>
          <cell r="Z55">
            <v>12.157698454981356</v>
          </cell>
          <cell r="AA55">
            <v>12.956632924880129</v>
          </cell>
          <cell r="AB55">
            <v>13.460309003729355</v>
          </cell>
          <cell r="AC55">
            <v>12.674400639318064</v>
          </cell>
          <cell r="AD55">
            <v>11.34</v>
          </cell>
          <cell r="AE55">
            <v>11.095000000000001</v>
          </cell>
          <cell r="AF55">
            <v>10.505492823243866</v>
          </cell>
          <cell r="AG55">
            <v>10.948970075644652</v>
          </cell>
          <cell r="AH55">
            <v>10.972365724722131</v>
          </cell>
          <cell r="AI55">
            <v>9.9125154433087861</v>
          </cell>
          <cell r="AJ55">
            <v>9.9125154433087861</v>
          </cell>
          <cell r="AK55">
            <v>11.23418416908329</v>
          </cell>
          <cell r="AL55">
            <v>12.060227122692355</v>
          </cell>
          <cell r="AM55">
            <v>12.060227122692355</v>
          </cell>
          <cell r="AN55">
            <v>12.060227122692355</v>
          </cell>
          <cell r="AO55">
            <v>12.060227122692355</v>
          </cell>
        </row>
        <row r="56">
          <cell r="AK56">
            <v>0.1333333333333333</v>
          </cell>
          <cell r="AL56">
            <v>7.3529411764705843E-2</v>
          </cell>
          <cell r="AM56">
            <v>0</v>
          </cell>
          <cell r="AN56">
            <v>0</v>
          </cell>
          <cell r="AO56">
            <v>0</v>
          </cell>
        </row>
        <row r="57">
          <cell r="H57">
            <v>13.34</v>
          </cell>
          <cell r="I57">
            <v>13.25</v>
          </cell>
          <cell r="J57">
            <v>14.18</v>
          </cell>
          <cell r="K57">
            <v>16.41</v>
          </cell>
          <cell r="L57">
            <v>14.13</v>
          </cell>
          <cell r="M57">
            <v>14.64</v>
          </cell>
          <cell r="N57">
            <v>14.8475</v>
          </cell>
          <cell r="O57">
            <v>16.29</v>
          </cell>
          <cell r="P57">
            <v>17.46</v>
          </cell>
          <cell r="Q57">
            <v>18.22</v>
          </cell>
          <cell r="R57">
            <v>21.24</v>
          </cell>
          <cell r="S57">
            <v>18.36</v>
          </cell>
          <cell r="T57">
            <v>17.72</v>
          </cell>
          <cell r="U57">
            <v>15.663</v>
          </cell>
          <cell r="V57">
            <v>16.27</v>
          </cell>
          <cell r="W57">
            <v>15.733176405427859</v>
          </cell>
          <cell r="X57">
            <v>16.308610946691381</v>
          </cell>
          <cell r="Y57">
            <v>11.7</v>
          </cell>
          <cell r="Z57">
            <v>12</v>
          </cell>
          <cell r="AA57">
            <v>12.7</v>
          </cell>
          <cell r="AB57">
            <v>15.5</v>
          </cell>
          <cell r="AC57">
            <v>12.975</v>
          </cell>
          <cell r="AD57">
            <v>11.34</v>
          </cell>
          <cell r="AE57">
            <v>11.095000000000001</v>
          </cell>
          <cell r="AF57">
            <v>10.77</v>
          </cell>
          <cell r="AG57">
            <v>9.1</v>
          </cell>
          <cell r="AH57">
            <v>10.57625</v>
          </cell>
          <cell r="AI57">
            <v>9.01</v>
          </cell>
          <cell r="AJ57">
            <v>9.01</v>
          </cell>
          <cell r="AK57">
            <v>10.211333333333332</v>
          </cell>
          <cell r="AL57">
            <v>11.08</v>
          </cell>
          <cell r="AM57">
            <v>11.19</v>
          </cell>
          <cell r="AN57">
            <v>11.3</v>
          </cell>
          <cell r="AO57">
            <v>11.41</v>
          </cell>
        </row>
        <row r="58">
          <cell r="AK58">
            <v>0.1333333333333333</v>
          </cell>
          <cell r="AL58">
            <v>8.5068877717568769E-2</v>
          </cell>
          <cell r="AM58">
            <v>9.9277978339349371E-3</v>
          </cell>
          <cell r="AN58">
            <v>9.8302055406613853E-3</v>
          </cell>
          <cell r="AO58">
            <v>9.7345132743362761E-3</v>
          </cell>
        </row>
        <row r="59">
          <cell r="I59">
            <v>776</v>
          </cell>
          <cell r="J59">
            <v>230</v>
          </cell>
          <cell r="K59">
            <v>284</v>
          </cell>
          <cell r="L59">
            <v>269</v>
          </cell>
          <cell r="M59">
            <v>397</v>
          </cell>
          <cell r="N59">
            <v>1180</v>
          </cell>
          <cell r="O59">
            <v>321</v>
          </cell>
          <cell r="P59">
            <v>423</v>
          </cell>
          <cell r="Q59">
            <v>349</v>
          </cell>
          <cell r="R59">
            <v>253</v>
          </cell>
          <cell r="S59">
            <v>1346</v>
          </cell>
          <cell r="T59">
            <v>252</v>
          </cell>
          <cell r="U59">
            <v>97</v>
          </cell>
          <cell r="V59">
            <v>260</v>
          </cell>
          <cell r="W59">
            <v>172</v>
          </cell>
          <cell r="X59">
            <v>781</v>
          </cell>
          <cell r="Y59">
            <v>238.78</v>
          </cell>
          <cell r="Z59">
            <v>317.95499999999998</v>
          </cell>
          <cell r="AA59">
            <v>402.34500000000003</v>
          </cell>
          <cell r="AB59">
            <v>488.96499999999997</v>
          </cell>
          <cell r="AC59">
            <v>1448.0450000000001</v>
          </cell>
          <cell r="AD59">
            <v>260</v>
          </cell>
          <cell r="AE59">
            <v>283</v>
          </cell>
          <cell r="AF59">
            <v>246</v>
          </cell>
          <cell r="AG59">
            <v>243</v>
          </cell>
          <cell r="AH59">
            <v>1032</v>
          </cell>
          <cell r="AI59">
            <v>964.8</v>
          </cell>
          <cell r="AJ59">
            <v>964.8</v>
          </cell>
          <cell r="AK59">
            <v>992.33151364764285</v>
          </cell>
          <cell r="AL59">
            <v>1485</v>
          </cell>
          <cell r="AM59">
            <v>1657</v>
          </cell>
          <cell r="AN59">
            <v>1771</v>
          </cell>
          <cell r="AO59">
            <v>1771</v>
          </cell>
        </row>
        <row r="60">
          <cell r="I60">
            <v>1309</v>
          </cell>
          <cell r="J60">
            <v>412</v>
          </cell>
          <cell r="K60">
            <v>472</v>
          </cell>
          <cell r="L60">
            <v>557</v>
          </cell>
          <cell r="M60">
            <v>740</v>
          </cell>
          <cell r="N60">
            <v>2181</v>
          </cell>
          <cell r="O60">
            <v>601</v>
          </cell>
          <cell r="P60">
            <v>473</v>
          </cell>
          <cell r="Q60">
            <v>373</v>
          </cell>
          <cell r="R60">
            <v>563</v>
          </cell>
          <cell r="S60">
            <v>2010</v>
          </cell>
          <cell r="T60">
            <v>655</v>
          </cell>
          <cell r="U60">
            <v>443</v>
          </cell>
          <cell r="V60">
            <v>563</v>
          </cell>
          <cell r="W60">
            <v>724</v>
          </cell>
          <cell r="X60">
            <v>2385</v>
          </cell>
          <cell r="Y60">
            <v>389.63</v>
          </cell>
          <cell r="Z60">
            <v>499.39499999999998</v>
          </cell>
          <cell r="AA60">
            <v>655.78499999999997</v>
          </cell>
          <cell r="AB60">
            <v>823.60500000000002</v>
          </cell>
          <cell r="AC60">
            <v>2368.415</v>
          </cell>
          <cell r="AD60">
            <v>320</v>
          </cell>
          <cell r="AE60">
            <v>332</v>
          </cell>
          <cell r="AF60">
            <v>264</v>
          </cell>
          <cell r="AG60">
            <v>233</v>
          </cell>
          <cell r="AH60">
            <v>1149</v>
          </cell>
          <cell r="AI60">
            <v>1099.8</v>
          </cell>
          <cell r="AJ60">
            <v>1099.8</v>
          </cell>
          <cell r="AK60">
            <v>1131.1838709677422</v>
          </cell>
          <cell r="AL60">
            <v>2518.250932835821</v>
          </cell>
          <cell r="AM60">
            <v>2809.9271351575458</v>
          </cell>
          <cell r="AN60">
            <v>3003.2474087893866</v>
          </cell>
          <cell r="AO60">
            <v>3003.247408789387</v>
          </cell>
        </row>
        <row r="61">
          <cell r="I61">
            <v>2085</v>
          </cell>
          <cell r="J61">
            <v>642</v>
          </cell>
          <cell r="K61">
            <v>756</v>
          </cell>
          <cell r="L61">
            <v>826</v>
          </cell>
          <cell r="M61">
            <v>1137</v>
          </cell>
          <cell r="N61">
            <v>3361</v>
          </cell>
          <cell r="O61">
            <v>922</v>
          </cell>
          <cell r="P61">
            <v>896</v>
          </cell>
          <cell r="Q61">
            <v>722</v>
          </cell>
          <cell r="R61">
            <v>816</v>
          </cell>
          <cell r="S61">
            <v>3356</v>
          </cell>
          <cell r="T61">
            <v>907</v>
          </cell>
          <cell r="U61">
            <v>540</v>
          </cell>
          <cell r="V61">
            <v>823</v>
          </cell>
          <cell r="W61">
            <v>896</v>
          </cell>
          <cell r="X61">
            <v>3166</v>
          </cell>
          <cell r="Y61">
            <v>628.41</v>
          </cell>
          <cell r="Z61">
            <v>817.35</v>
          </cell>
          <cell r="AA61">
            <v>1058.1300000000001</v>
          </cell>
          <cell r="AB61">
            <v>1312.57</v>
          </cell>
          <cell r="AC61">
            <v>3816.46</v>
          </cell>
          <cell r="AD61">
            <v>580</v>
          </cell>
          <cell r="AE61">
            <v>615</v>
          </cell>
          <cell r="AF61">
            <v>510</v>
          </cell>
          <cell r="AG61">
            <v>476</v>
          </cell>
          <cell r="AH61">
            <v>2181</v>
          </cell>
          <cell r="AI61">
            <v>2064.6</v>
          </cell>
          <cell r="AJ61">
            <v>2064.6</v>
          </cell>
          <cell r="AK61">
            <v>2123.5153846153853</v>
          </cell>
          <cell r="AL61">
            <v>4003.250932835821</v>
          </cell>
          <cell r="AM61">
            <v>4466.9271351575462</v>
          </cell>
          <cell r="AN61">
            <v>4774.2474087893861</v>
          </cell>
          <cell r="AO61">
            <v>4774.247408789387</v>
          </cell>
        </row>
        <row r="62">
          <cell r="N62">
            <v>0.61199040767386093</v>
          </cell>
          <cell r="S62">
            <v>-1.4876524843796535E-3</v>
          </cell>
          <cell r="X62">
            <v>-5.661501787842671E-2</v>
          </cell>
          <cell r="AC62">
            <v>9.0074547999200227E-2</v>
          </cell>
          <cell r="AH62">
            <v>-0.31111813013265954</v>
          </cell>
          <cell r="AI62">
            <v>-5.3370013755158263E-2</v>
          </cell>
          <cell r="AJ62">
            <v>-5.3370013755158263E-2</v>
          </cell>
          <cell r="AK62">
            <v>2.8535980148883811E-2</v>
          </cell>
          <cell r="AL62">
            <v>0.88519987273880596</v>
          </cell>
          <cell r="AM62">
            <v>0.11582491582491605</v>
          </cell>
          <cell r="AN62">
            <v>6.8799034399517067E-2</v>
          </cell>
          <cell r="AO62">
            <v>2.2204460492503131E-16</v>
          </cell>
        </row>
        <row r="63">
          <cell r="I63">
            <v>1878</v>
          </cell>
          <cell r="J63">
            <v>1857</v>
          </cell>
          <cell r="K63">
            <v>1784</v>
          </cell>
          <cell r="L63">
            <v>1674</v>
          </cell>
          <cell r="M63">
            <v>1875</v>
          </cell>
          <cell r="N63">
            <v>1875</v>
          </cell>
          <cell r="O63">
            <v>1848</v>
          </cell>
          <cell r="P63">
            <v>1786</v>
          </cell>
          <cell r="Q63">
            <v>2176</v>
          </cell>
          <cell r="R63">
            <v>2348</v>
          </cell>
          <cell r="S63">
            <v>2348</v>
          </cell>
          <cell r="T63">
            <v>1957</v>
          </cell>
          <cell r="U63">
            <v>1863.8</v>
          </cell>
          <cell r="V63">
            <v>2045.8</v>
          </cell>
          <cell r="W63">
            <v>1651.8</v>
          </cell>
          <cell r="X63">
            <v>1651.8</v>
          </cell>
          <cell r="Y63">
            <v>1555.34</v>
          </cell>
          <cell r="Z63">
            <v>1756.35</v>
          </cell>
          <cell r="AA63">
            <v>1562.97</v>
          </cell>
          <cell r="AB63">
            <v>1457.74</v>
          </cell>
          <cell r="AC63">
            <v>1457.74</v>
          </cell>
          <cell r="AD63">
            <v>1198.8</v>
          </cell>
          <cell r="AE63">
            <v>1324.8</v>
          </cell>
          <cell r="AF63">
            <v>1169.8</v>
          </cell>
          <cell r="AG63">
            <v>583.79999999999995</v>
          </cell>
          <cell r="AH63">
            <v>583.79999999999995</v>
          </cell>
          <cell r="AI63">
            <v>403.34897274999992</v>
          </cell>
          <cell r="AJ63">
            <v>403.34897274999992</v>
          </cell>
          <cell r="AK63">
            <v>539.42380285856086</v>
          </cell>
          <cell r="AL63">
            <v>690.41986511972709</v>
          </cell>
          <cell r="AM63">
            <v>753.31318210949144</v>
          </cell>
          <cell r="AN63">
            <v>819.14371093238219</v>
          </cell>
          <cell r="AO63">
            <v>888.61267274224542</v>
          </cell>
        </row>
        <row r="64">
          <cell r="J64">
            <v>51</v>
          </cell>
          <cell r="K64">
            <v>94</v>
          </cell>
          <cell r="L64">
            <v>113</v>
          </cell>
          <cell r="M64">
            <v>251</v>
          </cell>
          <cell r="N64">
            <v>509</v>
          </cell>
          <cell r="O64">
            <v>170.67</v>
          </cell>
          <cell r="P64">
            <v>188</v>
          </cell>
          <cell r="Q64">
            <v>135</v>
          </cell>
          <cell r="R64">
            <v>297.20999999999998</v>
          </cell>
          <cell r="S64">
            <v>790.87999999999988</v>
          </cell>
          <cell r="T64">
            <v>195</v>
          </cell>
          <cell r="U64">
            <v>204</v>
          </cell>
          <cell r="V64">
            <v>272</v>
          </cell>
          <cell r="W64">
            <v>343</v>
          </cell>
          <cell r="X64">
            <v>1014</v>
          </cell>
          <cell r="Y64">
            <v>114.91</v>
          </cell>
          <cell r="Z64">
            <v>240.28</v>
          </cell>
          <cell r="AA64">
            <v>323.85000000000002</v>
          </cell>
          <cell r="AB64">
            <v>365.84</v>
          </cell>
          <cell r="AC64">
            <v>1044.8800000000001</v>
          </cell>
          <cell r="AD64">
            <v>250</v>
          </cell>
          <cell r="AE64">
            <v>290</v>
          </cell>
          <cell r="AF64">
            <v>284</v>
          </cell>
          <cell r="AG64">
            <v>365</v>
          </cell>
          <cell r="AH64">
            <v>1189</v>
          </cell>
          <cell r="AI64">
            <v>1800</v>
          </cell>
          <cell r="AJ64">
            <v>1800</v>
          </cell>
          <cell r="AK64">
            <v>1851.3647642679905</v>
          </cell>
          <cell r="AL64">
            <v>2770.5223880597014</v>
          </cell>
          <cell r="AM64">
            <v>3091.4179104477612</v>
          </cell>
          <cell r="AN64">
            <v>3304.1044776119402</v>
          </cell>
          <cell r="AO64">
            <v>3304.1044776119406</v>
          </cell>
        </row>
        <row r="69">
          <cell r="H69">
            <v>9329.0779000000002</v>
          </cell>
          <cell r="I69">
            <v>9568.8249999999989</v>
          </cell>
          <cell r="T69">
            <v>3601.0019199999997</v>
          </cell>
          <cell r="U69">
            <v>3973.2260479999995</v>
          </cell>
          <cell r="V69">
            <v>4000.4022480000003</v>
          </cell>
          <cell r="W69">
            <v>3493.3364000000001</v>
          </cell>
          <cell r="X69">
            <v>15067.966616000002</v>
          </cell>
          <cell r="Y69">
            <v>2643.9050000000002</v>
          </cell>
          <cell r="Z69">
            <v>2595.17</v>
          </cell>
          <cell r="AA69">
            <v>2564.12</v>
          </cell>
          <cell r="AB69">
            <v>3151.732</v>
          </cell>
          <cell r="AC69">
            <v>10954.927000000001</v>
          </cell>
          <cell r="AD69">
            <v>2537.7950000000005</v>
          </cell>
          <cell r="AE69">
            <v>2323.3985000000002</v>
          </cell>
          <cell r="AF69">
            <v>1973.7330000000002</v>
          </cell>
          <cell r="AG69">
            <v>1169.2423999999996</v>
          </cell>
          <cell r="AH69">
            <v>8004.1689000000006</v>
          </cell>
          <cell r="AI69">
            <v>15608.224999999999</v>
          </cell>
          <cell r="AJ69">
            <v>15608.224999999999</v>
          </cell>
          <cell r="AK69">
            <v>17705.41</v>
          </cell>
          <cell r="AL69">
            <v>19542.399999999994</v>
          </cell>
          <cell r="AM69">
            <v>20612.45</v>
          </cell>
          <cell r="AN69">
            <v>21520.55</v>
          </cell>
          <cell r="AO69">
            <v>24335.724999999999</v>
          </cell>
          <cell r="AP69">
            <v>24530.799999999999</v>
          </cell>
          <cell r="AQ69">
            <v>24028.000000000004</v>
          </cell>
          <cell r="AR69">
            <v>23714.925000000003</v>
          </cell>
        </row>
        <row r="71">
          <cell r="H71">
            <v>10561.0779</v>
          </cell>
          <cell r="I71">
            <v>11316.824999999999</v>
          </cell>
          <cell r="T71">
            <v>4513.9219199999998</v>
          </cell>
          <cell r="U71">
            <v>4418.8260479999999</v>
          </cell>
          <cell r="V71">
            <v>4688.4022480000003</v>
          </cell>
          <cell r="W71">
            <v>4558.5263999999997</v>
          </cell>
          <cell r="X71">
            <v>18179.676616000001</v>
          </cell>
          <cell r="Y71">
            <v>3448.5749999999998</v>
          </cell>
          <cell r="Z71">
            <v>3603.6</v>
          </cell>
          <cell r="AA71">
            <v>3884.93</v>
          </cell>
          <cell r="AB71">
            <v>4801.3419999999996</v>
          </cell>
          <cell r="AC71">
            <v>15738.447</v>
          </cell>
          <cell r="AD71">
            <v>3342.4650000000001</v>
          </cell>
          <cell r="AE71">
            <v>3331.8285000000001</v>
          </cell>
          <cell r="AF71">
            <v>3294.5430000000001</v>
          </cell>
          <cell r="AG71">
            <v>2818.8523999999998</v>
          </cell>
          <cell r="AH71">
            <v>12787.688899999999</v>
          </cell>
          <cell r="AI71">
            <v>20427.224999999999</v>
          </cell>
          <cell r="AJ71">
            <v>20427.224999999999</v>
          </cell>
          <cell r="AK71">
            <v>22558.41</v>
          </cell>
          <cell r="AL71">
            <v>24221.399999999994</v>
          </cell>
          <cell r="AM71">
            <v>25086.45</v>
          </cell>
          <cell r="AN71">
            <v>25721.55</v>
          </cell>
          <cell r="AO71">
            <v>26011.724999999999</v>
          </cell>
          <cell r="AP71">
            <v>26104.799999999999</v>
          </cell>
          <cell r="AQ71">
            <v>25842.000000000004</v>
          </cell>
          <cell r="AR71">
            <v>25529.925000000003</v>
          </cell>
        </row>
        <row r="72">
          <cell r="H72">
            <v>-716</v>
          </cell>
          <cell r="I72">
            <v>-776</v>
          </cell>
          <cell r="T72">
            <v>-305</v>
          </cell>
          <cell r="U72">
            <v>-118</v>
          </cell>
          <cell r="V72">
            <v>-282</v>
          </cell>
          <cell r="W72">
            <v>-460.76</v>
          </cell>
          <cell r="X72">
            <v>-1165.76</v>
          </cell>
          <cell r="Y72">
            <v>-333.57</v>
          </cell>
          <cell r="Z72">
            <v>-384.9</v>
          </cell>
          <cell r="AA72">
            <v>-487.18</v>
          </cell>
          <cell r="AB72">
            <v>-614.51</v>
          </cell>
          <cell r="AC72">
            <v>-1820.16</v>
          </cell>
          <cell r="AD72">
            <v>-333.57</v>
          </cell>
          <cell r="AE72">
            <v>-384.9</v>
          </cell>
          <cell r="AF72">
            <v>-487.18</v>
          </cell>
          <cell r="AG72">
            <v>-614.51</v>
          </cell>
          <cell r="AH72">
            <v>-1820.16</v>
          </cell>
          <cell r="AI72">
            <v>-2289</v>
          </cell>
          <cell r="AJ72">
            <v>-2289</v>
          </cell>
          <cell r="AK72">
            <v>-2303</v>
          </cell>
          <cell r="AL72">
            <v>-2135</v>
          </cell>
          <cell r="AM72">
            <v>-1903</v>
          </cell>
          <cell r="AN72">
            <v>-1646</v>
          </cell>
          <cell r="AO72">
            <v>-1676</v>
          </cell>
          <cell r="AP72">
            <v>-1574</v>
          </cell>
          <cell r="AQ72">
            <v>-1814</v>
          </cell>
          <cell r="AR72">
            <v>-1815</v>
          </cell>
        </row>
        <row r="73">
          <cell r="I73">
            <v>0</v>
          </cell>
          <cell r="T73">
            <v>-195.1</v>
          </cell>
          <cell r="U73">
            <v>-204</v>
          </cell>
          <cell r="V73">
            <v>-272</v>
          </cell>
          <cell r="W73">
            <v>-409.24</v>
          </cell>
          <cell r="X73">
            <v>-1080.3400000000001</v>
          </cell>
          <cell r="Y73">
            <v>-156.69999999999999</v>
          </cell>
          <cell r="Z73">
            <v>-219.38</v>
          </cell>
          <cell r="AA73">
            <v>-302.95999999999998</v>
          </cell>
          <cell r="AB73">
            <v>-365.64</v>
          </cell>
          <cell r="AC73">
            <v>-1044.68</v>
          </cell>
          <cell r="AD73">
            <v>-156.69999999999999</v>
          </cell>
          <cell r="AE73">
            <v>-219.38</v>
          </cell>
          <cell r="AF73">
            <v>-302.95999999999998</v>
          </cell>
          <cell r="AG73">
            <v>-365.64</v>
          </cell>
          <cell r="AH73">
            <v>-1044.6799999999998</v>
          </cell>
          <cell r="AI73">
            <v>-769</v>
          </cell>
          <cell r="AJ73">
            <v>-769</v>
          </cell>
          <cell r="AK73">
            <v>-663</v>
          </cell>
          <cell r="AL73">
            <v>-488</v>
          </cell>
          <cell r="AM73">
            <v>-372</v>
          </cell>
          <cell r="AN73">
            <v>-250</v>
          </cell>
        </row>
        <row r="74">
          <cell r="H74">
            <v>-428</v>
          </cell>
          <cell r="I74">
            <v>-841</v>
          </cell>
          <cell r="T74">
            <v>-325.82</v>
          </cell>
          <cell r="U74">
            <v>-185.6</v>
          </cell>
          <cell r="V74">
            <v>-254</v>
          </cell>
          <cell r="W74">
            <v>-172.48999999999998</v>
          </cell>
          <cell r="X74">
            <v>-937.90999999999985</v>
          </cell>
          <cell r="Y74">
            <v>-314.16000000000003</v>
          </cell>
          <cell r="Z74">
            <v>-403.91</v>
          </cell>
          <cell r="AA74">
            <v>-530.42999999999995</v>
          </cell>
          <cell r="AB74">
            <v>-669.22</v>
          </cell>
          <cell r="AC74">
            <v>-1917.72</v>
          </cell>
          <cell r="AD74">
            <v>-314.15999999999997</v>
          </cell>
          <cell r="AE74">
            <v>-403.91</v>
          </cell>
          <cell r="AF74">
            <v>-530.43000000000006</v>
          </cell>
          <cell r="AG74">
            <v>-669.21999999999991</v>
          </cell>
          <cell r="AH74">
            <v>-1917.7199999999998</v>
          </cell>
          <cell r="AI74">
            <v>-1651</v>
          </cell>
          <cell r="AJ74">
            <v>-1651</v>
          </cell>
          <cell r="AK74">
            <v>-1806</v>
          </cell>
          <cell r="AL74">
            <v>-2016</v>
          </cell>
          <cell r="AM74">
            <v>-2177</v>
          </cell>
          <cell r="AN74">
            <v>-2300</v>
          </cell>
          <cell r="AO74">
            <v>0</v>
          </cell>
          <cell r="AP74">
            <v>0</v>
          </cell>
          <cell r="AQ74">
            <v>0</v>
          </cell>
          <cell r="AR74">
            <v>0</v>
          </cell>
        </row>
        <row r="75">
          <cell r="H75">
            <v>295</v>
          </cell>
          <cell r="I75">
            <v>303</v>
          </cell>
          <cell r="T75">
            <v>79</v>
          </cell>
          <cell r="U75">
            <v>64</v>
          </cell>
          <cell r="V75">
            <v>54</v>
          </cell>
          <cell r="W75">
            <v>6.27</v>
          </cell>
          <cell r="X75">
            <v>203.27</v>
          </cell>
          <cell r="Y75">
            <v>31.41</v>
          </cell>
          <cell r="Z75">
            <v>30.89</v>
          </cell>
          <cell r="AA75">
            <v>31.92</v>
          </cell>
          <cell r="AB75">
            <v>33.200000000000003</v>
          </cell>
          <cell r="AC75">
            <v>127.42</v>
          </cell>
          <cell r="AD75">
            <v>31.41</v>
          </cell>
          <cell r="AE75">
            <v>30.89</v>
          </cell>
          <cell r="AF75">
            <v>31.92</v>
          </cell>
          <cell r="AG75">
            <v>33.200000000000003</v>
          </cell>
          <cell r="AH75">
            <v>127.42</v>
          </cell>
          <cell r="AI75">
            <v>0</v>
          </cell>
          <cell r="AJ75">
            <v>0</v>
          </cell>
          <cell r="AK75">
            <v>0</v>
          </cell>
          <cell r="AL75">
            <v>0</v>
          </cell>
          <cell r="AM75">
            <v>0</v>
          </cell>
          <cell r="AN75">
            <v>0</v>
          </cell>
        </row>
        <row r="76">
          <cell r="H76">
            <v>465</v>
          </cell>
          <cell r="I76">
            <v>165</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row>
        <row r="77">
          <cell r="H77">
            <v>-723</v>
          </cell>
          <cell r="I77">
            <v>-1309</v>
          </cell>
          <cell r="T77">
            <v>-404.82</v>
          </cell>
          <cell r="U77">
            <v>-249.6</v>
          </cell>
          <cell r="V77">
            <v>-308</v>
          </cell>
          <cell r="W77">
            <v>-178.76</v>
          </cell>
          <cell r="X77">
            <v>-1141.1799999999998</v>
          </cell>
          <cell r="Y77">
            <v>-345.57</v>
          </cell>
          <cell r="Z77">
            <v>-434.8</v>
          </cell>
          <cell r="AA77">
            <v>-562.35</v>
          </cell>
          <cell r="AB77">
            <v>-702.42</v>
          </cell>
          <cell r="AC77">
            <v>-2045.14</v>
          </cell>
          <cell r="AD77">
            <v>-345.57</v>
          </cell>
          <cell r="AE77">
            <v>-434.8</v>
          </cell>
          <cell r="AF77">
            <v>-562.35</v>
          </cell>
          <cell r="AG77">
            <v>-702.42</v>
          </cell>
          <cell r="AH77">
            <v>-2045.1399999999999</v>
          </cell>
          <cell r="AI77">
            <v>-1651</v>
          </cell>
          <cell r="AJ77">
            <v>-1651</v>
          </cell>
          <cell r="AK77">
            <v>-1806</v>
          </cell>
          <cell r="AL77">
            <v>-2016</v>
          </cell>
          <cell r="AM77">
            <v>-2177</v>
          </cell>
          <cell r="AN77">
            <v>-2300</v>
          </cell>
        </row>
        <row r="78">
          <cell r="H78">
            <v>-350</v>
          </cell>
          <cell r="I78">
            <v>-383</v>
          </cell>
          <cell r="T78">
            <v>-97</v>
          </cell>
          <cell r="U78">
            <v>-9</v>
          </cell>
          <cell r="V78">
            <v>-16</v>
          </cell>
          <cell r="W78">
            <v>-41.7</v>
          </cell>
          <cell r="X78">
            <v>-163.69999999999999</v>
          </cell>
          <cell r="Y78">
            <v>-14.74</v>
          </cell>
          <cell r="Z78">
            <v>-14.74</v>
          </cell>
          <cell r="AA78">
            <v>-14.74</v>
          </cell>
          <cell r="AB78">
            <v>-14.74</v>
          </cell>
          <cell r="AC78">
            <v>-58.96</v>
          </cell>
          <cell r="AD78">
            <v>-14.739999999999998</v>
          </cell>
          <cell r="AE78">
            <v>-14.739999999999998</v>
          </cell>
          <cell r="AF78">
            <v>-14.739999999999998</v>
          </cell>
          <cell r="AG78">
            <v>-14.739999999999998</v>
          </cell>
          <cell r="AH78">
            <v>-58.959999999999994</v>
          </cell>
          <cell r="AI78">
            <v>-169</v>
          </cell>
          <cell r="AJ78">
            <v>-169</v>
          </cell>
          <cell r="AK78">
            <v>-142</v>
          </cell>
          <cell r="AL78">
            <v>-102</v>
          </cell>
          <cell r="AM78">
            <v>-86</v>
          </cell>
          <cell r="AN78">
            <v>-70</v>
          </cell>
          <cell r="AO78">
            <v>0</v>
          </cell>
          <cell r="AP78">
            <v>0</v>
          </cell>
          <cell r="AQ78">
            <v>0</v>
          </cell>
          <cell r="AR78">
            <v>0</v>
          </cell>
        </row>
        <row r="79">
          <cell r="H79">
            <v>8</v>
          </cell>
          <cell r="I79">
            <v>15</v>
          </cell>
          <cell r="T79">
            <v>15</v>
          </cell>
          <cell r="U79">
            <v>10</v>
          </cell>
          <cell r="V79">
            <v>10</v>
          </cell>
          <cell r="W79">
            <v>5.89</v>
          </cell>
          <cell r="X79">
            <v>40.89</v>
          </cell>
          <cell r="Y79">
            <v>13.25</v>
          </cell>
          <cell r="Z79">
            <v>13.25</v>
          </cell>
          <cell r="AA79">
            <v>13.25</v>
          </cell>
          <cell r="AB79">
            <v>13.25</v>
          </cell>
          <cell r="AC79">
            <v>53</v>
          </cell>
          <cell r="AD79">
            <v>13.25</v>
          </cell>
          <cell r="AE79">
            <v>13.25</v>
          </cell>
          <cell r="AF79">
            <v>13.25</v>
          </cell>
          <cell r="AG79">
            <v>13.25</v>
          </cell>
          <cell r="AH79">
            <v>53</v>
          </cell>
          <cell r="AI79">
            <v>0</v>
          </cell>
          <cell r="AJ79">
            <v>0</v>
          </cell>
          <cell r="AK79">
            <v>0</v>
          </cell>
          <cell r="AL79">
            <v>0</v>
          </cell>
          <cell r="AM79">
            <v>0</v>
          </cell>
          <cell r="AN79">
            <v>0</v>
          </cell>
        </row>
        <row r="80">
          <cell r="H80">
            <v>-358</v>
          </cell>
          <cell r="I80">
            <v>-398</v>
          </cell>
          <cell r="T80">
            <v>-112</v>
          </cell>
          <cell r="U80">
            <v>-19</v>
          </cell>
          <cell r="V80">
            <v>-26</v>
          </cell>
          <cell r="W80">
            <v>-47.59</v>
          </cell>
          <cell r="X80">
            <v>-204.59</v>
          </cell>
          <cell r="Y80">
            <v>-27.99</v>
          </cell>
          <cell r="Z80">
            <v>-27.99</v>
          </cell>
          <cell r="AA80">
            <v>-27.99</v>
          </cell>
          <cell r="AB80">
            <v>-27.99</v>
          </cell>
          <cell r="AC80">
            <v>-111.96</v>
          </cell>
          <cell r="AD80">
            <v>-27.99</v>
          </cell>
          <cell r="AE80">
            <v>-27.99</v>
          </cell>
          <cell r="AF80">
            <v>-27.99</v>
          </cell>
          <cell r="AG80">
            <v>-27.99</v>
          </cell>
          <cell r="AH80">
            <v>-111.96</v>
          </cell>
          <cell r="AI80">
            <v>-169</v>
          </cell>
          <cell r="AJ80">
            <v>-169</v>
          </cell>
          <cell r="AK80">
            <v>-142</v>
          </cell>
          <cell r="AL80">
            <v>-102</v>
          </cell>
          <cell r="AM80">
            <v>-86</v>
          </cell>
          <cell r="AN80">
            <v>-70</v>
          </cell>
        </row>
        <row r="81">
          <cell r="H81">
            <v>262</v>
          </cell>
          <cell r="I81">
            <v>252</v>
          </cell>
          <cell r="T81">
            <v>10</v>
          </cell>
          <cell r="U81">
            <v>71</v>
          </cell>
          <cell r="V81">
            <v>136</v>
          </cell>
          <cell r="W81">
            <v>19</v>
          </cell>
          <cell r="X81">
            <v>236</v>
          </cell>
          <cell r="Y81">
            <v>14.5</v>
          </cell>
          <cell r="Z81">
            <v>14.5</v>
          </cell>
          <cell r="AA81">
            <v>14.5</v>
          </cell>
          <cell r="AB81">
            <v>14.5</v>
          </cell>
          <cell r="AC81">
            <v>58</v>
          </cell>
          <cell r="AD81">
            <v>14.5</v>
          </cell>
          <cell r="AE81">
            <v>14.5</v>
          </cell>
          <cell r="AF81">
            <v>14.5</v>
          </cell>
          <cell r="AG81">
            <v>14.5</v>
          </cell>
          <cell r="AH81">
            <v>58</v>
          </cell>
          <cell r="AI81">
            <v>59</v>
          </cell>
          <cell r="AJ81">
            <v>59</v>
          </cell>
          <cell r="AK81">
            <v>61</v>
          </cell>
          <cell r="AL81">
            <v>62</v>
          </cell>
          <cell r="AM81">
            <v>64</v>
          </cell>
          <cell r="AN81">
            <v>65</v>
          </cell>
          <cell r="AO81">
            <v>0</v>
          </cell>
          <cell r="AP81">
            <v>0</v>
          </cell>
          <cell r="AQ81">
            <v>0</v>
          </cell>
          <cell r="AR81">
            <v>0</v>
          </cell>
        </row>
        <row r="82">
          <cell r="H82">
            <v>262</v>
          </cell>
          <cell r="I82">
            <v>252</v>
          </cell>
          <cell r="T82">
            <v>10</v>
          </cell>
          <cell r="U82">
            <v>71</v>
          </cell>
          <cell r="V82">
            <v>136</v>
          </cell>
          <cell r="W82">
            <v>19</v>
          </cell>
          <cell r="X82">
            <v>236</v>
          </cell>
          <cell r="Y82">
            <v>14.5</v>
          </cell>
          <cell r="Z82">
            <v>14.5</v>
          </cell>
          <cell r="AA82">
            <v>14.5</v>
          </cell>
          <cell r="AB82">
            <v>14.5</v>
          </cell>
          <cell r="AC82">
            <v>58</v>
          </cell>
          <cell r="AD82">
            <v>14.5</v>
          </cell>
          <cell r="AE82">
            <v>14.5</v>
          </cell>
          <cell r="AF82">
            <v>14.5</v>
          </cell>
          <cell r="AG82">
            <v>14.5</v>
          </cell>
          <cell r="AH82">
            <v>58</v>
          </cell>
          <cell r="AI82">
            <v>59</v>
          </cell>
          <cell r="AJ82">
            <v>59</v>
          </cell>
          <cell r="AK82">
            <v>61</v>
          </cell>
          <cell r="AL82">
            <v>62</v>
          </cell>
          <cell r="AM82">
            <v>64</v>
          </cell>
          <cell r="AN82">
            <v>65</v>
          </cell>
        </row>
        <row r="83">
          <cell r="H83">
            <v>0</v>
          </cell>
          <cell r="I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5">
          <cell r="H85">
            <v>-5.9000000000000909</v>
          </cell>
          <cell r="I85">
            <v>-892.8</v>
          </cell>
          <cell r="T85">
            <v>42</v>
          </cell>
          <cell r="U85">
            <v>107.30000000000001</v>
          </cell>
          <cell r="V85">
            <v>1701</v>
          </cell>
          <cell r="W85">
            <v>1157.3699999999999</v>
          </cell>
          <cell r="X85">
            <v>3007.67</v>
          </cell>
          <cell r="Y85">
            <v>-256.75</v>
          </cell>
          <cell r="Z85">
            <v>34.97</v>
          </cell>
          <cell r="AA85">
            <v>613.69000000000005</v>
          </cell>
          <cell r="AB85">
            <v>1264.48</v>
          </cell>
          <cell r="AC85">
            <v>1726.39</v>
          </cell>
          <cell r="AD85">
            <v>-256.74999999999994</v>
          </cell>
          <cell r="AE85">
            <v>34.97000000000002</v>
          </cell>
          <cell r="AF85">
            <v>613.69000000000005</v>
          </cell>
          <cell r="AG85">
            <v>1264.48</v>
          </cell>
          <cell r="AH85">
            <v>1726.39</v>
          </cell>
          <cell r="AI85">
            <v>-286</v>
          </cell>
          <cell r="AJ85">
            <v>-286</v>
          </cell>
          <cell r="AK85">
            <v>-743</v>
          </cell>
          <cell r="AL85">
            <v>-501</v>
          </cell>
          <cell r="AM85">
            <v>-766</v>
          </cell>
          <cell r="AN85">
            <v>-1011</v>
          </cell>
          <cell r="AO85">
            <v>0</v>
          </cell>
          <cell r="AP85">
            <v>0</v>
          </cell>
          <cell r="AQ85">
            <v>0</v>
          </cell>
          <cell r="AR85">
            <v>0</v>
          </cell>
        </row>
        <row r="87">
          <cell r="H87">
            <v>-727</v>
          </cell>
          <cell r="I87">
            <v>-414.8</v>
          </cell>
          <cell r="T87">
            <v>-260</v>
          </cell>
          <cell r="U87">
            <v>-71</v>
          </cell>
          <cell r="V87">
            <v>2056</v>
          </cell>
          <cell r="W87">
            <v>-19</v>
          </cell>
          <cell r="X87">
            <v>1706</v>
          </cell>
          <cell r="Y87">
            <v>-14.5</v>
          </cell>
          <cell r="Z87">
            <v>-14.5</v>
          </cell>
          <cell r="AA87">
            <v>-14.5</v>
          </cell>
          <cell r="AB87">
            <v>-214.5</v>
          </cell>
          <cell r="AC87">
            <v>-258</v>
          </cell>
          <cell r="AD87">
            <v>-14.5</v>
          </cell>
          <cell r="AE87">
            <v>-14.5</v>
          </cell>
          <cell r="AF87">
            <v>-14.5</v>
          </cell>
          <cell r="AG87">
            <v>-214.5</v>
          </cell>
          <cell r="AH87">
            <v>-258</v>
          </cell>
          <cell r="AI87">
            <v>-59</v>
          </cell>
          <cell r="AJ87">
            <v>-59</v>
          </cell>
          <cell r="AK87">
            <v>-61</v>
          </cell>
          <cell r="AL87">
            <v>-62</v>
          </cell>
          <cell r="AM87">
            <v>-64</v>
          </cell>
          <cell r="AN87">
            <v>-67</v>
          </cell>
          <cell r="AO87">
            <v>0</v>
          </cell>
          <cell r="AP87">
            <v>0</v>
          </cell>
          <cell r="AQ87">
            <v>0</v>
          </cell>
          <cell r="AR87">
            <v>0</v>
          </cell>
        </row>
        <row r="88">
          <cell r="H88">
            <v>-262</v>
          </cell>
          <cell r="I88">
            <v>-252</v>
          </cell>
          <cell r="T88">
            <v>-10</v>
          </cell>
          <cell r="U88">
            <v>-71</v>
          </cell>
          <cell r="V88">
            <v>-136</v>
          </cell>
          <cell r="W88">
            <v>-19</v>
          </cell>
          <cell r="X88">
            <v>-236</v>
          </cell>
          <cell r="Y88">
            <v>-14.5</v>
          </cell>
          <cell r="Z88">
            <v>-14.5</v>
          </cell>
          <cell r="AA88">
            <v>-14.5</v>
          </cell>
          <cell r="AB88">
            <v>-14.5</v>
          </cell>
          <cell r="AC88">
            <v>-58</v>
          </cell>
          <cell r="AD88">
            <v>-14.5</v>
          </cell>
          <cell r="AE88">
            <v>-14.5</v>
          </cell>
          <cell r="AF88">
            <v>-14.5</v>
          </cell>
          <cell r="AG88">
            <v>-14.5</v>
          </cell>
          <cell r="AH88">
            <v>-58</v>
          </cell>
          <cell r="AI88">
            <v>-59</v>
          </cell>
          <cell r="AJ88">
            <v>-59</v>
          </cell>
          <cell r="AK88">
            <v>-61</v>
          </cell>
          <cell r="AL88">
            <v>-62</v>
          </cell>
          <cell r="AM88">
            <v>-64</v>
          </cell>
          <cell r="AN88">
            <v>-67</v>
          </cell>
        </row>
        <row r="89">
          <cell r="H89">
            <v>-465</v>
          </cell>
          <cell r="I89">
            <v>-162.80000000000001</v>
          </cell>
          <cell r="T89">
            <v>-250</v>
          </cell>
          <cell r="U89">
            <v>0</v>
          </cell>
          <cell r="V89">
            <v>2192</v>
          </cell>
          <cell r="W89">
            <v>0</v>
          </cell>
          <cell r="X89">
            <v>1942</v>
          </cell>
          <cell r="Y89">
            <v>0</v>
          </cell>
          <cell r="Z89">
            <v>0</v>
          </cell>
          <cell r="AA89">
            <v>0</v>
          </cell>
          <cell r="AB89">
            <v>-200</v>
          </cell>
          <cell r="AC89">
            <v>-200</v>
          </cell>
          <cell r="AD89">
            <v>0</v>
          </cell>
          <cell r="AE89">
            <v>0</v>
          </cell>
          <cell r="AF89">
            <v>0</v>
          </cell>
          <cell r="AG89">
            <v>-200</v>
          </cell>
          <cell r="AH89">
            <v>-200</v>
          </cell>
          <cell r="AI89">
            <v>0</v>
          </cell>
          <cell r="AJ89">
            <v>0</v>
          </cell>
          <cell r="AK89">
            <v>0</v>
          </cell>
          <cell r="AL89">
            <v>0</v>
          </cell>
          <cell r="AM89">
            <v>0</v>
          </cell>
          <cell r="AN89">
            <v>0</v>
          </cell>
        </row>
        <row r="90">
          <cell r="H90">
            <v>1612</v>
          </cell>
          <cell r="I90">
            <v>-128</v>
          </cell>
          <cell r="T90">
            <v>-595</v>
          </cell>
          <cell r="U90">
            <v>67</v>
          </cell>
          <cell r="V90">
            <v>-66</v>
          </cell>
          <cell r="W90">
            <v>-59</v>
          </cell>
          <cell r="X90">
            <v>-653</v>
          </cell>
          <cell r="Y90">
            <v>-55</v>
          </cell>
          <cell r="Z90">
            <v>-250</v>
          </cell>
          <cell r="AA90">
            <v>473.2</v>
          </cell>
          <cell r="AB90">
            <v>989.21</v>
          </cell>
          <cell r="AC90">
            <v>1157.4100000000001</v>
          </cell>
          <cell r="AD90">
            <v>-55</v>
          </cell>
          <cell r="AE90">
            <v>-250</v>
          </cell>
          <cell r="AF90">
            <v>473.20000000000005</v>
          </cell>
          <cell r="AG90">
            <v>989.21</v>
          </cell>
          <cell r="AH90">
            <v>1157.4100000000001</v>
          </cell>
          <cell r="AI90">
            <v>-343</v>
          </cell>
          <cell r="AJ90">
            <v>-343</v>
          </cell>
          <cell r="AK90">
            <v>-492</v>
          </cell>
          <cell r="AL90">
            <v>-195</v>
          </cell>
          <cell r="AM90">
            <v>-351</v>
          </cell>
          <cell r="AN90">
            <v>-444</v>
          </cell>
          <cell r="AO90">
            <v>0</v>
          </cell>
          <cell r="AP90">
            <v>0</v>
          </cell>
          <cell r="AQ90">
            <v>0</v>
          </cell>
          <cell r="AR90">
            <v>0</v>
          </cell>
        </row>
        <row r="91">
          <cell r="H91">
            <v>2825</v>
          </cell>
          <cell r="I91">
            <v>585</v>
          </cell>
          <cell r="T91">
            <v>48</v>
          </cell>
          <cell r="U91">
            <v>87</v>
          </cell>
          <cell r="V91">
            <v>84</v>
          </cell>
          <cell r="W91">
            <v>0</v>
          </cell>
          <cell r="X91">
            <v>219</v>
          </cell>
          <cell r="Y91">
            <v>0</v>
          </cell>
          <cell r="Z91">
            <v>0</v>
          </cell>
          <cell r="AA91">
            <v>812.2</v>
          </cell>
          <cell r="AB91">
            <v>1045.21</v>
          </cell>
          <cell r="AC91">
            <v>1857.41</v>
          </cell>
          <cell r="AD91">
            <v>0</v>
          </cell>
          <cell r="AE91">
            <v>0</v>
          </cell>
          <cell r="AF91">
            <v>812.2</v>
          </cell>
          <cell r="AG91">
            <v>1045.21</v>
          </cell>
          <cell r="AH91">
            <v>1857.41</v>
          </cell>
          <cell r="AI91">
            <v>6</v>
          </cell>
          <cell r="AJ91">
            <v>6</v>
          </cell>
          <cell r="AK91">
            <v>6</v>
          </cell>
          <cell r="AL91">
            <v>6</v>
          </cell>
          <cell r="AM91">
            <v>6</v>
          </cell>
          <cell r="AN91">
            <v>6</v>
          </cell>
        </row>
        <row r="92">
          <cell r="H92">
            <v>-1213</v>
          </cell>
          <cell r="I92">
            <v>-713</v>
          </cell>
          <cell r="T92">
            <v>-643</v>
          </cell>
          <cell r="U92">
            <v>-20</v>
          </cell>
          <cell r="V92">
            <v>-150</v>
          </cell>
          <cell r="W92">
            <v>-59</v>
          </cell>
          <cell r="X92">
            <v>-872</v>
          </cell>
          <cell r="Y92">
            <v>-55</v>
          </cell>
          <cell r="Z92">
            <v>-250</v>
          </cell>
          <cell r="AA92">
            <v>-339</v>
          </cell>
          <cell r="AB92">
            <v>-56</v>
          </cell>
          <cell r="AC92">
            <v>-700</v>
          </cell>
          <cell r="AD92">
            <v>-55</v>
          </cell>
          <cell r="AE92">
            <v>-250</v>
          </cell>
          <cell r="AF92">
            <v>-339</v>
          </cell>
          <cell r="AG92">
            <v>-56</v>
          </cell>
          <cell r="AH92">
            <v>-700</v>
          </cell>
          <cell r="AI92">
            <v>-349</v>
          </cell>
          <cell r="AJ92">
            <v>-349</v>
          </cell>
          <cell r="AK92">
            <v>-498</v>
          </cell>
          <cell r="AL92">
            <v>-201</v>
          </cell>
          <cell r="AM92">
            <v>-357</v>
          </cell>
          <cell r="AN92">
            <v>-450</v>
          </cell>
        </row>
        <row r="93">
          <cell r="T93">
            <v>142</v>
          </cell>
          <cell r="U93">
            <v>182</v>
          </cell>
          <cell r="V93">
            <v>250</v>
          </cell>
          <cell r="W93">
            <v>390</v>
          </cell>
          <cell r="X93">
            <v>964</v>
          </cell>
          <cell r="Y93">
            <v>121.95</v>
          </cell>
          <cell r="Z93">
            <v>146.72999999999999</v>
          </cell>
          <cell r="AA93">
            <v>205.04</v>
          </cell>
          <cell r="AB93">
            <v>254.98</v>
          </cell>
          <cell r="AC93">
            <v>728.7</v>
          </cell>
          <cell r="AD93">
            <v>121.94999999999999</v>
          </cell>
          <cell r="AE93">
            <v>146.72999999999999</v>
          </cell>
          <cell r="AF93">
            <v>205.03999999999996</v>
          </cell>
          <cell r="AG93">
            <v>254.98</v>
          </cell>
          <cell r="AH93">
            <v>728.69999999999993</v>
          </cell>
          <cell r="AI93">
            <v>324</v>
          </cell>
          <cell r="AJ93">
            <v>324</v>
          </cell>
          <cell r="AK93">
            <v>31</v>
          </cell>
          <cell r="AL93">
            <v>14</v>
          </cell>
          <cell r="AM93">
            <v>-208</v>
          </cell>
          <cell r="AN93">
            <v>-400</v>
          </cell>
        </row>
        <row r="94">
          <cell r="T94">
            <v>-7</v>
          </cell>
          <cell r="U94">
            <v>-25</v>
          </cell>
          <cell r="V94">
            <v>-8</v>
          </cell>
          <cell r="W94">
            <v>-28</v>
          </cell>
          <cell r="X94">
            <v>-68</v>
          </cell>
          <cell r="Y94">
            <v>-7.4</v>
          </cell>
          <cell r="Z94">
            <v>-27.6</v>
          </cell>
          <cell r="AA94">
            <v>-7.4</v>
          </cell>
          <cell r="AB94">
            <v>-27.6</v>
          </cell>
          <cell r="AC94">
            <v>-70</v>
          </cell>
          <cell r="AD94">
            <v>-7.4</v>
          </cell>
          <cell r="AE94">
            <v>-27.6</v>
          </cell>
          <cell r="AF94">
            <v>-7.4</v>
          </cell>
          <cell r="AG94">
            <v>-27.6</v>
          </cell>
          <cell r="AH94">
            <v>-70</v>
          </cell>
          <cell r="AI94">
            <v>0</v>
          </cell>
          <cell r="AJ94">
            <v>0</v>
          </cell>
          <cell r="AK94">
            <v>0</v>
          </cell>
          <cell r="AL94">
            <v>0</v>
          </cell>
          <cell r="AM94">
            <v>0</v>
          </cell>
          <cell r="AN94">
            <v>0</v>
          </cell>
        </row>
        <row r="95">
          <cell r="H95">
            <v>-890.90000000000009</v>
          </cell>
          <cell r="I95">
            <v>-350</v>
          </cell>
          <cell r="T95">
            <v>762</v>
          </cell>
          <cell r="U95">
            <v>-45.699999999999996</v>
          </cell>
          <cell r="V95">
            <v>-531</v>
          </cell>
          <cell r="W95">
            <v>873.36999999999989</v>
          </cell>
          <cell r="X95">
            <v>1058.67</v>
          </cell>
          <cell r="Y95">
            <v>-301.8</v>
          </cell>
          <cell r="Z95">
            <v>180.34</v>
          </cell>
          <cell r="AA95">
            <v>-42.65</v>
          </cell>
          <cell r="AB95">
            <v>262.39</v>
          </cell>
          <cell r="AC95">
            <v>98.280000000000058</v>
          </cell>
          <cell r="AD95">
            <v>-301.79999999999995</v>
          </cell>
          <cell r="AE95">
            <v>180.34000000000003</v>
          </cell>
          <cell r="AF95">
            <v>-42.650000000000006</v>
          </cell>
          <cell r="AG95">
            <v>262.39</v>
          </cell>
          <cell r="AH95">
            <v>98.280000000000058</v>
          </cell>
          <cell r="AI95">
            <v>-208</v>
          </cell>
          <cell r="AJ95">
            <v>-208</v>
          </cell>
          <cell r="AK95">
            <v>-221</v>
          </cell>
          <cell r="AL95">
            <v>-258</v>
          </cell>
          <cell r="AM95">
            <v>-143</v>
          </cell>
          <cell r="AN95">
            <v>-100</v>
          </cell>
          <cell r="AO95">
            <v>0</v>
          </cell>
          <cell r="AP95">
            <v>0</v>
          </cell>
          <cell r="AQ95">
            <v>0</v>
          </cell>
          <cell r="AR95">
            <v>0</v>
          </cell>
        </row>
        <row r="96">
          <cell r="H96">
            <v>300.5</v>
          </cell>
          <cell r="I96">
            <v>-371</v>
          </cell>
          <cell r="T96">
            <v>391</v>
          </cell>
          <cell r="U96">
            <v>93.2</v>
          </cell>
          <cell r="V96">
            <v>-182</v>
          </cell>
          <cell r="W96">
            <v>188.07</v>
          </cell>
          <cell r="X96">
            <v>490.27</v>
          </cell>
          <cell r="Y96">
            <v>-11.01</v>
          </cell>
          <cell r="Z96">
            <v>-12.97</v>
          </cell>
          <cell r="AA96">
            <v>-15.96</v>
          </cell>
          <cell r="AB96">
            <v>-21.22</v>
          </cell>
          <cell r="AC96">
            <v>-61.16</v>
          </cell>
          <cell r="AD96">
            <v>-11.01</v>
          </cell>
          <cell r="AE96">
            <v>-12.97</v>
          </cell>
          <cell r="AF96">
            <v>-15.96</v>
          </cell>
          <cell r="AG96">
            <v>-21.22</v>
          </cell>
          <cell r="AH96">
            <v>-61.16</v>
          </cell>
          <cell r="AI96">
            <v>-254</v>
          </cell>
          <cell r="AJ96">
            <v>-254</v>
          </cell>
          <cell r="AK96">
            <v>-199</v>
          </cell>
          <cell r="AL96">
            <v>-183</v>
          </cell>
          <cell r="AM96">
            <v>-157</v>
          </cell>
        </row>
        <row r="97">
          <cell r="H97">
            <v>-195.10000000000002</v>
          </cell>
          <cell r="I97">
            <v>21</v>
          </cell>
          <cell r="T97">
            <v>390</v>
          </cell>
          <cell r="U97">
            <v>-57</v>
          </cell>
          <cell r="V97">
            <v>-334</v>
          </cell>
          <cell r="W97">
            <v>634</v>
          </cell>
          <cell r="X97">
            <v>633</v>
          </cell>
          <cell r="Y97">
            <v>-333.15</v>
          </cell>
          <cell r="Z97">
            <v>144.55000000000001</v>
          </cell>
          <cell r="AA97">
            <v>-85.25</v>
          </cell>
          <cell r="AB97">
            <v>207.85</v>
          </cell>
          <cell r="AC97">
            <v>-66</v>
          </cell>
          <cell r="AD97">
            <v>-333.15</v>
          </cell>
          <cell r="AE97">
            <v>144.55000000000001</v>
          </cell>
          <cell r="AF97">
            <v>-85.25</v>
          </cell>
          <cell r="AG97">
            <v>207.85</v>
          </cell>
          <cell r="AH97">
            <v>-65.999999999999972</v>
          </cell>
          <cell r="AI97">
            <v>0</v>
          </cell>
          <cell r="AJ97">
            <v>0</v>
          </cell>
          <cell r="AK97">
            <v>0</v>
          </cell>
          <cell r="AL97">
            <v>0</v>
          </cell>
          <cell r="AM97">
            <v>0</v>
          </cell>
        </row>
        <row r="98">
          <cell r="T98">
            <v>-118</v>
          </cell>
          <cell r="U98">
            <v>-17</v>
          </cell>
          <cell r="V98">
            <v>-162</v>
          </cell>
          <cell r="W98">
            <v>495</v>
          </cell>
          <cell r="X98">
            <v>198</v>
          </cell>
          <cell r="Y98">
            <v>-258.14999999999998</v>
          </cell>
          <cell r="Z98">
            <v>144.55000000000001</v>
          </cell>
          <cell r="AA98">
            <v>-85.25</v>
          </cell>
          <cell r="AB98">
            <v>169.85</v>
          </cell>
          <cell r="AC98">
            <v>-29</v>
          </cell>
          <cell r="AD98">
            <v>-258.14999999999998</v>
          </cell>
          <cell r="AE98">
            <v>144.55000000000001</v>
          </cell>
          <cell r="AF98">
            <v>-85.25</v>
          </cell>
          <cell r="AG98">
            <v>169.85</v>
          </cell>
          <cell r="AH98">
            <v>-28.999999999999972</v>
          </cell>
          <cell r="AI98">
            <v>0</v>
          </cell>
          <cell r="AJ98">
            <v>0</v>
          </cell>
          <cell r="AK98">
            <v>0</v>
          </cell>
          <cell r="AL98">
            <v>0</v>
          </cell>
          <cell r="AM98">
            <v>0</v>
          </cell>
        </row>
        <row r="99">
          <cell r="H99">
            <v>-59.5</v>
          </cell>
          <cell r="I99">
            <v>-69</v>
          </cell>
          <cell r="T99">
            <v>62</v>
          </cell>
          <cell r="U99">
            <v>-87</v>
          </cell>
          <cell r="V99">
            <v>-16</v>
          </cell>
          <cell r="W99">
            <v>50</v>
          </cell>
          <cell r="X99">
            <v>9</v>
          </cell>
          <cell r="Y99">
            <v>36</v>
          </cell>
          <cell r="Z99">
            <v>42.4</v>
          </cell>
          <cell r="AA99">
            <v>52.2</v>
          </cell>
          <cell r="AB99">
            <v>69.400000000000006</v>
          </cell>
          <cell r="AC99">
            <v>200</v>
          </cell>
          <cell r="AD99">
            <v>36</v>
          </cell>
          <cell r="AE99">
            <v>42.4</v>
          </cell>
          <cell r="AF99">
            <v>52.2</v>
          </cell>
          <cell r="AG99">
            <v>69.400000000000006</v>
          </cell>
          <cell r="AH99">
            <v>200.00000000000003</v>
          </cell>
          <cell r="AI99">
            <v>-18</v>
          </cell>
          <cell r="AJ99">
            <v>-18</v>
          </cell>
          <cell r="AK99">
            <v>-28</v>
          </cell>
          <cell r="AL99">
            <v>-71</v>
          </cell>
          <cell r="AM99">
            <v>28</v>
          </cell>
        </row>
        <row r="100">
          <cell r="H100">
            <v>113.2</v>
          </cell>
          <cell r="I100">
            <v>69</v>
          </cell>
          <cell r="T100">
            <v>-81</v>
          </cell>
          <cell r="U100">
            <v>5.0999999999999996</v>
          </cell>
          <cell r="V100">
            <v>1</v>
          </cell>
          <cell r="W100">
            <v>1.3</v>
          </cell>
          <cell r="X100">
            <v>-73.600000000000009</v>
          </cell>
          <cell r="Y100">
            <v>6.36</v>
          </cell>
          <cell r="Z100">
            <v>6.36</v>
          </cell>
          <cell r="AA100">
            <v>6.36</v>
          </cell>
          <cell r="AB100">
            <v>6.36</v>
          </cell>
          <cell r="AC100">
            <v>25.44</v>
          </cell>
          <cell r="AD100">
            <v>6.36</v>
          </cell>
          <cell r="AE100">
            <v>6.36</v>
          </cell>
          <cell r="AF100">
            <v>6.36</v>
          </cell>
          <cell r="AG100">
            <v>6.36</v>
          </cell>
          <cell r="AH100">
            <v>25.44</v>
          </cell>
          <cell r="AI100">
            <v>64</v>
          </cell>
          <cell r="AJ100">
            <v>64</v>
          </cell>
          <cell r="AK100">
            <v>6</v>
          </cell>
          <cell r="AL100">
            <v>-4</v>
          </cell>
          <cell r="AM100">
            <v>-14</v>
          </cell>
        </row>
        <row r="101">
          <cell r="H101">
            <v>-1050</v>
          </cell>
          <cell r="I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3">
          <cell r="H103">
            <v>9323.1779000000006</v>
          </cell>
          <cell r="I103">
            <v>8676.0249999999996</v>
          </cell>
          <cell r="T103">
            <v>3643.0019199999997</v>
          </cell>
          <cell r="U103">
            <v>4080.5260479999997</v>
          </cell>
          <cell r="V103">
            <v>5701.4022480000003</v>
          </cell>
          <cell r="W103">
            <v>4650.7064</v>
          </cell>
          <cell r="X103">
            <v>18075.636616000003</v>
          </cell>
          <cell r="Y103">
            <v>2387.1550000000002</v>
          </cell>
          <cell r="Z103">
            <v>2630.14</v>
          </cell>
          <cell r="AA103">
            <v>3177.81</v>
          </cell>
          <cell r="AB103">
            <v>4416.2119999999995</v>
          </cell>
          <cell r="AC103">
            <v>12681.317000000001</v>
          </cell>
          <cell r="AD103">
            <v>2281.0450000000005</v>
          </cell>
          <cell r="AE103">
            <v>2358.3685</v>
          </cell>
          <cell r="AF103">
            <v>2587.4230000000002</v>
          </cell>
          <cell r="AG103">
            <v>2433.7223999999997</v>
          </cell>
          <cell r="AH103">
            <v>9730.5589</v>
          </cell>
          <cell r="AI103">
            <v>15322.224999999999</v>
          </cell>
          <cell r="AJ103">
            <v>15322.224999999999</v>
          </cell>
          <cell r="AK103">
            <v>16962.41</v>
          </cell>
          <cell r="AL103">
            <v>19041.399999999994</v>
          </cell>
          <cell r="AM103">
            <v>19846.45</v>
          </cell>
          <cell r="AN103">
            <v>20509.55</v>
          </cell>
          <cell r="AO103">
            <v>24335.724999999999</v>
          </cell>
          <cell r="AP103">
            <v>24530.799999999999</v>
          </cell>
          <cell r="AQ103">
            <v>24028.000000000004</v>
          </cell>
          <cell r="AR103">
            <v>23714.925000000003</v>
          </cell>
        </row>
        <row r="106">
          <cell r="H106">
            <v>2.169</v>
          </cell>
          <cell r="I106">
            <v>2.34</v>
          </cell>
          <cell r="T106">
            <v>2.8304</v>
          </cell>
          <cell r="U106">
            <v>3.1008</v>
          </cell>
          <cell r="V106">
            <v>3.1322000000000001</v>
          </cell>
          <cell r="W106">
            <v>3.14</v>
          </cell>
          <cell r="X106">
            <v>3.0508500000000005</v>
          </cell>
          <cell r="Y106">
            <v>3.04</v>
          </cell>
          <cell r="Z106">
            <v>3.1070000000000002</v>
          </cell>
          <cell r="AA106">
            <v>3.1070000000000002</v>
          </cell>
          <cell r="AB106">
            <v>3.1120000000000001</v>
          </cell>
          <cell r="AC106">
            <v>3.0915000000000004</v>
          </cell>
          <cell r="AD106">
            <v>3.1448</v>
          </cell>
          <cell r="AE106">
            <v>3.0386000000000002</v>
          </cell>
          <cell r="AF106">
            <v>3.0350000000000001</v>
          </cell>
          <cell r="AG106">
            <v>3.2690000000000001</v>
          </cell>
          <cell r="AH106">
            <v>3.1218500000000002</v>
          </cell>
          <cell r="AI106">
            <v>2.9969999999999999</v>
          </cell>
          <cell r="AJ106">
            <v>2.9969999999999999</v>
          </cell>
          <cell r="AK106">
            <v>3.0825223325062039</v>
          </cell>
          <cell r="AL106">
            <v>3.2888914392059556</v>
          </cell>
          <cell r="AM106">
            <v>3.4413442928039699</v>
          </cell>
          <cell r="AN106">
            <v>3.5993746898263024</v>
          </cell>
          <cell r="AO106">
            <v>3.7648418114143918</v>
          </cell>
          <cell r="AP106">
            <v>0</v>
          </cell>
          <cell r="AQ106">
            <v>0</v>
          </cell>
          <cell r="AR106">
            <v>0</v>
          </cell>
        </row>
        <row r="107">
          <cell r="H107">
            <v>2.169</v>
          </cell>
          <cell r="I107">
            <v>2.34</v>
          </cell>
          <cell r="T107">
            <v>2.8304</v>
          </cell>
          <cell r="U107">
            <v>3.1008</v>
          </cell>
          <cell r="V107">
            <v>3.1322000000000001</v>
          </cell>
          <cell r="W107">
            <v>3.14</v>
          </cell>
          <cell r="X107">
            <v>3.0508500000000005</v>
          </cell>
          <cell r="Y107">
            <v>3.2749999999999999</v>
          </cell>
          <cell r="Z107">
            <v>3.3</v>
          </cell>
          <cell r="AA107">
            <v>3.3250000000000002</v>
          </cell>
          <cell r="AB107">
            <v>3.367</v>
          </cell>
          <cell r="AC107">
            <v>3.0915000000000004</v>
          </cell>
          <cell r="AD107">
            <v>3.2749999999999999</v>
          </cell>
          <cell r="AE107">
            <v>3.3</v>
          </cell>
          <cell r="AF107">
            <v>3.3250000000000002</v>
          </cell>
          <cell r="AG107">
            <v>3.367</v>
          </cell>
          <cell r="AH107">
            <v>3.1218500000000002</v>
          </cell>
          <cell r="AI107">
            <v>3.7309999999999999</v>
          </cell>
          <cell r="AJ107">
            <v>3.7309999999999999</v>
          </cell>
          <cell r="AK107">
            <v>4.109</v>
          </cell>
          <cell r="AL107">
            <v>4.4239999999999995</v>
          </cell>
          <cell r="AM107">
            <v>4.5819999999999999</v>
          </cell>
          <cell r="AN107">
            <v>4.6980000000000004</v>
          </cell>
          <cell r="AO107">
            <v>4.7510000000000003</v>
          </cell>
          <cell r="AP107">
            <v>4.7679999999999998</v>
          </cell>
          <cell r="AQ107">
            <v>4.7200000000000006</v>
          </cell>
          <cell r="AR107">
            <v>4.6630000000000003</v>
          </cell>
        </row>
        <row r="108">
          <cell r="H108">
            <v>13.34</v>
          </cell>
          <cell r="I108">
            <v>13.25</v>
          </cell>
          <cell r="T108">
            <v>17.72</v>
          </cell>
          <cell r="U108">
            <v>15.663</v>
          </cell>
          <cell r="V108">
            <v>16.27</v>
          </cell>
          <cell r="W108">
            <v>15.733176405427859</v>
          </cell>
          <cell r="X108">
            <v>16.308610946691381</v>
          </cell>
          <cell r="Y108">
            <v>11.7</v>
          </cell>
          <cell r="Z108">
            <v>12</v>
          </cell>
          <cell r="AA108">
            <v>12.7</v>
          </cell>
          <cell r="AB108">
            <v>15.5</v>
          </cell>
          <cell r="AC108">
            <v>12.975</v>
          </cell>
          <cell r="AD108">
            <v>11.34</v>
          </cell>
          <cell r="AE108">
            <v>11.095000000000001</v>
          </cell>
          <cell r="AF108">
            <v>10.77</v>
          </cell>
          <cell r="AG108">
            <v>9.1</v>
          </cell>
          <cell r="AH108">
            <v>10.57625</v>
          </cell>
          <cell r="AI108">
            <v>9.01</v>
          </cell>
          <cell r="AJ108">
            <v>9.01</v>
          </cell>
          <cell r="AK108">
            <v>10.211333333333332</v>
          </cell>
          <cell r="AL108">
            <v>11.08</v>
          </cell>
          <cell r="AM108">
            <v>11.19</v>
          </cell>
          <cell r="AN108">
            <v>11.3</v>
          </cell>
          <cell r="AO108">
            <v>11.41</v>
          </cell>
          <cell r="AP108">
            <v>0</v>
          </cell>
          <cell r="AQ108">
            <v>0</v>
          </cell>
          <cell r="AR108">
            <v>0</v>
          </cell>
        </row>
        <row r="109">
          <cell r="H109">
            <v>16.82</v>
          </cell>
          <cell r="I109">
            <v>15.68</v>
          </cell>
          <cell r="T109">
            <v>17.72</v>
          </cell>
          <cell r="U109">
            <v>15.66</v>
          </cell>
          <cell r="V109">
            <v>16.27</v>
          </cell>
          <cell r="W109">
            <v>15.78</v>
          </cell>
          <cell r="X109">
            <v>16.357499999999998</v>
          </cell>
          <cell r="Y109">
            <v>12.122962173681408</v>
          </cell>
          <cell r="Z109">
            <v>12.157698454981356</v>
          </cell>
          <cell r="AA109">
            <v>12.956632924880129</v>
          </cell>
          <cell r="AB109">
            <v>13.460309003729355</v>
          </cell>
          <cell r="AC109">
            <v>12.674400639318064</v>
          </cell>
          <cell r="AD109">
            <v>11.34</v>
          </cell>
          <cell r="AE109">
            <v>11.095000000000001</v>
          </cell>
          <cell r="AF109">
            <v>10.505492823243866</v>
          </cell>
          <cell r="AG109">
            <v>10.948970075644652</v>
          </cell>
          <cell r="AH109">
            <v>10.972365724722131</v>
          </cell>
          <cell r="AI109">
            <v>9.9125154433087861</v>
          </cell>
          <cell r="AJ109">
            <v>9.9125154433087861</v>
          </cell>
          <cell r="AK109">
            <v>11.23418416908329</v>
          </cell>
          <cell r="AL109">
            <v>12.060227122692355</v>
          </cell>
          <cell r="AM109">
            <v>12.060227122692355</v>
          </cell>
          <cell r="AN109">
            <v>12.060227122692355</v>
          </cell>
          <cell r="AO109">
            <v>12.060227122692355</v>
          </cell>
          <cell r="AP109">
            <v>0</v>
          </cell>
          <cell r="AQ109">
            <v>0</v>
          </cell>
          <cell r="AR109">
            <v>0</v>
          </cell>
        </row>
        <row r="110">
          <cell r="H110">
            <v>13.34</v>
          </cell>
          <cell r="I110">
            <v>13.25</v>
          </cell>
          <cell r="T110">
            <v>17.72</v>
          </cell>
          <cell r="U110">
            <v>15.66</v>
          </cell>
          <cell r="V110">
            <v>16.27</v>
          </cell>
          <cell r="W110">
            <v>15.78</v>
          </cell>
          <cell r="X110">
            <v>16.357499999999998</v>
          </cell>
          <cell r="Y110">
            <v>11.7</v>
          </cell>
          <cell r="Z110">
            <v>12</v>
          </cell>
          <cell r="AA110">
            <v>12.7</v>
          </cell>
          <cell r="AB110">
            <v>15.5</v>
          </cell>
          <cell r="AC110">
            <v>12.975</v>
          </cell>
          <cell r="AD110">
            <v>11.34</v>
          </cell>
          <cell r="AE110">
            <v>11.095000000000001</v>
          </cell>
          <cell r="AF110">
            <v>10.77</v>
          </cell>
          <cell r="AG110">
            <v>9.1</v>
          </cell>
          <cell r="AH110">
            <v>10.57625</v>
          </cell>
          <cell r="AI110">
            <v>15</v>
          </cell>
          <cell r="AJ110">
            <v>15</v>
          </cell>
          <cell r="AK110">
            <v>15</v>
          </cell>
          <cell r="AL110">
            <v>15</v>
          </cell>
          <cell r="AM110">
            <v>15</v>
          </cell>
          <cell r="AN110">
            <v>15</v>
          </cell>
          <cell r="AO110">
            <v>15</v>
          </cell>
          <cell r="AP110">
            <v>15</v>
          </cell>
          <cell r="AQ110">
            <v>15</v>
          </cell>
          <cell r="AR110">
            <v>15</v>
          </cell>
        </row>
        <row r="115">
          <cell r="X115">
            <v>-931.11746874999994</v>
          </cell>
          <cell r="AC115">
            <v>-1142.2662499999999</v>
          </cell>
          <cell r="AH115">
            <v>-1136.6923012815625</v>
          </cell>
          <cell r="AI115">
            <v>-1850.7424999999998</v>
          </cell>
          <cell r="AJ115">
            <v>-1850.7424999999998</v>
          </cell>
          <cell r="AK115">
            <v>-2140.9699233333331</v>
          </cell>
          <cell r="AL115">
            <v>-1037.7238000000002</v>
          </cell>
          <cell r="AM115">
            <v>-64.407550000000299</v>
          </cell>
          <cell r="AN115">
            <v>235.25</v>
          </cell>
          <cell r="AO115">
            <v>61.324999999999818</v>
          </cell>
          <cell r="AP115">
            <v>3786</v>
          </cell>
          <cell r="AQ115">
            <v>4483</v>
          </cell>
          <cell r="AR115">
            <v>4670</v>
          </cell>
        </row>
        <row r="117">
          <cell r="X117">
            <v>0</v>
          </cell>
          <cell r="AC117">
            <v>0</v>
          </cell>
          <cell r="AH117">
            <v>0</v>
          </cell>
          <cell r="AI117">
            <v>263.09199999999998</v>
          </cell>
          <cell r="AJ117">
            <v>263.09199999999998</v>
          </cell>
          <cell r="AK117">
            <v>383.89507666666663</v>
          </cell>
          <cell r="AL117">
            <v>1156.6411999999998</v>
          </cell>
          <cell r="AM117">
            <v>1662.3304499999997</v>
          </cell>
          <cell r="AN117">
            <v>2062.25</v>
          </cell>
          <cell r="AO117">
            <v>2082.3249999999998</v>
          </cell>
          <cell r="AP117">
            <v>6336</v>
          </cell>
          <cell r="AQ117">
            <v>7325</v>
          </cell>
          <cell r="AR117">
            <v>7676</v>
          </cell>
        </row>
        <row r="118">
          <cell r="X118">
            <v>-898.24</v>
          </cell>
          <cell r="AC118">
            <v>-876</v>
          </cell>
          <cell r="AH118">
            <v>-876</v>
          </cell>
          <cell r="AI118">
            <v>-1617</v>
          </cell>
          <cell r="AJ118">
            <v>-1617</v>
          </cell>
          <cell r="AK118">
            <v>-1875</v>
          </cell>
          <cell r="AL118">
            <v>-1508</v>
          </cell>
          <cell r="AM118">
            <v>-864</v>
          </cell>
          <cell r="AN118">
            <v>-815</v>
          </cell>
          <cell r="AO118">
            <v>-967</v>
          </cell>
          <cell r="AP118">
            <v>-765</v>
          </cell>
          <cell r="AQ118">
            <v>-419</v>
          </cell>
          <cell r="AR118">
            <v>-345</v>
          </cell>
        </row>
        <row r="120">
          <cell r="X120">
            <v>0</v>
          </cell>
          <cell r="AC120">
            <v>-183</v>
          </cell>
          <cell r="AH120">
            <v>-183</v>
          </cell>
          <cell r="AI120">
            <v>-377</v>
          </cell>
          <cell r="AJ120">
            <v>-377</v>
          </cell>
          <cell r="AK120">
            <v>-469</v>
          </cell>
          <cell r="AL120">
            <v>-443</v>
          </cell>
          <cell r="AM120">
            <v>-370</v>
          </cell>
          <cell r="AN120">
            <v>-400</v>
          </cell>
          <cell r="AO120">
            <v>-459</v>
          </cell>
          <cell r="AP120">
            <v>-489</v>
          </cell>
          <cell r="AQ120">
            <v>-574</v>
          </cell>
          <cell r="AR120">
            <v>-607</v>
          </cell>
        </row>
        <row r="121">
          <cell r="X121">
            <v>0</v>
          </cell>
          <cell r="AC121">
            <v>1</v>
          </cell>
          <cell r="AH121">
            <v>1</v>
          </cell>
          <cell r="AI121">
            <v>11</v>
          </cell>
          <cell r="AJ121">
            <v>11</v>
          </cell>
          <cell r="AK121">
            <v>19</v>
          </cell>
          <cell r="AL121">
            <v>31</v>
          </cell>
          <cell r="AM121">
            <v>52</v>
          </cell>
          <cell r="AN121">
            <v>70</v>
          </cell>
          <cell r="AO121">
            <v>91</v>
          </cell>
          <cell r="AP121">
            <v>97</v>
          </cell>
          <cell r="AQ121">
            <v>112</v>
          </cell>
          <cell r="AR121">
            <v>117</v>
          </cell>
        </row>
        <row r="122">
          <cell r="X122">
            <v>0</v>
          </cell>
          <cell r="AC122">
            <v>0</v>
          </cell>
          <cell r="AH122">
            <v>0</v>
          </cell>
          <cell r="AI122">
            <v>0</v>
          </cell>
          <cell r="AJ122">
            <v>0</v>
          </cell>
          <cell r="AK122">
            <v>0</v>
          </cell>
          <cell r="AL122">
            <v>0</v>
          </cell>
          <cell r="AM122">
            <v>0</v>
          </cell>
          <cell r="AN122">
            <v>0</v>
          </cell>
          <cell r="AO122">
            <v>0</v>
          </cell>
          <cell r="AP122">
            <v>0</v>
          </cell>
          <cell r="AQ122">
            <v>0</v>
          </cell>
          <cell r="AR122">
            <v>0</v>
          </cell>
        </row>
        <row r="123">
          <cell r="X123">
            <v>0</v>
          </cell>
          <cell r="AC123">
            <v>-184</v>
          </cell>
          <cell r="AH123">
            <v>-184</v>
          </cell>
          <cell r="AI123">
            <v>-388</v>
          </cell>
          <cell r="AJ123">
            <v>-388</v>
          </cell>
          <cell r="AK123">
            <v>-488</v>
          </cell>
          <cell r="AL123">
            <v>-474</v>
          </cell>
          <cell r="AM123">
            <v>-422</v>
          </cell>
          <cell r="AN123">
            <v>-470</v>
          </cell>
          <cell r="AO123">
            <v>-550</v>
          </cell>
          <cell r="AP123">
            <v>-586</v>
          </cell>
          <cell r="AQ123">
            <v>-686</v>
          </cell>
          <cell r="AR123">
            <v>-724</v>
          </cell>
        </row>
        <row r="124">
          <cell r="X124">
            <v>-32.877468749999991</v>
          </cell>
          <cell r="AC124">
            <v>-83.266249999999999</v>
          </cell>
          <cell r="AH124">
            <v>-77.692301281562507</v>
          </cell>
          <cell r="AI124">
            <v>-119.83449999999999</v>
          </cell>
          <cell r="AJ124">
            <v>-119.83449999999999</v>
          </cell>
          <cell r="AK124">
            <v>-180.86500000000001</v>
          </cell>
          <cell r="AL124">
            <v>-211.36500000000001</v>
          </cell>
          <cell r="AM124">
            <v>-198.738</v>
          </cell>
          <cell r="AN124">
            <v>-229</v>
          </cell>
          <cell r="AO124">
            <v>-175</v>
          </cell>
          <cell r="AP124">
            <v>-135</v>
          </cell>
          <cell r="AQ124">
            <v>-97</v>
          </cell>
          <cell r="AR124">
            <v>-58</v>
          </cell>
        </row>
        <row r="125">
          <cell r="X125">
            <v>0</v>
          </cell>
          <cell r="AC125">
            <v>0</v>
          </cell>
          <cell r="AH125">
            <v>0</v>
          </cell>
          <cell r="AI125">
            <v>0</v>
          </cell>
          <cell r="AJ125">
            <v>0</v>
          </cell>
          <cell r="AK125">
            <v>0</v>
          </cell>
          <cell r="AL125">
            <v>0</v>
          </cell>
          <cell r="AM125">
            <v>0</v>
          </cell>
          <cell r="AN125">
            <v>0</v>
          </cell>
          <cell r="AO125">
            <v>0</v>
          </cell>
          <cell r="AP125">
            <v>0</v>
          </cell>
          <cell r="AQ125">
            <v>0</v>
          </cell>
          <cell r="AR125">
            <v>0</v>
          </cell>
        </row>
        <row r="126">
          <cell r="T126">
            <v>-2.0044062500000002</v>
          </cell>
          <cell r="U126">
            <v>-6.2318812499999998</v>
          </cell>
          <cell r="V126">
            <v>-10.191234374999999</v>
          </cell>
          <cell r="W126">
            <v>-14.449946874999998</v>
          </cell>
          <cell r="X126">
            <v>-32.877468749999991</v>
          </cell>
          <cell r="Y126">
            <v>-16.527734375000001</v>
          </cell>
          <cell r="Z126">
            <v>-19.386953125000002</v>
          </cell>
          <cell r="AA126">
            <v>-22.246171875000002</v>
          </cell>
          <cell r="AB126">
            <v>-25.105390624999998</v>
          </cell>
          <cell r="AC126">
            <v>-83.266249999999999</v>
          </cell>
          <cell r="AD126">
            <v>-15.2808182625</v>
          </cell>
          <cell r="AE126">
            <v>-18.325545519062498</v>
          </cell>
          <cell r="AF126">
            <v>-20.711953125000001</v>
          </cell>
          <cell r="AG126">
            <v>-23.373984375000003</v>
          </cell>
          <cell r="AH126">
            <v>-77.692301281562507</v>
          </cell>
          <cell r="AI126">
            <v>-119.83449999999999</v>
          </cell>
          <cell r="AJ126">
            <v>-119.83449999999999</v>
          </cell>
          <cell r="AK126">
            <v>-180.86500000000001</v>
          </cell>
          <cell r="AL126">
            <v>-211.36500000000001</v>
          </cell>
          <cell r="AM126">
            <v>-198.738</v>
          </cell>
          <cell r="AN126">
            <v>-229</v>
          </cell>
          <cell r="AO126">
            <v>-175</v>
          </cell>
          <cell r="AP126">
            <v>-135</v>
          </cell>
          <cell r="AQ126">
            <v>-97</v>
          </cell>
          <cell r="AR126">
            <v>-58</v>
          </cell>
        </row>
        <row r="127">
          <cell r="X127">
            <v>0</v>
          </cell>
          <cell r="AC127">
            <v>0</v>
          </cell>
          <cell r="AH127">
            <v>0</v>
          </cell>
          <cell r="AI127">
            <v>0</v>
          </cell>
          <cell r="AJ127">
            <v>0</v>
          </cell>
          <cell r="AK127">
            <v>0</v>
          </cell>
          <cell r="AL127">
            <v>-32</v>
          </cell>
          <cell r="AM127">
            <v>-294</v>
          </cell>
          <cell r="AN127">
            <v>-383</v>
          </cell>
          <cell r="AO127">
            <v>-420</v>
          </cell>
          <cell r="AP127">
            <v>-1161</v>
          </cell>
          <cell r="AQ127">
            <v>-1752</v>
          </cell>
          <cell r="AR127">
            <v>-1996</v>
          </cell>
        </row>
        <row r="128">
          <cell r="X128">
            <v>0</v>
          </cell>
          <cell r="AC128">
            <v>0</v>
          </cell>
          <cell r="AH128">
            <v>0</v>
          </cell>
          <cell r="AI128">
            <v>0</v>
          </cell>
          <cell r="AJ128">
            <v>0</v>
          </cell>
          <cell r="AK128">
            <v>0</v>
          </cell>
          <cell r="AL128">
            <v>0</v>
          </cell>
          <cell r="AM128">
            <v>0</v>
          </cell>
          <cell r="AN128">
            <v>0</v>
          </cell>
          <cell r="AO128">
            <v>0</v>
          </cell>
          <cell r="AP128">
            <v>0</v>
          </cell>
          <cell r="AQ128">
            <v>0</v>
          </cell>
          <cell r="AR128">
            <v>0</v>
          </cell>
        </row>
        <row r="129">
          <cell r="X129">
            <v>0</v>
          </cell>
          <cell r="AC129">
            <v>0</v>
          </cell>
          <cell r="AH129">
            <v>0</v>
          </cell>
          <cell r="AI129">
            <v>0</v>
          </cell>
          <cell r="AJ129">
            <v>0</v>
          </cell>
          <cell r="AK129">
            <v>0</v>
          </cell>
          <cell r="AL129">
            <v>-32</v>
          </cell>
          <cell r="AM129">
            <v>-294</v>
          </cell>
          <cell r="AN129">
            <v>-383</v>
          </cell>
          <cell r="AO129">
            <v>-420</v>
          </cell>
          <cell r="AP129">
            <v>-1161</v>
          </cell>
          <cell r="AQ129">
            <v>-1752</v>
          </cell>
          <cell r="AR129">
            <v>-1996</v>
          </cell>
        </row>
        <row r="131">
          <cell r="X131">
            <v>1183</v>
          </cell>
          <cell r="AC131">
            <v>1700</v>
          </cell>
          <cell r="AH131">
            <v>1700</v>
          </cell>
          <cell r="AI131">
            <v>1501</v>
          </cell>
          <cell r="AJ131">
            <v>1501</v>
          </cell>
          <cell r="AK131">
            <v>1500</v>
          </cell>
          <cell r="AL131">
            <v>705</v>
          </cell>
          <cell r="AM131">
            <v>80</v>
          </cell>
          <cell r="AN131">
            <v>-509</v>
          </cell>
          <cell r="AO131">
            <v>-241</v>
          </cell>
          <cell r="AP131">
            <v>-420</v>
          </cell>
          <cell r="AQ131">
            <v>-826</v>
          </cell>
          <cell r="AR131">
            <v>-826</v>
          </cell>
        </row>
        <row r="133">
          <cell r="X133">
            <v>350</v>
          </cell>
          <cell r="AC133">
            <v>1069</v>
          </cell>
          <cell r="AH133">
            <v>1069</v>
          </cell>
          <cell r="AI133">
            <v>500</v>
          </cell>
          <cell r="AJ133">
            <v>500</v>
          </cell>
          <cell r="AK133">
            <v>500</v>
          </cell>
          <cell r="AL133">
            <v>705</v>
          </cell>
          <cell r="AM133">
            <v>494</v>
          </cell>
          <cell r="AN133">
            <v>224</v>
          </cell>
          <cell r="AO133">
            <v>584</v>
          </cell>
          <cell r="AP133">
            <v>404</v>
          </cell>
          <cell r="AQ133">
            <v>0</v>
          </cell>
          <cell r="AR133">
            <v>0</v>
          </cell>
        </row>
        <row r="134">
          <cell r="X134">
            <v>0</v>
          </cell>
          <cell r="AC134">
            <v>0</v>
          </cell>
          <cell r="AH134">
            <v>0</v>
          </cell>
          <cell r="AI134">
            <v>0</v>
          </cell>
          <cell r="AJ134">
            <v>0</v>
          </cell>
          <cell r="AK134">
            <v>0</v>
          </cell>
          <cell r="AL134">
            <v>0</v>
          </cell>
          <cell r="AM134">
            <v>0</v>
          </cell>
          <cell r="AN134">
            <v>0</v>
          </cell>
          <cell r="AO134">
            <v>0</v>
          </cell>
          <cell r="AP134">
            <v>0</v>
          </cell>
          <cell r="AQ134">
            <v>0</v>
          </cell>
          <cell r="AR134">
            <v>0</v>
          </cell>
        </row>
        <row r="135">
          <cell r="X135">
            <v>350</v>
          </cell>
          <cell r="AC135">
            <v>1069</v>
          </cell>
          <cell r="AH135">
            <v>1069</v>
          </cell>
          <cell r="AI135">
            <v>500</v>
          </cell>
          <cell r="AJ135">
            <v>500</v>
          </cell>
          <cell r="AK135">
            <v>500</v>
          </cell>
          <cell r="AL135">
            <v>705</v>
          </cell>
          <cell r="AM135">
            <v>494</v>
          </cell>
          <cell r="AN135">
            <v>224</v>
          </cell>
          <cell r="AO135">
            <v>584</v>
          </cell>
          <cell r="AP135">
            <v>404</v>
          </cell>
          <cell r="AQ135">
            <v>0</v>
          </cell>
          <cell r="AR135">
            <v>0</v>
          </cell>
        </row>
        <row r="136">
          <cell r="X136">
            <v>833</v>
          </cell>
          <cell r="AC136">
            <v>631</v>
          </cell>
          <cell r="AH136">
            <v>631</v>
          </cell>
          <cell r="AI136">
            <v>1001</v>
          </cell>
          <cell r="AJ136">
            <v>1001</v>
          </cell>
          <cell r="AK136">
            <v>1000</v>
          </cell>
          <cell r="AL136">
            <v>0</v>
          </cell>
          <cell r="AM136">
            <v>-414</v>
          </cell>
          <cell r="AN136">
            <v>-733</v>
          </cell>
          <cell r="AO136">
            <v>-825</v>
          </cell>
          <cell r="AP136">
            <v>-824</v>
          </cell>
          <cell r="AQ136">
            <v>-826</v>
          </cell>
          <cell r="AR136">
            <v>-826</v>
          </cell>
        </row>
        <row r="137">
          <cell r="X137">
            <v>833</v>
          </cell>
          <cell r="AC137">
            <v>631</v>
          </cell>
          <cell r="AH137">
            <v>631</v>
          </cell>
          <cell r="AI137">
            <v>1000</v>
          </cell>
          <cell r="AJ137">
            <v>1000</v>
          </cell>
          <cell r="AK137">
            <v>1158</v>
          </cell>
          <cell r="AL137">
            <v>158</v>
          </cell>
          <cell r="AM137">
            <v>241</v>
          </cell>
          <cell r="AN137">
            <v>24</v>
          </cell>
          <cell r="AO137">
            <v>0</v>
          </cell>
          <cell r="AP137">
            <v>0</v>
          </cell>
          <cell r="AQ137">
            <v>0</v>
          </cell>
          <cell r="AR137">
            <v>0</v>
          </cell>
        </row>
        <row r="138">
          <cell r="X138">
            <v>0</v>
          </cell>
          <cell r="AC138">
            <v>0</v>
          </cell>
          <cell r="AH138">
            <v>0</v>
          </cell>
          <cell r="AI138">
            <v>1</v>
          </cell>
          <cell r="AJ138">
            <v>1</v>
          </cell>
          <cell r="AK138">
            <v>-158</v>
          </cell>
          <cell r="AL138">
            <v>-158</v>
          </cell>
          <cell r="AM138">
            <v>-655</v>
          </cell>
          <cell r="AN138">
            <v>-757</v>
          </cell>
          <cell r="AO138">
            <v>-825</v>
          </cell>
          <cell r="AP138">
            <v>-824</v>
          </cell>
          <cell r="AQ138">
            <v>-826</v>
          </cell>
          <cell r="AR138">
            <v>-826</v>
          </cell>
        </row>
        <row r="140">
          <cell r="AC140">
            <v>0</v>
          </cell>
          <cell r="AH140">
            <v>0</v>
          </cell>
          <cell r="AI140">
            <v>0</v>
          </cell>
          <cell r="AJ140">
            <v>0</v>
          </cell>
          <cell r="AK140">
            <v>0</v>
          </cell>
          <cell r="AL140">
            <v>0</v>
          </cell>
          <cell r="AM140">
            <v>0</v>
          </cell>
          <cell r="AN140">
            <v>0</v>
          </cell>
          <cell r="AO140">
            <v>0</v>
          </cell>
          <cell r="AP140">
            <v>0</v>
          </cell>
          <cell r="AQ140">
            <v>0</v>
          </cell>
          <cell r="AR140">
            <v>0</v>
          </cell>
        </row>
        <row r="141">
          <cell r="X141">
            <v>0</v>
          </cell>
          <cell r="AC141">
            <v>0</v>
          </cell>
          <cell r="AH141">
            <v>0</v>
          </cell>
          <cell r="AI141">
            <v>0</v>
          </cell>
          <cell r="AJ141">
            <v>0</v>
          </cell>
          <cell r="AK141">
            <v>0</v>
          </cell>
          <cell r="AL141">
            <v>0</v>
          </cell>
          <cell r="AM141">
            <v>0</v>
          </cell>
          <cell r="AN141">
            <v>0</v>
          </cell>
          <cell r="AO141">
            <v>0</v>
          </cell>
          <cell r="AP141">
            <v>0</v>
          </cell>
          <cell r="AQ141">
            <v>0</v>
          </cell>
          <cell r="AR141">
            <v>0</v>
          </cell>
        </row>
        <row r="142">
          <cell r="X142">
            <v>0</v>
          </cell>
        </row>
        <row r="143">
          <cell r="X143">
            <v>0</v>
          </cell>
        </row>
        <row r="144">
          <cell r="X144">
            <v>0</v>
          </cell>
        </row>
        <row r="145">
          <cell r="X145">
            <v>0</v>
          </cell>
        </row>
        <row r="146">
          <cell r="X146">
            <v>0</v>
          </cell>
        </row>
        <row r="147">
          <cell r="X147">
            <v>0</v>
          </cell>
        </row>
        <row r="149">
          <cell r="X149">
            <v>251.88253125000006</v>
          </cell>
          <cell r="AC149">
            <v>557.73374999999999</v>
          </cell>
          <cell r="AH149">
            <v>563.30769871843745</v>
          </cell>
          <cell r="AI149">
            <v>-349.74249999999984</v>
          </cell>
          <cell r="AJ149">
            <v>-349.74249999999984</v>
          </cell>
          <cell r="AK149">
            <v>-640.9699233333331</v>
          </cell>
          <cell r="AL149">
            <v>-332.72380000000021</v>
          </cell>
          <cell r="AM149">
            <v>15.592449999999701</v>
          </cell>
          <cell r="AN149">
            <v>-273.75</v>
          </cell>
          <cell r="AO149">
            <v>-179.67500000000018</v>
          </cell>
          <cell r="AP149">
            <v>3366</v>
          </cell>
          <cell r="AQ149">
            <v>3657</v>
          </cell>
          <cell r="AR149">
            <v>3844</v>
          </cell>
        </row>
        <row r="154">
          <cell r="X154">
            <v>-127.79543106421059</v>
          </cell>
          <cell r="AC154">
            <v>8.038333949307102</v>
          </cell>
          <cell r="AH154">
            <v>11.714942894181647</v>
          </cell>
          <cell r="AI154">
            <v>-698.69460867713474</v>
          </cell>
          <cell r="AJ154">
            <v>-698.69460867713474</v>
          </cell>
          <cell r="AK154">
            <v>-306.22560867713469</v>
          </cell>
          <cell r="AL154">
            <v>1941.5728913228654</v>
          </cell>
          <cell r="AM154">
            <v>2377.8493913228654</v>
          </cell>
          <cell r="AN154">
            <v>2247</v>
          </cell>
          <cell r="AO154">
            <v>2837</v>
          </cell>
          <cell r="AP154">
            <v>4099</v>
          </cell>
          <cell r="AQ154">
            <v>4284</v>
          </cell>
          <cell r="AR154">
            <v>4640</v>
          </cell>
        </row>
        <row r="156">
          <cell r="X156">
            <v>618.69712468473301</v>
          </cell>
          <cell r="AC156">
            <v>920</v>
          </cell>
          <cell r="AH156">
            <v>920</v>
          </cell>
          <cell r="AI156">
            <v>1098</v>
          </cell>
          <cell r="AJ156">
            <v>1098</v>
          </cell>
          <cell r="AK156">
            <v>1415</v>
          </cell>
          <cell r="AL156">
            <v>3107</v>
          </cell>
          <cell r="AM156">
            <v>3698</v>
          </cell>
          <cell r="AN156">
            <v>3939</v>
          </cell>
          <cell r="AO156">
            <v>4575</v>
          </cell>
          <cell r="AP156">
            <v>5914</v>
          </cell>
          <cell r="AQ156">
            <v>6307</v>
          </cell>
          <cell r="AR156">
            <v>6602</v>
          </cell>
        </row>
        <row r="157">
          <cell r="X157">
            <v>-521.69210603944339</v>
          </cell>
          <cell r="AC157">
            <v>-581</v>
          </cell>
          <cell r="AH157">
            <v>-581</v>
          </cell>
          <cell r="AI157">
            <v>-1381</v>
          </cell>
          <cell r="AJ157">
            <v>-1381</v>
          </cell>
          <cell r="AK157">
            <v>-1191</v>
          </cell>
          <cell r="AL157">
            <v>-428</v>
          </cell>
          <cell r="AM157">
            <v>-509</v>
          </cell>
          <cell r="AN157">
            <v>-771</v>
          </cell>
          <cell r="AO157">
            <v>-618</v>
          </cell>
          <cell r="AP157">
            <v>-265</v>
          </cell>
          <cell r="AQ157">
            <v>-179</v>
          </cell>
          <cell r="AR157">
            <v>-131</v>
          </cell>
        </row>
        <row r="159">
          <cell r="X159">
            <v>-207.43057073448938</v>
          </cell>
          <cell r="AC159">
            <v>-276</v>
          </cell>
          <cell r="AH159">
            <v>-276</v>
          </cell>
          <cell r="AI159">
            <v>-309</v>
          </cell>
          <cell r="AJ159">
            <v>-309</v>
          </cell>
          <cell r="AK159">
            <v>-346</v>
          </cell>
          <cell r="AL159">
            <v>-435</v>
          </cell>
          <cell r="AM159">
            <v>-498</v>
          </cell>
          <cell r="AN159">
            <v>-535</v>
          </cell>
          <cell r="AO159">
            <v>-610</v>
          </cell>
          <cell r="AP159">
            <v>-664</v>
          </cell>
          <cell r="AQ159">
            <v>-702</v>
          </cell>
          <cell r="AR159">
            <v>-732</v>
          </cell>
        </row>
        <row r="160">
          <cell r="X160">
            <v>9.4217836246406037</v>
          </cell>
          <cell r="AC160">
            <v>14</v>
          </cell>
          <cell r="AH160">
            <v>14</v>
          </cell>
          <cell r="AI160">
            <v>17</v>
          </cell>
          <cell r="AJ160">
            <v>17</v>
          </cell>
          <cell r="AK160">
            <v>22</v>
          </cell>
          <cell r="AL160">
            <v>47</v>
          </cell>
          <cell r="AM160">
            <v>66</v>
          </cell>
          <cell r="AN160">
            <v>60</v>
          </cell>
          <cell r="AO160">
            <v>69</v>
          </cell>
          <cell r="AP160">
            <v>89</v>
          </cell>
          <cell r="AQ160">
            <v>95</v>
          </cell>
          <cell r="AR160">
            <v>100</v>
          </cell>
        </row>
        <row r="162">
          <cell r="X162">
            <v>-216.85235435912998</v>
          </cell>
          <cell r="AC162">
            <v>-290</v>
          </cell>
          <cell r="AH162">
            <v>-290</v>
          </cell>
          <cell r="AI162">
            <v>-326</v>
          </cell>
          <cell r="AJ162">
            <v>-326</v>
          </cell>
          <cell r="AK162">
            <v>-368</v>
          </cell>
          <cell r="AL162">
            <v>-482</v>
          </cell>
          <cell r="AM162">
            <v>-564</v>
          </cell>
          <cell r="AN162">
            <v>-595</v>
          </cell>
          <cell r="AO162">
            <v>-679</v>
          </cell>
          <cell r="AP162">
            <v>-753</v>
          </cell>
          <cell r="AQ162">
            <v>-797</v>
          </cell>
          <cell r="AR162">
            <v>-832</v>
          </cell>
        </row>
        <row r="163">
          <cell r="X163">
            <v>-17.369878975010828</v>
          </cell>
          <cell r="AC163">
            <v>-54.961666050692898</v>
          </cell>
          <cell r="AH163">
            <v>-51.285057105818353</v>
          </cell>
          <cell r="AI163">
            <v>-106.69460867713471</v>
          </cell>
          <cell r="AJ163">
            <v>-106.69460867713471</v>
          </cell>
          <cell r="AK163">
            <v>-184.22560867713472</v>
          </cell>
          <cell r="AL163">
            <v>-215.4271086771347</v>
          </cell>
          <cell r="AM163">
            <v>-210.1506086771347</v>
          </cell>
          <cell r="AN163">
            <v>-252</v>
          </cell>
          <cell r="AO163">
            <v>-278</v>
          </cell>
          <cell r="AP163">
            <v>-284</v>
          </cell>
          <cell r="AQ163">
            <v>-243</v>
          </cell>
          <cell r="AR163">
            <v>-197</v>
          </cell>
        </row>
        <row r="164">
          <cell r="X164">
            <v>0</v>
          </cell>
          <cell r="AC164">
            <v>0</v>
          </cell>
          <cell r="AH164">
            <v>0</v>
          </cell>
          <cell r="AI164">
            <v>0</v>
          </cell>
          <cell r="AJ164">
            <v>0</v>
          </cell>
          <cell r="AK164">
            <v>0</v>
          </cell>
          <cell r="AL164">
            <v>0</v>
          </cell>
          <cell r="AM164">
            <v>0</v>
          </cell>
          <cell r="AN164">
            <v>0</v>
          </cell>
          <cell r="AO164">
            <v>0</v>
          </cell>
          <cell r="AP164">
            <v>0</v>
          </cell>
          <cell r="AQ164">
            <v>0</v>
          </cell>
          <cell r="AR164">
            <v>0</v>
          </cell>
        </row>
        <row r="165">
          <cell r="T165">
            <v>-1.0589712439238588</v>
          </cell>
          <cell r="U165">
            <v>-3.2924378674723611</v>
          </cell>
          <cell r="V165">
            <v>-5.3842498960544249</v>
          </cell>
          <cell r="W165">
            <v>-7.6342199675601821</v>
          </cell>
          <cell r="X165">
            <v>-17.369878975010828</v>
          </cell>
          <cell r="Y165">
            <v>-9.4176040126732232</v>
          </cell>
          <cell r="Z165">
            <v>-12.299479012673222</v>
          </cell>
          <cell r="AA165">
            <v>-15.181354012673223</v>
          </cell>
          <cell r="AB165">
            <v>-18.063229012673222</v>
          </cell>
          <cell r="AC165">
            <v>-54.961666050692898</v>
          </cell>
          <cell r="AD165">
            <v>-8.7071035945209694</v>
          </cell>
          <cell r="AE165">
            <v>-11.626100349767935</v>
          </cell>
          <cell r="AF165">
            <v>-14.134364080764726</v>
          </cell>
          <cell r="AG165">
            <v>-16.817489080764727</v>
          </cell>
          <cell r="AH165">
            <v>-51.285057105818353</v>
          </cell>
          <cell r="AI165">
            <v>-106.69460867713471</v>
          </cell>
          <cell r="AJ165">
            <v>-106.69460867713471</v>
          </cell>
          <cell r="AK165">
            <v>-184.22560867713472</v>
          </cell>
          <cell r="AL165">
            <v>-215.4271086771347</v>
          </cell>
          <cell r="AM165">
            <v>-210.1506086771347</v>
          </cell>
          <cell r="AN165">
            <v>-252</v>
          </cell>
          <cell r="AO165">
            <v>-278</v>
          </cell>
          <cell r="AP165">
            <v>-284</v>
          </cell>
          <cell r="AQ165">
            <v>-243</v>
          </cell>
          <cell r="AR165">
            <v>-197</v>
          </cell>
        </row>
        <row r="166">
          <cell r="X166">
            <v>0</v>
          </cell>
          <cell r="AC166">
            <v>0</v>
          </cell>
          <cell r="AH166">
            <v>0</v>
          </cell>
          <cell r="AI166">
            <v>0</v>
          </cell>
          <cell r="AJ166">
            <v>0</v>
          </cell>
          <cell r="AK166">
            <v>0</v>
          </cell>
          <cell r="AL166">
            <v>-87</v>
          </cell>
          <cell r="AM166">
            <v>-103</v>
          </cell>
          <cell r="AN166">
            <v>-134</v>
          </cell>
          <cell r="AO166">
            <v>-232</v>
          </cell>
          <cell r="AP166">
            <v>-602</v>
          </cell>
          <cell r="AQ166">
            <v>-899</v>
          </cell>
          <cell r="AR166">
            <v>-902</v>
          </cell>
        </row>
        <row r="167">
          <cell r="X167">
            <v>0</v>
          </cell>
          <cell r="AC167">
            <v>0</v>
          </cell>
          <cell r="AH167">
            <v>0</v>
          </cell>
          <cell r="AI167">
            <v>0</v>
          </cell>
          <cell r="AJ167">
            <v>0</v>
          </cell>
          <cell r="AK167">
            <v>0</v>
          </cell>
          <cell r="AL167">
            <v>0</v>
          </cell>
          <cell r="AM167">
            <v>0</v>
          </cell>
          <cell r="AN167">
            <v>0</v>
          </cell>
          <cell r="AO167">
            <v>0</v>
          </cell>
          <cell r="AP167">
            <v>0</v>
          </cell>
          <cell r="AQ167">
            <v>0</v>
          </cell>
          <cell r="AR167">
            <v>0</v>
          </cell>
        </row>
        <row r="168">
          <cell r="X168">
            <v>0</v>
          </cell>
          <cell r="AC168">
            <v>0</v>
          </cell>
          <cell r="AH168">
            <v>0</v>
          </cell>
          <cell r="AI168">
            <v>0</v>
          </cell>
          <cell r="AJ168">
            <v>0</v>
          </cell>
          <cell r="AK168">
            <v>0</v>
          </cell>
          <cell r="AL168">
            <v>-87</v>
          </cell>
          <cell r="AM168">
            <v>-103</v>
          </cell>
          <cell r="AN168">
            <v>-134</v>
          </cell>
          <cell r="AO168">
            <v>-232</v>
          </cell>
          <cell r="AP168">
            <v>-602</v>
          </cell>
          <cell r="AQ168">
            <v>-899</v>
          </cell>
          <cell r="AR168">
            <v>-902</v>
          </cell>
        </row>
        <row r="170">
          <cell r="X170">
            <v>764.42665975315003</v>
          </cell>
          <cell r="AC170">
            <v>846</v>
          </cell>
          <cell r="AH170">
            <v>846</v>
          </cell>
          <cell r="AI170">
            <v>2066</v>
          </cell>
          <cell r="AJ170">
            <v>2066</v>
          </cell>
          <cell r="AK170">
            <v>1780</v>
          </cell>
          <cell r="AL170">
            <v>13</v>
          </cell>
          <cell r="AM170">
            <v>0</v>
          </cell>
          <cell r="AN170">
            <v>324</v>
          </cell>
          <cell r="AO170">
            <v>80</v>
          </cell>
          <cell r="AP170">
            <v>-521</v>
          </cell>
          <cell r="AQ170">
            <v>-575</v>
          </cell>
          <cell r="AR170">
            <v>-761</v>
          </cell>
        </row>
        <row r="172">
          <cell r="X172">
            <v>324.33471422635148</v>
          </cell>
          <cell r="AC172">
            <v>210</v>
          </cell>
          <cell r="AH172">
            <v>210</v>
          </cell>
          <cell r="AI172">
            <v>720</v>
          </cell>
          <cell r="AJ172">
            <v>720</v>
          </cell>
          <cell r="AK172">
            <v>584</v>
          </cell>
          <cell r="AL172">
            <v>186</v>
          </cell>
          <cell r="AM172">
            <v>0</v>
          </cell>
          <cell r="AN172">
            <v>63</v>
          </cell>
          <cell r="AO172">
            <v>0</v>
          </cell>
          <cell r="AP172">
            <v>0</v>
          </cell>
          <cell r="AQ172">
            <v>0</v>
          </cell>
          <cell r="AR172">
            <v>0</v>
          </cell>
        </row>
        <row r="173">
          <cell r="X173">
            <v>0</v>
          </cell>
          <cell r="AC173">
            <v>0</v>
          </cell>
          <cell r="AH173">
            <v>0</v>
          </cell>
          <cell r="AI173">
            <v>0</v>
          </cell>
          <cell r="AJ173">
            <v>0</v>
          </cell>
          <cell r="AK173">
            <v>0</v>
          </cell>
          <cell r="AL173">
            <v>0</v>
          </cell>
          <cell r="AM173">
            <v>0</v>
          </cell>
          <cell r="AN173">
            <v>0</v>
          </cell>
          <cell r="AO173">
            <v>0</v>
          </cell>
          <cell r="AP173">
            <v>0</v>
          </cell>
          <cell r="AQ173">
            <v>0</v>
          </cell>
          <cell r="AR173">
            <v>0</v>
          </cell>
        </row>
        <row r="174">
          <cell r="X174">
            <v>324.33471422635148</v>
          </cell>
          <cell r="AC174">
            <v>210</v>
          </cell>
          <cell r="AH174">
            <v>210</v>
          </cell>
          <cell r="AI174">
            <v>720</v>
          </cell>
          <cell r="AJ174">
            <v>720</v>
          </cell>
          <cell r="AK174">
            <v>584</v>
          </cell>
          <cell r="AL174">
            <v>186</v>
          </cell>
          <cell r="AM174">
            <v>0</v>
          </cell>
          <cell r="AN174">
            <v>63</v>
          </cell>
          <cell r="AO174">
            <v>0</v>
          </cell>
          <cell r="AP174">
            <v>0</v>
          </cell>
          <cell r="AQ174">
            <v>0</v>
          </cell>
          <cell r="AR174">
            <v>0</v>
          </cell>
        </row>
        <row r="175">
          <cell r="X175">
            <v>440.0919455267985</v>
          </cell>
          <cell r="AC175">
            <v>636</v>
          </cell>
          <cell r="AH175">
            <v>636</v>
          </cell>
          <cell r="AI175">
            <v>1346</v>
          </cell>
          <cell r="AJ175">
            <v>1346</v>
          </cell>
          <cell r="AK175">
            <v>1196</v>
          </cell>
          <cell r="AL175">
            <v>-173</v>
          </cell>
          <cell r="AM175">
            <v>0</v>
          </cell>
          <cell r="AN175">
            <v>261</v>
          </cell>
          <cell r="AO175">
            <v>80</v>
          </cell>
          <cell r="AP175">
            <v>-521</v>
          </cell>
          <cell r="AQ175">
            <v>-575</v>
          </cell>
          <cell r="AR175">
            <v>-761</v>
          </cell>
        </row>
        <row r="176">
          <cell r="X176">
            <v>488.49810000000002</v>
          </cell>
          <cell r="AC176">
            <v>636</v>
          </cell>
          <cell r="AH176">
            <v>636</v>
          </cell>
          <cell r="AI176">
            <v>1365</v>
          </cell>
          <cell r="AJ176">
            <v>1365</v>
          </cell>
          <cell r="AK176">
            <v>1216</v>
          </cell>
          <cell r="AL176">
            <v>206</v>
          </cell>
          <cell r="AM176">
            <v>439</v>
          </cell>
          <cell r="AN176">
            <v>748</v>
          </cell>
          <cell r="AO176">
            <v>584</v>
          </cell>
          <cell r="AP176">
            <v>184</v>
          </cell>
          <cell r="AQ176">
            <v>130</v>
          </cell>
          <cell r="AR176">
            <v>0</v>
          </cell>
        </row>
        <row r="177">
          <cell r="X177">
            <v>-48.406154473201546</v>
          </cell>
          <cell r="AC177">
            <v>0</v>
          </cell>
          <cell r="AH177">
            <v>0</v>
          </cell>
          <cell r="AI177">
            <v>-19</v>
          </cell>
          <cell r="AJ177">
            <v>-19</v>
          </cell>
          <cell r="AK177">
            <v>-20</v>
          </cell>
          <cell r="AL177">
            <v>-379</v>
          </cell>
          <cell r="AM177">
            <v>-439</v>
          </cell>
          <cell r="AN177">
            <v>-487</v>
          </cell>
          <cell r="AO177">
            <v>-504</v>
          </cell>
          <cell r="AP177">
            <v>-705</v>
          </cell>
          <cell r="AQ177">
            <v>-705</v>
          </cell>
          <cell r="AR177">
            <v>-761</v>
          </cell>
        </row>
        <row r="188">
          <cell r="X188">
            <v>636.63122868893947</v>
          </cell>
          <cell r="AC188">
            <v>854.03833394930712</v>
          </cell>
          <cell r="AH188">
            <v>857.7149428941816</v>
          </cell>
          <cell r="AI188">
            <v>1367.3053913228653</v>
          </cell>
          <cell r="AJ188">
            <v>1367.3053913228653</v>
          </cell>
          <cell r="AK188">
            <v>1473.7743913228653</v>
          </cell>
          <cell r="AL188">
            <v>1954.5728913228654</v>
          </cell>
          <cell r="AM188">
            <v>2377.8493913228654</v>
          </cell>
          <cell r="AN188">
            <v>2571</v>
          </cell>
          <cell r="AO188">
            <v>2917</v>
          </cell>
          <cell r="AP188">
            <v>3578</v>
          </cell>
          <cell r="AQ188">
            <v>3709</v>
          </cell>
          <cell r="AR188">
            <v>3879</v>
          </cell>
        </row>
        <row r="191">
          <cell r="Y191">
            <v>34.75</v>
          </cell>
          <cell r="Z191">
            <v>72.650000000000006</v>
          </cell>
          <cell r="AA191">
            <v>97.92</v>
          </cell>
          <cell r="AB191">
            <v>110.66</v>
          </cell>
          <cell r="AC191">
            <v>315.98</v>
          </cell>
          <cell r="AD191">
            <v>34.75</v>
          </cell>
          <cell r="AE191">
            <v>72.650000000000006</v>
          </cell>
          <cell r="AF191">
            <v>97.92</v>
          </cell>
          <cell r="AG191">
            <v>110.66</v>
          </cell>
          <cell r="AH191">
            <v>315.98</v>
          </cell>
        </row>
        <row r="196">
          <cell r="AC196">
            <v>12912</v>
          </cell>
          <cell r="AH196">
            <v>12912</v>
          </cell>
          <cell r="AI196">
            <v>13372</v>
          </cell>
          <cell r="AJ196">
            <v>13372</v>
          </cell>
          <cell r="AK196">
            <v>14627</v>
          </cell>
          <cell r="AL196">
            <v>17638</v>
          </cell>
          <cell r="AM196">
            <v>21248</v>
          </cell>
          <cell r="AN196">
            <v>24672</v>
          </cell>
          <cell r="AO196">
            <v>27126</v>
          </cell>
          <cell r="AP196">
            <v>28250</v>
          </cell>
          <cell r="AQ196">
            <v>29370</v>
          </cell>
          <cell r="AR196">
            <v>30148</v>
          </cell>
        </row>
        <row r="198">
          <cell r="AC198">
            <v>19036</v>
          </cell>
          <cell r="AH198">
            <v>19036</v>
          </cell>
          <cell r="AI198">
            <v>20452</v>
          </cell>
          <cell r="AJ198">
            <v>20452</v>
          </cell>
          <cell r="AK198">
            <v>22476</v>
          </cell>
          <cell r="AL198">
            <v>25370</v>
          </cell>
          <cell r="AM198">
            <v>28414</v>
          </cell>
          <cell r="AN198">
            <v>31628</v>
          </cell>
          <cell r="AO198">
            <v>34336</v>
          </cell>
          <cell r="AP198">
            <v>35959</v>
          </cell>
          <cell r="AQ198">
            <v>37622</v>
          </cell>
          <cell r="AR198">
            <v>38543</v>
          </cell>
        </row>
        <row r="199">
          <cell r="AC199">
            <v>-3546</v>
          </cell>
          <cell r="AH199">
            <v>-3546</v>
          </cell>
          <cell r="AI199">
            <v>-3906</v>
          </cell>
          <cell r="AJ199">
            <v>-3906</v>
          </cell>
          <cell r="AK199">
            <v>-4178</v>
          </cell>
          <cell r="AL199">
            <v>-3643</v>
          </cell>
          <cell r="AM199">
            <v>-2767</v>
          </cell>
          <cell r="AN199">
            <v>-2461</v>
          </cell>
          <cell r="AO199">
            <v>-2643</v>
          </cell>
          <cell r="AP199">
            <v>-2339</v>
          </cell>
          <cell r="AQ199">
            <v>-2233</v>
          </cell>
          <cell r="AR199">
            <v>-2160</v>
          </cell>
        </row>
        <row r="200">
          <cell r="AC200">
            <v>-516</v>
          </cell>
          <cell r="AH200">
            <v>-516</v>
          </cell>
          <cell r="AI200">
            <v>-468</v>
          </cell>
          <cell r="AJ200">
            <v>-468</v>
          </cell>
          <cell r="AK200">
            <v>-524</v>
          </cell>
          <cell r="AL200">
            <v>-384</v>
          </cell>
          <cell r="AM200">
            <v>-163</v>
          </cell>
          <cell r="AN200">
            <v>-109</v>
          </cell>
          <cell r="AO200">
            <v>-104</v>
          </cell>
          <cell r="AP200">
            <v>-116</v>
          </cell>
          <cell r="AQ200">
            <v>-131</v>
          </cell>
          <cell r="AR200">
            <v>-129</v>
          </cell>
        </row>
        <row r="201">
          <cell r="AC201">
            <v>-717</v>
          </cell>
          <cell r="AH201">
            <v>-717</v>
          </cell>
          <cell r="AI201">
            <v>-1085</v>
          </cell>
          <cell r="AJ201">
            <v>-1085</v>
          </cell>
          <cell r="AK201">
            <v>-1307</v>
          </cell>
          <cell r="AL201">
            <v>-1697</v>
          </cell>
          <cell r="AM201">
            <v>-1926</v>
          </cell>
          <cell r="AN201">
            <v>-1986</v>
          </cell>
          <cell r="AO201">
            <v>-2012</v>
          </cell>
          <cell r="AP201">
            <v>-2016</v>
          </cell>
          <cell r="AQ201">
            <v>-1953</v>
          </cell>
          <cell r="AR201">
            <v>-1873</v>
          </cell>
        </row>
        <row r="202">
          <cell r="AC202">
            <v>-1049</v>
          </cell>
          <cell r="AH202">
            <v>-1049</v>
          </cell>
          <cell r="AI202">
            <v>-1287</v>
          </cell>
          <cell r="AJ202">
            <v>-1287</v>
          </cell>
          <cell r="AK202">
            <v>-1456</v>
          </cell>
          <cell r="AL202">
            <v>-1573</v>
          </cell>
          <cell r="AM202">
            <v>-1604</v>
          </cell>
          <cell r="AN202">
            <v>-1709</v>
          </cell>
          <cell r="AO202">
            <v>-1830</v>
          </cell>
          <cell r="AP202">
            <v>-1925</v>
          </cell>
          <cell r="AQ202">
            <v>-2075</v>
          </cell>
          <cell r="AR202">
            <v>-2171</v>
          </cell>
        </row>
        <row r="203">
          <cell r="AC203">
            <v>290</v>
          </cell>
          <cell r="AH203">
            <v>290</v>
          </cell>
          <cell r="AI203">
            <v>311</v>
          </cell>
          <cell r="AJ203">
            <v>311</v>
          </cell>
          <cell r="AK203">
            <v>342</v>
          </cell>
          <cell r="AL203">
            <v>386</v>
          </cell>
          <cell r="AM203">
            <v>433</v>
          </cell>
          <cell r="AN203">
            <v>482</v>
          </cell>
          <cell r="AO203">
            <v>523</v>
          </cell>
          <cell r="AP203">
            <v>548</v>
          </cell>
          <cell r="AQ203">
            <v>573</v>
          </cell>
          <cell r="AR203">
            <v>587</v>
          </cell>
        </row>
        <row r="204">
          <cell r="AC204">
            <v>0</v>
          </cell>
          <cell r="AH204">
            <v>0</v>
          </cell>
          <cell r="AI204">
            <v>0</v>
          </cell>
          <cell r="AJ204">
            <v>0</v>
          </cell>
          <cell r="AK204">
            <v>0</v>
          </cell>
          <cell r="AL204">
            <v>0</v>
          </cell>
          <cell r="AM204">
            <v>0</v>
          </cell>
          <cell r="AN204">
            <v>0</v>
          </cell>
          <cell r="AO204">
            <v>0</v>
          </cell>
          <cell r="AP204">
            <v>0</v>
          </cell>
          <cell r="AQ204">
            <v>0</v>
          </cell>
          <cell r="AR204">
            <v>0</v>
          </cell>
        </row>
        <row r="205">
          <cell r="AC205">
            <v>-1339</v>
          </cell>
          <cell r="AH205">
            <v>-1339</v>
          </cell>
          <cell r="AI205">
            <v>-1598</v>
          </cell>
          <cell r="AJ205">
            <v>-1598</v>
          </cell>
          <cell r="AK205">
            <v>-1798</v>
          </cell>
          <cell r="AL205">
            <v>-1959</v>
          </cell>
          <cell r="AM205">
            <v>-2037</v>
          </cell>
          <cell r="AN205">
            <v>-2191</v>
          </cell>
          <cell r="AO205">
            <v>-2353</v>
          </cell>
          <cell r="AP205">
            <v>-2473</v>
          </cell>
          <cell r="AQ205">
            <v>-2648</v>
          </cell>
          <cell r="AR205">
            <v>-2758</v>
          </cell>
        </row>
        <row r="206">
          <cell r="AC206">
            <v>-296</v>
          </cell>
          <cell r="AH206">
            <v>-296</v>
          </cell>
          <cell r="AI206">
            <v>-334</v>
          </cell>
          <cell r="AJ206">
            <v>-334</v>
          </cell>
          <cell r="AK206">
            <v>-384</v>
          </cell>
          <cell r="AL206">
            <v>-403</v>
          </cell>
          <cell r="AM206">
            <v>-412</v>
          </cell>
          <cell r="AN206">
            <v>-308</v>
          </cell>
          <cell r="AO206">
            <v>-201</v>
          </cell>
          <cell r="AP206">
            <v>-152</v>
          </cell>
          <cell r="AQ206">
            <v>-108</v>
          </cell>
          <cell r="AR206">
            <v>-66</v>
          </cell>
        </row>
        <row r="207">
          <cell r="AC207">
            <v>0</v>
          </cell>
          <cell r="AH207">
            <v>0</v>
          </cell>
          <cell r="AI207">
            <v>0</v>
          </cell>
          <cell r="AJ207">
            <v>0</v>
          </cell>
          <cell r="AK207">
            <v>0</v>
          </cell>
          <cell r="AL207">
            <v>0</v>
          </cell>
          <cell r="AM207">
            <v>0</v>
          </cell>
          <cell r="AN207">
            <v>0</v>
          </cell>
          <cell r="AO207">
            <v>0</v>
          </cell>
          <cell r="AP207">
            <v>0</v>
          </cell>
          <cell r="AQ207">
            <v>0</v>
          </cell>
          <cell r="AR207">
            <v>0</v>
          </cell>
        </row>
        <row r="208">
          <cell r="AC208">
            <v>-296</v>
          </cell>
          <cell r="AH208">
            <v>-296</v>
          </cell>
          <cell r="AI208">
            <v>-334</v>
          </cell>
          <cell r="AJ208">
            <v>-334</v>
          </cell>
          <cell r="AK208">
            <v>-384</v>
          </cell>
          <cell r="AL208">
            <v>-403</v>
          </cell>
          <cell r="AM208">
            <v>-412</v>
          </cell>
          <cell r="AN208">
            <v>-308</v>
          </cell>
          <cell r="AO208">
            <v>-201</v>
          </cell>
          <cell r="AP208">
            <v>-152</v>
          </cell>
          <cell r="AQ208">
            <v>-108</v>
          </cell>
          <cell r="AR208">
            <v>-66</v>
          </cell>
        </row>
        <row r="209">
          <cell r="AC209">
            <v>0</v>
          </cell>
          <cell r="AH209">
            <v>0</v>
          </cell>
          <cell r="AI209">
            <v>0</v>
          </cell>
          <cell r="AJ209">
            <v>0</v>
          </cell>
          <cell r="AK209">
            <v>0</v>
          </cell>
          <cell r="AL209">
            <v>-32</v>
          </cell>
          <cell r="AM209">
            <v>-294</v>
          </cell>
          <cell r="AN209">
            <v>-383</v>
          </cell>
          <cell r="AO209">
            <v>-420</v>
          </cell>
          <cell r="AP209">
            <v>-1161</v>
          </cell>
          <cell r="AQ209">
            <v>-1752</v>
          </cell>
          <cell r="AR209">
            <v>-1996</v>
          </cell>
        </row>
        <row r="210">
          <cell r="AC210">
            <v>0</v>
          </cell>
          <cell r="AH210">
            <v>0</v>
          </cell>
          <cell r="AI210">
            <v>0</v>
          </cell>
          <cell r="AJ210">
            <v>0</v>
          </cell>
          <cell r="AK210">
            <v>0</v>
          </cell>
          <cell r="AL210">
            <v>0</v>
          </cell>
          <cell r="AM210">
            <v>0</v>
          </cell>
          <cell r="AN210">
            <v>0</v>
          </cell>
          <cell r="AO210">
            <v>0</v>
          </cell>
          <cell r="AP210">
            <v>0</v>
          </cell>
          <cell r="AQ210">
            <v>0</v>
          </cell>
          <cell r="AR210">
            <v>0</v>
          </cell>
        </row>
        <row r="211">
          <cell r="AC211">
            <v>0</v>
          </cell>
          <cell r="AH211">
            <v>0</v>
          </cell>
          <cell r="AI211">
            <v>0</v>
          </cell>
          <cell r="AJ211">
            <v>0</v>
          </cell>
          <cell r="AK211">
            <v>0</v>
          </cell>
          <cell r="AL211">
            <v>-32</v>
          </cell>
          <cell r="AM211">
            <v>-294</v>
          </cell>
          <cell r="AN211">
            <v>-383</v>
          </cell>
          <cell r="AO211">
            <v>-420</v>
          </cell>
          <cell r="AP211">
            <v>-1161</v>
          </cell>
          <cell r="AQ211">
            <v>-1752</v>
          </cell>
          <cell r="AR211">
            <v>-1996</v>
          </cell>
        </row>
        <row r="213">
          <cell r="AC213">
            <v>1972</v>
          </cell>
          <cell r="AH213">
            <v>1972</v>
          </cell>
          <cell r="AI213">
            <v>2442</v>
          </cell>
          <cell r="AJ213">
            <v>2442</v>
          </cell>
          <cell r="AK213">
            <v>2471</v>
          </cell>
          <cell r="AL213">
            <v>1233</v>
          </cell>
          <cell r="AM213">
            <v>-829</v>
          </cell>
          <cell r="AN213">
            <v>-1729</v>
          </cell>
          <cell r="AO213">
            <v>-988</v>
          </cell>
          <cell r="AP213">
            <v>-1193</v>
          </cell>
          <cell r="AQ213">
            <v>-1500</v>
          </cell>
          <cell r="AR213">
            <v>-1378</v>
          </cell>
        </row>
        <row r="215">
          <cell r="AC215">
            <v>1069</v>
          </cell>
          <cell r="AH215">
            <v>1069</v>
          </cell>
          <cell r="AI215">
            <v>1346</v>
          </cell>
          <cell r="AJ215">
            <v>1346</v>
          </cell>
          <cell r="AK215">
            <v>1412</v>
          </cell>
          <cell r="AL215">
            <v>705</v>
          </cell>
          <cell r="AM215">
            <v>494</v>
          </cell>
          <cell r="AN215">
            <v>224</v>
          </cell>
          <cell r="AO215">
            <v>584</v>
          </cell>
          <cell r="AP215">
            <v>404</v>
          </cell>
          <cell r="AQ215">
            <v>0</v>
          </cell>
          <cell r="AR215">
            <v>0</v>
          </cell>
        </row>
        <row r="216">
          <cell r="AC216">
            <v>0</v>
          </cell>
          <cell r="AH216">
            <v>0</v>
          </cell>
          <cell r="AI216">
            <v>0</v>
          </cell>
          <cell r="AJ216">
            <v>0</v>
          </cell>
          <cell r="AK216">
            <v>0</v>
          </cell>
          <cell r="AL216">
            <v>0</v>
          </cell>
          <cell r="AM216">
            <v>0</v>
          </cell>
          <cell r="AN216">
            <v>0</v>
          </cell>
          <cell r="AO216">
            <v>0</v>
          </cell>
          <cell r="AP216">
            <v>0</v>
          </cell>
          <cell r="AQ216">
            <v>0</v>
          </cell>
          <cell r="AR216">
            <v>0</v>
          </cell>
        </row>
        <row r="217">
          <cell r="AC217">
            <v>1069</v>
          </cell>
          <cell r="AH217">
            <v>1069</v>
          </cell>
          <cell r="AI217">
            <v>1346</v>
          </cell>
          <cell r="AJ217">
            <v>1346</v>
          </cell>
          <cell r="AK217">
            <v>1412</v>
          </cell>
          <cell r="AL217">
            <v>705</v>
          </cell>
          <cell r="AM217">
            <v>494</v>
          </cell>
          <cell r="AN217">
            <v>224</v>
          </cell>
          <cell r="AO217">
            <v>584</v>
          </cell>
          <cell r="AP217">
            <v>404</v>
          </cell>
          <cell r="AQ217">
            <v>0</v>
          </cell>
          <cell r="AR217">
            <v>0</v>
          </cell>
        </row>
        <row r="218">
          <cell r="AC218">
            <v>762</v>
          </cell>
          <cell r="AH218">
            <v>762</v>
          </cell>
          <cell r="AI218">
            <v>1103</v>
          </cell>
          <cell r="AJ218">
            <v>1103</v>
          </cell>
          <cell r="AK218">
            <v>1019</v>
          </cell>
          <cell r="AL218">
            <v>762</v>
          </cell>
          <cell r="AM218">
            <v>-813</v>
          </cell>
          <cell r="AN218">
            <v>-1297</v>
          </cell>
          <cell r="AO218">
            <v>-943</v>
          </cell>
          <cell r="AP218">
            <v>-896</v>
          </cell>
          <cell r="AQ218">
            <v>-864</v>
          </cell>
          <cell r="AR218">
            <v>-860</v>
          </cell>
        </row>
        <row r="219">
          <cell r="AC219">
            <v>1430</v>
          </cell>
          <cell r="AH219">
            <v>1430</v>
          </cell>
          <cell r="AI219">
            <v>1566</v>
          </cell>
          <cell r="AJ219">
            <v>1566</v>
          </cell>
          <cell r="AK219">
            <v>1798</v>
          </cell>
          <cell r="AL219">
            <v>1208</v>
          </cell>
          <cell r="AM219">
            <v>241</v>
          </cell>
          <cell r="AN219">
            <v>24</v>
          </cell>
          <cell r="AO219">
            <v>0</v>
          </cell>
          <cell r="AP219">
            <v>0</v>
          </cell>
          <cell r="AQ219">
            <v>0</v>
          </cell>
          <cell r="AR219">
            <v>0</v>
          </cell>
        </row>
        <row r="220">
          <cell r="AC220">
            <v>-668</v>
          </cell>
          <cell r="AH220">
            <v>-668</v>
          </cell>
          <cell r="AI220">
            <v>-463</v>
          </cell>
          <cell r="AJ220">
            <v>-463</v>
          </cell>
          <cell r="AK220">
            <v>-779</v>
          </cell>
          <cell r="AL220">
            <v>-446</v>
          </cell>
          <cell r="AM220">
            <v>-1054</v>
          </cell>
          <cell r="AN220">
            <v>-1321</v>
          </cell>
          <cell r="AO220">
            <v>-943</v>
          </cell>
          <cell r="AP220">
            <v>-896</v>
          </cell>
          <cell r="AQ220">
            <v>-864</v>
          </cell>
          <cell r="AR220">
            <v>-860</v>
          </cell>
        </row>
        <row r="221">
          <cell r="AC221">
            <v>516</v>
          </cell>
          <cell r="AH221">
            <v>516</v>
          </cell>
          <cell r="AI221">
            <v>468</v>
          </cell>
          <cell r="AJ221">
            <v>468</v>
          </cell>
          <cell r="AK221">
            <v>524</v>
          </cell>
          <cell r="AL221">
            <v>384</v>
          </cell>
          <cell r="AM221">
            <v>163</v>
          </cell>
          <cell r="AN221">
            <v>109</v>
          </cell>
          <cell r="AO221">
            <v>104</v>
          </cell>
          <cell r="AP221">
            <v>116</v>
          </cell>
          <cell r="AQ221">
            <v>131</v>
          </cell>
          <cell r="AR221">
            <v>129</v>
          </cell>
        </row>
        <row r="222">
          <cell r="AC222">
            <v>-238</v>
          </cell>
          <cell r="AH222">
            <v>-238</v>
          </cell>
          <cell r="AI222">
            <v>-277</v>
          </cell>
          <cell r="AJ222">
            <v>-277</v>
          </cell>
          <cell r="AK222">
            <v>-341</v>
          </cell>
          <cell r="AL222">
            <v>-450</v>
          </cell>
          <cell r="AM222">
            <v>-495</v>
          </cell>
          <cell r="AN222">
            <v>-567</v>
          </cell>
          <cell r="AO222">
            <v>-621</v>
          </cell>
          <cell r="AP222">
            <v>-688</v>
          </cell>
          <cell r="AQ222">
            <v>-699</v>
          </cell>
          <cell r="AR222">
            <v>-562</v>
          </cell>
        </row>
        <row r="223">
          <cell r="AC223">
            <v>0</v>
          </cell>
          <cell r="AH223">
            <v>0</v>
          </cell>
          <cell r="AI223">
            <v>0</v>
          </cell>
          <cell r="AJ223">
            <v>0</v>
          </cell>
          <cell r="AK223">
            <v>0</v>
          </cell>
          <cell r="AL223">
            <v>0</v>
          </cell>
          <cell r="AM223">
            <v>0</v>
          </cell>
          <cell r="AN223">
            <v>0</v>
          </cell>
          <cell r="AO223">
            <v>0</v>
          </cell>
          <cell r="AP223">
            <v>0</v>
          </cell>
          <cell r="AQ223">
            <v>0</v>
          </cell>
          <cell r="AR223">
            <v>0</v>
          </cell>
        </row>
        <row r="224">
          <cell r="AC224">
            <v>-137</v>
          </cell>
          <cell r="AH224">
            <v>-137</v>
          </cell>
          <cell r="AI224">
            <v>-198</v>
          </cell>
          <cell r="AJ224">
            <v>-198</v>
          </cell>
          <cell r="AK224">
            <v>-143</v>
          </cell>
          <cell r="AL224">
            <v>-168</v>
          </cell>
          <cell r="AM224">
            <v>-178</v>
          </cell>
          <cell r="AN224">
            <v>-198</v>
          </cell>
          <cell r="AO224">
            <v>-112</v>
          </cell>
          <cell r="AP224">
            <v>-129</v>
          </cell>
          <cell r="AQ224">
            <v>-68</v>
          </cell>
          <cell r="AR224">
            <v>-85</v>
          </cell>
        </row>
        <row r="232">
          <cell r="AC232">
            <v>14884</v>
          </cell>
          <cell r="AH232">
            <v>14884</v>
          </cell>
          <cell r="AI232">
            <v>15814</v>
          </cell>
          <cell r="AJ232">
            <v>15814</v>
          </cell>
          <cell r="AK232">
            <v>17098</v>
          </cell>
          <cell r="AL232">
            <v>18871</v>
          </cell>
          <cell r="AM232">
            <v>20419</v>
          </cell>
          <cell r="AN232">
            <v>22943</v>
          </cell>
          <cell r="AO232">
            <v>26138</v>
          </cell>
          <cell r="AP232">
            <v>27057</v>
          </cell>
          <cell r="AQ232">
            <v>27870</v>
          </cell>
          <cell r="AR232">
            <v>28770</v>
          </cell>
        </row>
        <row r="237">
          <cell r="AC237">
            <v>13976</v>
          </cell>
          <cell r="AH237">
            <v>13976</v>
          </cell>
          <cell r="AI237">
            <v>14742</v>
          </cell>
          <cell r="AJ237">
            <v>14742</v>
          </cell>
          <cell r="AK237">
            <v>15907</v>
          </cell>
          <cell r="AL237">
            <v>17814</v>
          </cell>
          <cell r="AM237">
            <v>19707</v>
          </cell>
          <cell r="AN237">
            <v>21953</v>
          </cell>
          <cell r="AO237">
            <v>23190</v>
          </cell>
          <cell r="AP237">
            <v>24464</v>
          </cell>
          <cell r="AQ237">
            <v>24887</v>
          </cell>
          <cell r="AR237">
            <v>25478</v>
          </cell>
        </row>
        <row r="239">
          <cell r="AC239">
            <v>18956</v>
          </cell>
          <cell r="AH239">
            <v>18956</v>
          </cell>
          <cell r="AI239">
            <v>19715</v>
          </cell>
          <cell r="AJ239">
            <v>19715</v>
          </cell>
          <cell r="AK239">
            <v>21212</v>
          </cell>
          <cell r="AL239">
            <v>23294</v>
          </cell>
          <cell r="AM239">
            <v>25046</v>
          </cell>
          <cell r="AN239">
            <v>27082</v>
          </cell>
          <cell r="AO239">
            <v>28379</v>
          </cell>
          <cell r="AP239">
            <v>29623</v>
          </cell>
          <cell r="AQ239">
            <v>30297</v>
          </cell>
          <cell r="AR239">
            <v>30867</v>
          </cell>
        </row>
        <row r="240">
          <cell r="AC240">
            <v>-2670</v>
          </cell>
          <cell r="AH240">
            <v>-2670</v>
          </cell>
          <cell r="AI240">
            <v>-2289</v>
          </cell>
          <cell r="AJ240">
            <v>-2289</v>
          </cell>
          <cell r="AK240">
            <v>-2303</v>
          </cell>
          <cell r="AL240">
            <v>-2135</v>
          </cell>
          <cell r="AM240">
            <v>-1903</v>
          </cell>
          <cell r="AN240">
            <v>-1646</v>
          </cell>
          <cell r="AO240">
            <v>-1676</v>
          </cell>
          <cell r="AP240">
            <v>-1574</v>
          </cell>
          <cell r="AQ240">
            <v>-1814</v>
          </cell>
          <cell r="AR240">
            <v>-1815</v>
          </cell>
        </row>
        <row r="241">
          <cell r="AC241">
            <v>-516</v>
          </cell>
          <cell r="AH241">
            <v>-516</v>
          </cell>
          <cell r="AI241">
            <v>-468</v>
          </cell>
          <cell r="AJ241">
            <v>-468</v>
          </cell>
          <cell r="AK241">
            <v>-524</v>
          </cell>
          <cell r="AL241">
            <v>-384</v>
          </cell>
          <cell r="AM241">
            <v>-163</v>
          </cell>
          <cell r="AN241">
            <v>-109</v>
          </cell>
          <cell r="AO241">
            <v>-104</v>
          </cell>
          <cell r="AP241">
            <v>-116</v>
          </cell>
          <cell r="AQ241">
            <v>-131</v>
          </cell>
          <cell r="AR241">
            <v>-129</v>
          </cell>
        </row>
        <row r="242">
          <cell r="AC242">
            <v>-717</v>
          </cell>
          <cell r="AH242">
            <v>-717</v>
          </cell>
          <cell r="AI242">
            <v>-1085</v>
          </cell>
          <cell r="AJ242">
            <v>-1085</v>
          </cell>
          <cell r="AK242">
            <v>-1307</v>
          </cell>
          <cell r="AL242">
            <v>-1697</v>
          </cell>
          <cell r="AM242">
            <v>-1928</v>
          </cell>
          <cell r="AN242">
            <v>-1986</v>
          </cell>
          <cell r="AO242">
            <v>-2012</v>
          </cell>
          <cell r="AP242">
            <v>-2016</v>
          </cell>
          <cell r="AQ242">
            <v>-1953</v>
          </cell>
          <cell r="AR242">
            <v>-1873</v>
          </cell>
        </row>
        <row r="243">
          <cell r="AC243">
            <v>-866</v>
          </cell>
          <cell r="AH243">
            <v>-866</v>
          </cell>
          <cell r="AI243">
            <v>-910</v>
          </cell>
          <cell r="AJ243">
            <v>-910</v>
          </cell>
          <cell r="AK243">
            <v>-987</v>
          </cell>
          <cell r="AL243">
            <v>-1130</v>
          </cell>
          <cell r="AM243">
            <v>-1234</v>
          </cell>
          <cell r="AN243">
            <v>-1309</v>
          </cell>
          <cell r="AO243">
            <v>-1371</v>
          </cell>
          <cell r="AP243">
            <v>-1436</v>
          </cell>
          <cell r="AQ243">
            <v>-1501</v>
          </cell>
          <cell r="AR243">
            <v>-1564</v>
          </cell>
        </row>
        <row r="244">
          <cell r="AC244">
            <v>289</v>
          </cell>
          <cell r="AH244">
            <v>289</v>
          </cell>
          <cell r="AI244">
            <v>300</v>
          </cell>
          <cell r="AJ244">
            <v>300</v>
          </cell>
          <cell r="AK244">
            <v>323</v>
          </cell>
          <cell r="AL244">
            <v>355</v>
          </cell>
          <cell r="AM244">
            <v>381</v>
          </cell>
          <cell r="AN244">
            <v>412</v>
          </cell>
          <cell r="AO244">
            <v>432</v>
          </cell>
          <cell r="AP244">
            <v>451</v>
          </cell>
          <cell r="AQ244">
            <v>461</v>
          </cell>
          <cell r="AR244">
            <v>470</v>
          </cell>
        </row>
        <row r="245">
          <cell r="AC245">
            <v>0</v>
          </cell>
          <cell r="AH245">
            <v>0</v>
          </cell>
          <cell r="AI245">
            <v>0</v>
          </cell>
          <cell r="AJ245">
            <v>0</v>
          </cell>
          <cell r="AK245">
            <v>0</v>
          </cell>
          <cell r="AL245">
            <v>0</v>
          </cell>
          <cell r="AM245">
            <v>0</v>
          </cell>
          <cell r="AN245">
            <v>0</v>
          </cell>
          <cell r="AO245">
            <v>0</v>
          </cell>
          <cell r="AP245">
            <v>0</v>
          </cell>
          <cell r="AQ245">
            <v>0</v>
          </cell>
          <cell r="AR245">
            <v>0</v>
          </cell>
        </row>
        <row r="246">
          <cell r="AC246">
            <v>-1155</v>
          </cell>
          <cell r="AH246">
            <v>-1155</v>
          </cell>
          <cell r="AI246">
            <v>-1210</v>
          </cell>
          <cell r="AJ246">
            <v>-1210</v>
          </cell>
          <cell r="AK246">
            <v>-1310</v>
          </cell>
          <cell r="AL246">
            <v>-1485</v>
          </cell>
          <cell r="AM246">
            <v>-1615</v>
          </cell>
          <cell r="AN246">
            <v>-1721</v>
          </cell>
          <cell r="AO246">
            <v>-1803</v>
          </cell>
          <cell r="AP246">
            <v>-1887</v>
          </cell>
          <cell r="AQ246">
            <v>-1962</v>
          </cell>
          <cell r="AR246">
            <v>-2034</v>
          </cell>
        </row>
        <row r="247">
          <cell r="AC247">
            <v>-211</v>
          </cell>
          <cell r="AH247">
            <v>-211</v>
          </cell>
          <cell r="AI247">
            <v>-221</v>
          </cell>
          <cell r="AJ247">
            <v>-221</v>
          </cell>
          <cell r="AK247">
            <v>-184</v>
          </cell>
          <cell r="AL247">
            <v>-134</v>
          </cell>
          <cell r="AM247">
            <v>-111</v>
          </cell>
          <cell r="AN247">
            <v>-79</v>
          </cell>
          <cell r="AO247">
            <v>-26</v>
          </cell>
          <cell r="AP247">
            <v>-17</v>
          </cell>
          <cell r="AQ247">
            <v>-11</v>
          </cell>
          <cell r="AR247">
            <v>-8</v>
          </cell>
        </row>
        <row r="248">
          <cell r="AC248">
            <v>0</v>
          </cell>
          <cell r="AH248">
            <v>0</v>
          </cell>
          <cell r="AI248">
            <v>0</v>
          </cell>
          <cell r="AJ248">
            <v>0</v>
          </cell>
          <cell r="AK248">
            <v>0</v>
          </cell>
          <cell r="AL248">
            <v>0</v>
          </cell>
          <cell r="AM248">
            <v>0</v>
          </cell>
          <cell r="AN248">
            <v>0</v>
          </cell>
          <cell r="AO248">
            <v>0</v>
          </cell>
          <cell r="AP248">
            <v>0</v>
          </cell>
          <cell r="AQ248">
            <v>0</v>
          </cell>
          <cell r="AR248">
            <v>0</v>
          </cell>
        </row>
        <row r="249">
          <cell r="AC249">
            <v>-211</v>
          </cell>
          <cell r="AH249">
            <v>-211</v>
          </cell>
          <cell r="AI249">
            <v>-221</v>
          </cell>
          <cell r="AJ249">
            <v>-221</v>
          </cell>
          <cell r="AK249">
            <v>-184</v>
          </cell>
          <cell r="AL249">
            <v>-134</v>
          </cell>
          <cell r="AM249">
            <v>-111</v>
          </cell>
          <cell r="AN249">
            <v>-79</v>
          </cell>
          <cell r="AO249">
            <v>-26</v>
          </cell>
          <cell r="AP249">
            <v>-17</v>
          </cell>
          <cell r="AQ249">
            <v>-11</v>
          </cell>
          <cell r="AR249">
            <v>-8</v>
          </cell>
        </row>
        <row r="250">
          <cell r="AC250">
            <v>0</v>
          </cell>
          <cell r="AH250">
            <v>0</v>
          </cell>
          <cell r="AI250">
            <v>0</v>
          </cell>
          <cell r="AJ250">
            <v>0</v>
          </cell>
          <cell r="AK250">
            <v>0</v>
          </cell>
          <cell r="AL250">
            <v>0</v>
          </cell>
          <cell r="AM250">
            <v>0</v>
          </cell>
          <cell r="AN250">
            <v>0</v>
          </cell>
          <cell r="AO250">
            <v>0</v>
          </cell>
          <cell r="AP250">
            <v>0</v>
          </cell>
          <cell r="AQ250">
            <v>0</v>
          </cell>
          <cell r="AR250">
            <v>0</v>
          </cell>
        </row>
        <row r="251">
          <cell r="AC251">
            <v>0</v>
          </cell>
          <cell r="AH251">
            <v>0</v>
          </cell>
          <cell r="AI251">
            <v>0</v>
          </cell>
          <cell r="AJ251">
            <v>0</v>
          </cell>
          <cell r="AK251">
            <v>0</v>
          </cell>
          <cell r="AL251">
            <v>0</v>
          </cell>
          <cell r="AM251">
            <v>0</v>
          </cell>
          <cell r="AN251">
            <v>0</v>
          </cell>
          <cell r="AO251">
            <v>0</v>
          </cell>
          <cell r="AP251">
            <v>0</v>
          </cell>
          <cell r="AQ251">
            <v>0</v>
          </cell>
          <cell r="AR251">
            <v>0</v>
          </cell>
        </row>
        <row r="252">
          <cell r="AC252">
            <v>0</v>
          </cell>
          <cell r="AH252">
            <v>0</v>
          </cell>
          <cell r="AI252">
            <v>0</v>
          </cell>
          <cell r="AJ252">
            <v>0</v>
          </cell>
          <cell r="AK252">
            <v>0</v>
          </cell>
          <cell r="AL252">
            <v>0</v>
          </cell>
          <cell r="AM252">
            <v>0</v>
          </cell>
          <cell r="AN252">
            <v>0</v>
          </cell>
          <cell r="AO252">
            <v>0</v>
          </cell>
          <cell r="AP252">
            <v>0</v>
          </cell>
          <cell r="AQ252">
            <v>0</v>
          </cell>
          <cell r="AR252">
            <v>0</v>
          </cell>
        </row>
        <row r="254">
          <cell r="AC254">
            <v>272</v>
          </cell>
          <cell r="AH254">
            <v>272</v>
          </cell>
          <cell r="AI254">
            <v>-471</v>
          </cell>
          <cell r="AJ254">
            <v>-471</v>
          </cell>
          <cell r="AK254">
            <v>-581</v>
          </cell>
          <cell r="AL254">
            <v>-522</v>
          </cell>
          <cell r="AM254">
            <v>-909</v>
          </cell>
          <cell r="AN254">
            <v>-1322</v>
          </cell>
          <cell r="AO254">
            <v>-747</v>
          </cell>
          <cell r="AP254">
            <v>-773</v>
          </cell>
          <cell r="AQ254">
            <v>-674</v>
          </cell>
          <cell r="AR254">
            <v>-552</v>
          </cell>
        </row>
        <row r="256">
          <cell r="AC256">
            <v>0</v>
          </cell>
          <cell r="AH256">
            <v>0</v>
          </cell>
          <cell r="AI256">
            <v>0</v>
          </cell>
          <cell r="AJ256">
            <v>0</v>
          </cell>
          <cell r="AK256">
            <v>0</v>
          </cell>
          <cell r="AL256">
            <v>0</v>
          </cell>
          <cell r="AM256">
            <v>0</v>
          </cell>
          <cell r="AN256">
            <v>0</v>
          </cell>
          <cell r="AO256">
            <v>0</v>
          </cell>
          <cell r="AP256">
            <v>0</v>
          </cell>
          <cell r="AQ256">
            <v>0</v>
          </cell>
          <cell r="AR256">
            <v>0</v>
          </cell>
        </row>
        <row r="257">
          <cell r="AC257">
            <v>0</v>
          </cell>
          <cell r="AH257">
            <v>0</v>
          </cell>
          <cell r="AI257">
            <v>0</v>
          </cell>
          <cell r="AJ257">
            <v>0</v>
          </cell>
          <cell r="AK257">
            <v>0</v>
          </cell>
          <cell r="AL257">
            <v>0</v>
          </cell>
          <cell r="AM257">
            <v>0</v>
          </cell>
          <cell r="AN257">
            <v>0</v>
          </cell>
          <cell r="AO257">
            <v>0</v>
          </cell>
          <cell r="AP257">
            <v>0</v>
          </cell>
          <cell r="AQ257">
            <v>0</v>
          </cell>
          <cell r="AR257">
            <v>0</v>
          </cell>
        </row>
        <row r="258">
          <cell r="AC258">
            <v>0</v>
          </cell>
          <cell r="AH258">
            <v>0</v>
          </cell>
          <cell r="AI258">
            <v>0</v>
          </cell>
          <cell r="AJ258">
            <v>0</v>
          </cell>
          <cell r="AK258">
            <v>0</v>
          </cell>
          <cell r="AL258">
            <v>0</v>
          </cell>
          <cell r="AM258">
            <v>0</v>
          </cell>
          <cell r="AN258">
            <v>0</v>
          </cell>
          <cell r="AO258">
            <v>0</v>
          </cell>
          <cell r="AP258">
            <v>0</v>
          </cell>
          <cell r="AQ258">
            <v>0</v>
          </cell>
          <cell r="AR258">
            <v>0</v>
          </cell>
        </row>
        <row r="259">
          <cell r="AC259">
            <v>131</v>
          </cell>
          <cell r="AH259">
            <v>131</v>
          </cell>
          <cell r="AI259">
            <v>-464</v>
          </cell>
          <cell r="AJ259">
            <v>-464</v>
          </cell>
          <cell r="AK259">
            <v>-621</v>
          </cell>
          <cell r="AL259">
            <v>-288</v>
          </cell>
          <cell r="AM259">
            <v>-399</v>
          </cell>
          <cell r="AN259">
            <v>-666</v>
          </cell>
          <cell r="AO259">
            <v>-118</v>
          </cell>
          <cell r="AP259">
            <v>-72</v>
          </cell>
          <cell r="AQ259">
            <v>-38</v>
          </cell>
          <cell r="AR259">
            <v>-34</v>
          </cell>
        </row>
        <row r="260">
          <cell r="AC260">
            <v>799</v>
          </cell>
          <cell r="AH260">
            <v>799</v>
          </cell>
          <cell r="AI260">
            <v>0</v>
          </cell>
          <cell r="AJ260">
            <v>0</v>
          </cell>
          <cell r="AK260">
            <v>0</v>
          </cell>
          <cell r="AL260">
            <v>0</v>
          </cell>
          <cell r="AM260">
            <v>0</v>
          </cell>
          <cell r="AN260">
            <v>0</v>
          </cell>
          <cell r="AO260">
            <v>0</v>
          </cell>
          <cell r="AP260">
            <v>0</v>
          </cell>
          <cell r="AQ260">
            <v>0</v>
          </cell>
          <cell r="AR260">
            <v>0</v>
          </cell>
        </row>
        <row r="261">
          <cell r="AC261">
            <v>-668</v>
          </cell>
          <cell r="AH261">
            <v>-668</v>
          </cell>
          <cell r="AI261">
            <v>-464</v>
          </cell>
          <cell r="AJ261">
            <v>-464</v>
          </cell>
          <cell r="AK261">
            <v>-621</v>
          </cell>
          <cell r="AL261">
            <v>-288</v>
          </cell>
          <cell r="AM261">
            <v>-399</v>
          </cell>
          <cell r="AN261">
            <v>-666</v>
          </cell>
          <cell r="AO261">
            <v>-118</v>
          </cell>
          <cell r="AP261">
            <v>-72</v>
          </cell>
          <cell r="AQ261">
            <v>-38</v>
          </cell>
          <cell r="AR261">
            <v>-34</v>
          </cell>
        </row>
        <row r="262">
          <cell r="AC262">
            <v>516</v>
          </cell>
          <cell r="AH262">
            <v>516</v>
          </cell>
          <cell r="AI262">
            <v>468</v>
          </cell>
          <cell r="AJ262">
            <v>468</v>
          </cell>
          <cell r="AK262">
            <v>524</v>
          </cell>
          <cell r="AL262">
            <v>384</v>
          </cell>
          <cell r="AM262">
            <v>163</v>
          </cell>
          <cell r="AN262">
            <v>109</v>
          </cell>
          <cell r="AO262">
            <v>104</v>
          </cell>
          <cell r="AP262">
            <v>116</v>
          </cell>
          <cell r="AQ262">
            <v>131</v>
          </cell>
          <cell r="AR262">
            <v>129</v>
          </cell>
        </row>
        <row r="263">
          <cell r="AC263">
            <v>-238</v>
          </cell>
          <cell r="AH263">
            <v>-238</v>
          </cell>
          <cell r="AI263">
            <v>-277</v>
          </cell>
          <cell r="AJ263">
            <v>-277</v>
          </cell>
          <cell r="AK263">
            <v>-341</v>
          </cell>
          <cell r="AL263">
            <v>-450</v>
          </cell>
          <cell r="AM263">
            <v>-495</v>
          </cell>
          <cell r="AN263">
            <v>-567</v>
          </cell>
          <cell r="AO263">
            <v>-621</v>
          </cell>
          <cell r="AP263">
            <v>-688</v>
          </cell>
          <cell r="AQ263">
            <v>-699</v>
          </cell>
          <cell r="AR263">
            <v>-562</v>
          </cell>
        </row>
        <row r="264">
          <cell r="AC264">
            <v>0</v>
          </cell>
          <cell r="AH264">
            <v>0</v>
          </cell>
          <cell r="AI264">
            <v>0</v>
          </cell>
          <cell r="AJ264">
            <v>0</v>
          </cell>
          <cell r="AK264">
            <v>0</v>
          </cell>
          <cell r="AL264">
            <v>0</v>
          </cell>
          <cell r="AM264">
            <v>0</v>
          </cell>
          <cell r="AN264">
            <v>0</v>
          </cell>
          <cell r="AO264">
            <v>0</v>
          </cell>
          <cell r="AP264">
            <v>0</v>
          </cell>
          <cell r="AQ264">
            <v>0</v>
          </cell>
          <cell r="AR264">
            <v>0</v>
          </cell>
        </row>
        <row r="265">
          <cell r="AC265">
            <v>-137</v>
          </cell>
          <cell r="AH265">
            <v>-137</v>
          </cell>
          <cell r="AI265">
            <v>-198</v>
          </cell>
          <cell r="AJ265">
            <v>-198</v>
          </cell>
          <cell r="AK265">
            <v>-143</v>
          </cell>
          <cell r="AL265">
            <v>-168</v>
          </cell>
          <cell r="AM265">
            <v>-178</v>
          </cell>
          <cell r="AN265">
            <v>-198</v>
          </cell>
          <cell r="AO265">
            <v>-112</v>
          </cell>
          <cell r="AP265">
            <v>-129</v>
          </cell>
          <cell r="AQ265">
            <v>-68</v>
          </cell>
          <cell r="AR265">
            <v>-85</v>
          </cell>
        </row>
        <row r="273">
          <cell r="AC273">
            <v>14248</v>
          </cell>
          <cell r="AH273">
            <v>14248</v>
          </cell>
          <cell r="AI273">
            <v>14271</v>
          </cell>
          <cell r="AJ273">
            <v>14271</v>
          </cell>
          <cell r="AK273">
            <v>15326</v>
          </cell>
          <cell r="AL273">
            <v>17292</v>
          </cell>
          <cell r="AM273">
            <v>18798</v>
          </cell>
          <cell r="AN273">
            <v>20631</v>
          </cell>
          <cell r="AO273">
            <v>22443</v>
          </cell>
          <cell r="AP273">
            <v>23691</v>
          </cell>
          <cell r="AQ273">
            <v>24213</v>
          </cell>
          <cell r="AR273">
            <v>24926</v>
          </cell>
        </row>
        <row r="278">
          <cell r="AC278">
            <v>-1144</v>
          </cell>
          <cell r="AH278">
            <v>-1144</v>
          </cell>
          <cell r="AI278">
            <v>-1843.9079999999999</v>
          </cell>
          <cell r="AJ278">
            <v>-1843.9079999999999</v>
          </cell>
          <cell r="AK278">
            <v>-2160.1049233333333</v>
          </cell>
          <cell r="AL278">
            <v>-1095.3588000000002</v>
          </cell>
          <cell r="AM278">
            <v>-164.6695500000003</v>
          </cell>
          <cell r="AN278">
            <v>235.25</v>
          </cell>
          <cell r="AO278">
            <v>3936</v>
          </cell>
          <cell r="AP278">
            <v>3786</v>
          </cell>
          <cell r="AQ278">
            <v>4483</v>
          </cell>
          <cell r="AR278">
            <v>4670</v>
          </cell>
        </row>
        <row r="280">
          <cell r="AC280">
            <v>0</v>
          </cell>
          <cell r="AH280">
            <v>0</v>
          </cell>
          <cell r="AI280">
            <v>263.09199999999998</v>
          </cell>
          <cell r="AJ280">
            <v>263.09199999999998</v>
          </cell>
          <cell r="AK280">
            <v>383.89507666666663</v>
          </cell>
          <cell r="AL280">
            <v>1156.6411999999998</v>
          </cell>
          <cell r="AM280">
            <v>1662.3304499999997</v>
          </cell>
          <cell r="AN280">
            <v>2062.25</v>
          </cell>
          <cell r="AO280">
            <v>2082.3249999999998</v>
          </cell>
          <cell r="AP280">
            <v>6336</v>
          </cell>
          <cell r="AQ280">
            <v>7325</v>
          </cell>
          <cell r="AR280">
            <v>7676</v>
          </cell>
        </row>
        <row r="281">
          <cell r="AC281">
            <v>-876</v>
          </cell>
          <cell r="AH281">
            <v>-876</v>
          </cell>
          <cell r="AI281">
            <v>-1617</v>
          </cell>
          <cell r="AJ281">
            <v>-1617</v>
          </cell>
          <cell r="AK281">
            <v>-1875</v>
          </cell>
          <cell r="AL281">
            <v>-1508</v>
          </cell>
          <cell r="AM281">
            <v>-864</v>
          </cell>
          <cell r="AN281">
            <v>-815</v>
          </cell>
          <cell r="AO281">
            <v>-967</v>
          </cell>
          <cell r="AP281">
            <v>-765</v>
          </cell>
          <cell r="AQ281">
            <v>-419</v>
          </cell>
          <cell r="AR281">
            <v>-345</v>
          </cell>
        </row>
        <row r="282">
          <cell r="AC282">
            <v>0</v>
          </cell>
          <cell r="AH282">
            <v>0</v>
          </cell>
          <cell r="AI282">
            <v>0</v>
          </cell>
          <cell r="AJ282">
            <v>0</v>
          </cell>
          <cell r="AK282">
            <v>0</v>
          </cell>
          <cell r="AL282">
            <v>0</v>
          </cell>
          <cell r="AM282">
            <v>0</v>
          </cell>
          <cell r="AN282">
            <v>0</v>
          </cell>
          <cell r="AO282">
            <v>0</v>
          </cell>
          <cell r="AP282">
            <v>0</v>
          </cell>
          <cell r="AQ282">
            <v>0</v>
          </cell>
          <cell r="AR282">
            <v>0</v>
          </cell>
        </row>
        <row r="283">
          <cell r="AC283">
            <v>0</v>
          </cell>
          <cell r="AH283">
            <v>0</v>
          </cell>
          <cell r="AI283">
            <v>0</v>
          </cell>
          <cell r="AJ283">
            <v>0</v>
          </cell>
          <cell r="AK283">
            <v>0</v>
          </cell>
          <cell r="AL283">
            <v>0</v>
          </cell>
          <cell r="AM283">
            <v>2</v>
          </cell>
          <cell r="AN283">
            <v>0</v>
          </cell>
          <cell r="AO283">
            <v>0</v>
          </cell>
          <cell r="AP283">
            <v>0</v>
          </cell>
          <cell r="AQ283">
            <v>0</v>
          </cell>
          <cell r="AR283">
            <v>0</v>
          </cell>
        </row>
        <row r="284">
          <cell r="AC284">
            <v>-183</v>
          </cell>
          <cell r="AH284">
            <v>-183</v>
          </cell>
          <cell r="AI284">
            <v>-377</v>
          </cell>
          <cell r="AJ284">
            <v>-377</v>
          </cell>
          <cell r="AK284">
            <v>-469</v>
          </cell>
          <cell r="AL284">
            <v>-443</v>
          </cell>
          <cell r="AM284">
            <v>-370</v>
          </cell>
          <cell r="AN284">
            <v>-400</v>
          </cell>
          <cell r="AO284">
            <v>-459</v>
          </cell>
          <cell r="AP284">
            <v>-489</v>
          </cell>
          <cell r="AQ284">
            <v>-574</v>
          </cell>
          <cell r="AR284">
            <v>-607</v>
          </cell>
        </row>
        <row r="285">
          <cell r="AC285">
            <v>1</v>
          </cell>
          <cell r="AH285">
            <v>1</v>
          </cell>
          <cell r="AI285">
            <v>11</v>
          </cell>
          <cell r="AJ285">
            <v>11</v>
          </cell>
          <cell r="AK285">
            <v>19</v>
          </cell>
          <cell r="AL285">
            <v>31</v>
          </cell>
          <cell r="AM285">
            <v>52</v>
          </cell>
          <cell r="AN285">
            <v>70</v>
          </cell>
          <cell r="AO285">
            <v>91</v>
          </cell>
          <cell r="AP285">
            <v>97</v>
          </cell>
          <cell r="AQ285">
            <v>112</v>
          </cell>
          <cell r="AR285">
            <v>117</v>
          </cell>
        </row>
        <row r="286">
          <cell r="AC286">
            <v>0</v>
          </cell>
          <cell r="AH286">
            <v>0</v>
          </cell>
          <cell r="AI286">
            <v>0</v>
          </cell>
          <cell r="AJ286">
            <v>0</v>
          </cell>
          <cell r="AK286">
            <v>0</v>
          </cell>
          <cell r="AL286">
            <v>0</v>
          </cell>
          <cell r="AM286">
            <v>0</v>
          </cell>
          <cell r="AN286">
            <v>0</v>
          </cell>
          <cell r="AO286">
            <v>0</v>
          </cell>
          <cell r="AP286">
            <v>0</v>
          </cell>
          <cell r="AQ286">
            <v>0</v>
          </cell>
          <cell r="AR286">
            <v>0</v>
          </cell>
        </row>
        <row r="287">
          <cell r="AC287">
            <v>-184</v>
          </cell>
          <cell r="AH287">
            <v>-184</v>
          </cell>
          <cell r="AI287">
            <v>-388</v>
          </cell>
          <cell r="AJ287">
            <v>-388</v>
          </cell>
          <cell r="AK287">
            <v>-488</v>
          </cell>
          <cell r="AL287">
            <v>-474</v>
          </cell>
          <cell r="AM287">
            <v>-422</v>
          </cell>
          <cell r="AN287">
            <v>-470</v>
          </cell>
          <cell r="AO287">
            <v>-550</v>
          </cell>
          <cell r="AP287">
            <v>-586</v>
          </cell>
          <cell r="AQ287">
            <v>-686</v>
          </cell>
          <cell r="AR287">
            <v>-724</v>
          </cell>
        </row>
        <row r="288">
          <cell r="AC288">
            <v>-85</v>
          </cell>
          <cell r="AH288">
            <v>-85</v>
          </cell>
          <cell r="AI288">
            <v>-113</v>
          </cell>
          <cell r="AJ288">
            <v>-113</v>
          </cell>
          <cell r="AK288">
            <v>-200</v>
          </cell>
          <cell r="AL288">
            <v>-269</v>
          </cell>
          <cell r="AM288">
            <v>-301</v>
          </cell>
          <cell r="AN288">
            <v>-229</v>
          </cell>
          <cell r="AO288">
            <v>-175</v>
          </cell>
          <cell r="AP288">
            <v>-135</v>
          </cell>
          <cell r="AQ288">
            <v>-97</v>
          </cell>
          <cell r="AR288">
            <v>-58</v>
          </cell>
        </row>
        <row r="289">
          <cell r="AC289">
            <v>0</v>
          </cell>
          <cell r="AH289">
            <v>0</v>
          </cell>
          <cell r="AI289">
            <v>0</v>
          </cell>
          <cell r="AJ289">
            <v>0</v>
          </cell>
          <cell r="AK289">
            <v>0</v>
          </cell>
          <cell r="AL289">
            <v>0</v>
          </cell>
          <cell r="AM289">
            <v>0</v>
          </cell>
          <cell r="AN289">
            <v>0</v>
          </cell>
          <cell r="AO289">
            <v>0</v>
          </cell>
          <cell r="AP289">
            <v>0</v>
          </cell>
          <cell r="AQ289">
            <v>0</v>
          </cell>
          <cell r="AR289">
            <v>0</v>
          </cell>
        </row>
        <row r="290">
          <cell r="AC290">
            <v>-85</v>
          </cell>
          <cell r="AH290">
            <v>-85</v>
          </cell>
          <cell r="AI290">
            <v>-113</v>
          </cell>
          <cell r="AJ290">
            <v>-113</v>
          </cell>
          <cell r="AK290">
            <v>-200</v>
          </cell>
          <cell r="AL290">
            <v>-269</v>
          </cell>
          <cell r="AM290">
            <v>-301</v>
          </cell>
          <cell r="AN290">
            <v>-229</v>
          </cell>
          <cell r="AO290">
            <v>-175</v>
          </cell>
          <cell r="AP290">
            <v>-135</v>
          </cell>
          <cell r="AQ290">
            <v>-97</v>
          </cell>
          <cell r="AR290">
            <v>-58</v>
          </cell>
        </row>
        <row r="291">
          <cell r="AC291">
            <v>0</v>
          </cell>
          <cell r="AH291">
            <v>0</v>
          </cell>
          <cell r="AI291">
            <v>0</v>
          </cell>
          <cell r="AJ291">
            <v>0</v>
          </cell>
          <cell r="AK291">
            <v>0</v>
          </cell>
          <cell r="AL291">
            <v>-32</v>
          </cell>
          <cell r="AM291">
            <v>-294</v>
          </cell>
          <cell r="AN291">
            <v>-383</v>
          </cell>
          <cell r="AO291">
            <v>-420</v>
          </cell>
          <cell r="AP291">
            <v>-1161</v>
          </cell>
          <cell r="AQ291">
            <v>-1752</v>
          </cell>
          <cell r="AR291">
            <v>-1996</v>
          </cell>
        </row>
        <row r="292">
          <cell r="AC292">
            <v>0</v>
          </cell>
          <cell r="AH292">
            <v>0</v>
          </cell>
          <cell r="AI292">
            <v>0</v>
          </cell>
          <cell r="AJ292">
            <v>0</v>
          </cell>
          <cell r="AK292">
            <v>0</v>
          </cell>
          <cell r="AL292">
            <v>0</v>
          </cell>
          <cell r="AM292">
            <v>0</v>
          </cell>
          <cell r="AN292">
            <v>0</v>
          </cell>
          <cell r="AO292">
            <v>0</v>
          </cell>
          <cell r="AP292">
            <v>0</v>
          </cell>
          <cell r="AQ292">
            <v>0</v>
          </cell>
          <cell r="AR292">
            <v>0</v>
          </cell>
        </row>
        <row r="293">
          <cell r="AC293">
            <v>0</v>
          </cell>
          <cell r="AH293">
            <v>0</v>
          </cell>
          <cell r="AI293">
            <v>0</v>
          </cell>
          <cell r="AJ293">
            <v>0</v>
          </cell>
          <cell r="AK293">
            <v>0</v>
          </cell>
          <cell r="AL293">
            <v>-32</v>
          </cell>
          <cell r="AM293">
            <v>-294</v>
          </cell>
          <cell r="AN293">
            <v>-383</v>
          </cell>
          <cell r="AO293">
            <v>-420</v>
          </cell>
          <cell r="AP293">
            <v>-1161</v>
          </cell>
          <cell r="AQ293">
            <v>-1752</v>
          </cell>
          <cell r="AR293">
            <v>-1996</v>
          </cell>
        </row>
        <row r="295">
          <cell r="AC295">
            <v>1700</v>
          </cell>
          <cell r="AH295">
            <v>1700</v>
          </cell>
          <cell r="AI295">
            <v>1500</v>
          </cell>
          <cell r="AJ295">
            <v>1500</v>
          </cell>
          <cell r="AK295">
            <v>1500</v>
          </cell>
          <cell r="AL295">
            <v>500</v>
          </cell>
          <cell r="AM295">
            <v>80</v>
          </cell>
          <cell r="AN295">
            <v>-407</v>
          </cell>
          <cell r="AO295">
            <v>-241</v>
          </cell>
          <cell r="AP295">
            <v>-420</v>
          </cell>
          <cell r="AQ295">
            <v>-826</v>
          </cell>
          <cell r="AR295">
            <v>-826</v>
          </cell>
        </row>
        <row r="297">
          <cell r="AC297">
            <v>1069</v>
          </cell>
          <cell r="AH297">
            <v>1069</v>
          </cell>
          <cell r="AI297">
            <v>500</v>
          </cell>
          <cell r="AJ297">
            <v>500</v>
          </cell>
          <cell r="AK297">
            <v>500</v>
          </cell>
          <cell r="AL297">
            <v>500</v>
          </cell>
          <cell r="AM297">
            <v>494</v>
          </cell>
          <cell r="AN297">
            <v>224</v>
          </cell>
          <cell r="AO297">
            <v>584</v>
          </cell>
          <cell r="AP297">
            <v>404</v>
          </cell>
          <cell r="AQ297">
            <v>0</v>
          </cell>
          <cell r="AR297">
            <v>0</v>
          </cell>
        </row>
        <row r="298">
          <cell r="AC298">
            <v>0</v>
          </cell>
          <cell r="AH298">
            <v>0</v>
          </cell>
          <cell r="AI298">
            <v>0</v>
          </cell>
          <cell r="AJ298">
            <v>0</v>
          </cell>
          <cell r="AK298">
            <v>0</v>
          </cell>
          <cell r="AL298">
            <v>0</v>
          </cell>
          <cell r="AM298">
            <v>0</v>
          </cell>
          <cell r="AN298">
            <v>0</v>
          </cell>
          <cell r="AO298">
            <v>0</v>
          </cell>
          <cell r="AP298">
            <v>0</v>
          </cell>
          <cell r="AQ298">
            <v>0</v>
          </cell>
          <cell r="AR298">
            <v>0</v>
          </cell>
        </row>
        <row r="299">
          <cell r="AC299">
            <v>1069</v>
          </cell>
          <cell r="AH299">
            <v>1069</v>
          </cell>
          <cell r="AI299">
            <v>500</v>
          </cell>
          <cell r="AJ299">
            <v>500</v>
          </cell>
          <cell r="AK299">
            <v>500</v>
          </cell>
          <cell r="AL299">
            <v>705</v>
          </cell>
          <cell r="AM299">
            <v>494</v>
          </cell>
          <cell r="AN299">
            <v>224</v>
          </cell>
          <cell r="AO299">
            <v>584</v>
          </cell>
          <cell r="AP299">
            <v>404</v>
          </cell>
          <cell r="AQ299">
            <v>0</v>
          </cell>
          <cell r="AR299">
            <v>0</v>
          </cell>
        </row>
        <row r="300">
          <cell r="AC300">
            <v>631</v>
          </cell>
          <cell r="AH300">
            <v>631</v>
          </cell>
          <cell r="AI300">
            <v>1000</v>
          </cell>
          <cell r="AJ300">
            <v>1000</v>
          </cell>
          <cell r="AK300">
            <v>1000</v>
          </cell>
          <cell r="AL300">
            <v>0</v>
          </cell>
          <cell r="AM300">
            <v>-414</v>
          </cell>
          <cell r="AN300">
            <v>-631</v>
          </cell>
          <cell r="AO300">
            <v>-825</v>
          </cell>
          <cell r="AP300">
            <v>-824</v>
          </cell>
          <cell r="AQ300">
            <v>-826</v>
          </cell>
          <cell r="AR300">
            <v>-826</v>
          </cell>
        </row>
        <row r="301">
          <cell r="AC301">
            <v>631</v>
          </cell>
          <cell r="AH301">
            <v>631</v>
          </cell>
          <cell r="AI301">
            <v>1000</v>
          </cell>
          <cell r="AJ301">
            <v>1000</v>
          </cell>
          <cell r="AK301">
            <v>1158</v>
          </cell>
          <cell r="AL301">
            <v>158</v>
          </cell>
          <cell r="AM301">
            <v>241</v>
          </cell>
          <cell r="AN301">
            <v>24</v>
          </cell>
          <cell r="AO301">
            <v>0</v>
          </cell>
          <cell r="AP301">
            <v>0</v>
          </cell>
          <cell r="AQ301">
            <v>0</v>
          </cell>
          <cell r="AR301">
            <v>0</v>
          </cell>
        </row>
        <row r="302">
          <cell r="AC302">
            <v>0</v>
          </cell>
          <cell r="AH302">
            <v>0</v>
          </cell>
          <cell r="AI302">
            <v>1</v>
          </cell>
          <cell r="AJ302">
            <v>1</v>
          </cell>
          <cell r="AK302">
            <v>-158</v>
          </cell>
          <cell r="AL302">
            <v>-158</v>
          </cell>
          <cell r="AM302">
            <v>-655</v>
          </cell>
          <cell r="AN302">
            <v>-655</v>
          </cell>
          <cell r="AO302">
            <v>-825</v>
          </cell>
          <cell r="AP302">
            <v>-824</v>
          </cell>
          <cell r="AQ302">
            <v>-826</v>
          </cell>
          <cell r="AR302">
            <v>-826</v>
          </cell>
        </row>
        <row r="303">
          <cell r="AC303">
            <v>0</v>
          </cell>
          <cell r="AH303">
            <v>0</v>
          </cell>
          <cell r="AI303">
            <v>0</v>
          </cell>
          <cell r="AJ303">
            <v>0</v>
          </cell>
          <cell r="AK303">
            <v>0</v>
          </cell>
          <cell r="AL303">
            <v>0</v>
          </cell>
          <cell r="AM303">
            <v>0</v>
          </cell>
          <cell r="AN303">
            <v>0</v>
          </cell>
          <cell r="AO303">
            <v>0</v>
          </cell>
          <cell r="AP303">
            <v>0</v>
          </cell>
          <cell r="AQ303">
            <v>0</v>
          </cell>
          <cell r="AR303">
            <v>0</v>
          </cell>
        </row>
        <row r="304">
          <cell r="AC304">
            <v>0</v>
          </cell>
          <cell r="AH304">
            <v>0</v>
          </cell>
          <cell r="AI304">
            <v>0</v>
          </cell>
          <cell r="AJ304">
            <v>0</v>
          </cell>
          <cell r="AK304">
            <v>0</v>
          </cell>
          <cell r="AL304">
            <v>0</v>
          </cell>
          <cell r="AM304">
            <v>0</v>
          </cell>
          <cell r="AN304">
            <v>0</v>
          </cell>
          <cell r="AO304">
            <v>0</v>
          </cell>
          <cell r="AP304">
            <v>0</v>
          </cell>
          <cell r="AQ304">
            <v>0</v>
          </cell>
          <cell r="AR304">
            <v>0</v>
          </cell>
        </row>
        <row r="305">
          <cell r="AC305">
            <v>0</v>
          </cell>
          <cell r="AH305">
            <v>0</v>
          </cell>
          <cell r="AI305">
            <v>0</v>
          </cell>
          <cell r="AJ305">
            <v>0</v>
          </cell>
          <cell r="AK305">
            <v>0</v>
          </cell>
          <cell r="AL305">
            <v>0</v>
          </cell>
          <cell r="AM305">
            <v>0</v>
          </cell>
          <cell r="AN305">
            <v>0</v>
          </cell>
          <cell r="AO305">
            <v>0</v>
          </cell>
          <cell r="AP305">
            <v>0</v>
          </cell>
          <cell r="AQ305">
            <v>0</v>
          </cell>
          <cell r="AR305">
            <v>0</v>
          </cell>
        </row>
        <row r="306">
          <cell r="AC306">
            <v>0</v>
          </cell>
          <cell r="AH306">
            <v>0</v>
          </cell>
          <cell r="AI306">
            <v>0</v>
          </cell>
          <cell r="AJ306">
            <v>0</v>
          </cell>
          <cell r="AK306">
            <v>0</v>
          </cell>
          <cell r="AL306">
            <v>0</v>
          </cell>
          <cell r="AM306">
            <v>0</v>
          </cell>
          <cell r="AN306">
            <v>0</v>
          </cell>
          <cell r="AO306">
            <v>0</v>
          </cell>
          <cell r="AP306">
            <v>0</v>
          </cell>
          <cell r="AQ306">
            <v>0</v>
          </cell>
          <cell r="AR306">
            <v>0</v>
          </cell>
        </row>
        <row r="314">
          <cell r="AC314">
            <v>556</v>
          </cell>
          <cell r="AH314">
            <v>556</v>
          </cell>
          <cell r="AI314">
            <v>-343.9079999999999</v>
          </cell>
          <cell r="AJ314">
            <v>-343.9079999999999</v>
          </cell>
          <cell r="AK314">
            <v>-660.10492333333332</v>
          </cell>
          <cell r="AL314">
            <v>-595.3588000000002</v>
          </cell>
          <cell r="AM314">
            <v>-84.669550000000299</v>
          </cell>
          <cell r="AN314">
            <v>-171.75</v>
          </cell>
          <cell r="AO314">
            <v>3695</v>
          </cell>
          <cell r="AP314">
            <v>3366</v>
          </cell>
          <cell r="AQ314">
            <v>3657</v>
          </cell>
          <cell r="AR314">
            <v>3844</v>
          </cell>
        </row>
      </sheetData>
      <sheetData sheetId="8" refreshError="1"/>
      <sheetData sheetId="9" refreshError="1"/>
      <sheetData sheetId="10" refreshError="1"/>
      <sheetData sheetId="11" refreshError="1"/>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s>
    <sheetDataSet>
      <sheetData sheetId="0"/>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67"/>
      <sheetName val="bcospreli"/>
      <sheetName val="pm0025"/>
      <sheetName val="bcosdef"/>
      <sheetName val="pm0028"/>
      <sheetName val="bccrdef"/>
      <sheetName val="diario"/>
      <sheetName val="bccrpreli"/>
      <sheetName val="Bancos"/>
      <sheetName val="Central"/>
      <sheetName val="Programa"/>
      <sheetName val="minor"/>
      <sheetName val="omas"/>
      <sheetName val="res99"/>
      <sheetName val="Crédito"/>
      <sheetName val="SEMANAL"/>
      <sheetName val="paradoc"/>
      <sheetName val="Metas"/>
      <sheetName val="encaje"/>
      <sheetName val="origen y aplicacion"/>
      <sheetName val="PROGvrsOBS"/>
      <sheetName val="RFPROMEDIOPIB"/>
      <sheetName val="resctasmonet"/>
      <sheetName val="balanzaresumen1"/>
      <sheetName val="riqueza"/>
      <sheetName val="comparativofmi"/>
      <sheetName val="evaluacionmetas"/>
      <sheetName val="absorcion"/>
      <sheetName val="deficit"/>
      <sheetName val="base FMI"/>
      <sheetName val="FMI"/>
      <sheetName val="Módulo1"/>
      <sheetName val="flujo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8">
          <cell r="AN18">
            <v>0.1512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ssumptions"/>
      <sheetName val="real"/>
      <sheetName val="external"/>
      <sheetName val="fiscal"/>
      <sheetName val="monetary"/>
      <sheetName val="sei"/>
      <sheetName val="Module1"/>
    </sheetNames>
    <sheetDataSet>
      <sheetData sheetId="0" refreshError="1">
        <row r="114">
          <cell r="A114" t="str">
            <v>Macros:</v>
          </cell>
        </row>
      </sheetData>
      <sheetData sheetId="1" refreshError="1">
        <row r="4">
          <cell r="A4">
            <v>35090.606377314813</v>
          </cell>
          <cell r="B4">
            <v>1994</v>
          </cell>
          <cell r="C4">
            <v>1995</v>
          </cell>
          <cell r="D4">
            <v>1996</v>
          </cell>
          <cell r="E4">
            <v>1997</v>
          </cell>
          <cell r="F4">
            <v>1998</v>
          </cell>
          <cell r="G4">
            <v>1999</v>
          </cell>
          <cell r="H4">
            <v>2000</v>
          </cell>
          <cell r="I4">
            <v>2001</v>
          </cell>
          <cell r="J4">
            <v>2002</v>
          </cell>
          <cell r="K4">
            <v>2003</v>
          </cell>
          <cell r="L4">
            <v>2004</v>
          </cell>
          <cell r="M4">
            <v>2005</v>
          </cell>
        </row>
        <row r="5">
          <cell r="A5">
            <v>35090.606377314813</v>
          </cell>
        </row>
        <row r="7">
          <cell r="A7" t="str">
            <v>Basic assumptions:</v>
          </cell>
        </row>
        <row r="8">
          <cell r="A8" t="str">
            <v>-----------------</v>
          </cell>
        </row>
        <row r="9">
          <cell r="A9" t="str">
            <v>Nominal GDP (mill. pesos)</v>
          </cell>
          <cell r="B9">
            <v>1420159.4834999999</v>
          </cell>
          <cell r="C9">
            <v>1840430.825</v>
          </cell>
          <cell r="D9">
            <v>2508147.0345000001</v>
          </cell>
          <cell r="E9">
            <v>3179533.8916726043</v>
          </cell>
          <cell r="F9">
            <v>3791191.18</v>
          </cell>
          <cell r="G9">
            <v>4560632</v>
          </cell>
          <cell r="H9">
            <v>5298216.0129172718</v>
          </cell>
          <cell r="I9">
            <v>6069009.4274571668</v>
          </cell>
          <cell r="J9">
            <v>6838413.8263520375</v>
          </cell>
          <cell r="K9">
            <v>7618693.0465959264</v>
          </cell>
          <cell r="L9">
            <v>8409563.7742662001</v>
          </cell>
          <cell r="M9">
            <v>9260372.3486374617</v>
          </cell>
        </row>
        <row r="10">
          <cell r="A10" t="str">
            <v>Real GDP (% change)</v>
          </cell>
          <cell r="B10">
            <v>4.4153269913708826</v>
          </cell>
          <cell r="C10">
            <v>-6.1794276647163748</v>
          </cell>
          <cell r="D10">
            <v>5.1398275733348653</v>
          </cell>
          <cell r="E10">
            <v>6.7621327334587589</v>
          </cell>
          <cell r="F10">
            <v>4.8209265157837855</v>
          </cell>
          <cell r="G10">
            <v>3.02191066916222</v>
          </cell>
          <cell r="H10">
            <v>5.0199999999999996</v>
          </cell>
          <cell r="I10">
            <v>5.33</v>
          </cell>
          <cell r="J10">
            <v>5.5</v>
          </cell>
          <cell r="K10">
            <v>6</v>
          </cell>
          <cell r="L10">
            <v>6</v>
          </cell>
          <cell r="M10">
            <v>6</v>
          </cell>
        </row>
        <row r="11">
          <cell r="A11" t="str">
            <v>Inflation (average)</v>
          </cell>
          <cell r="B11">
            <v>6.97</v>
          </cell>
          <cell r="C11">
            <v>35</v>
          </cell>
          <cell r="D11">
            <v>34.38153509877997</v>
          </cell>
          <cell r="E11">
            <v>20.62</v>
          </cell>
          <cell r="F11">
            <v>15.931387068849446</v>
          </cell>
          <cell r="G11">
            <v>17.064493012564451</v>
          </cell>
          <cell r="H11">
            <v>11.156597940176095</v>
          </cell>
          <cell r="I11">
            <v>8.7477985299653227</v>
          </cell>
          <cell r="J11">
            <v>7.0007725848605782</v>
          </cell>
          <cell r="K11">
            <v>5.2505794386454339</v>
          </cell>
          <cell r="L11">
            <v>4.2502483308480432</v>
          </cell>
          <cell r="M11">
            <v>4</v>
          </cell>
        </row>
        <row r="12">
          <cell r="A12" t="str">
            <v>Inflation (eop)</v>
          </cell>
          <cell r="B12">
            <v>7.0519931574309247</v>
          </cell>
          <cell r="C12">
            <v>51.96</v>
          </cell>
          <cell r="D12">
            <v>27.71</v>
          </cell>
          <cell r="E12">
            <v>15.7</v>
          </cell>
          <cell r="F12">
            <v>18.605333217750662</v>
          </cell>
          <cell r="G12">
            <v>13</v>
          </cell>
          <cell r="H12">
            <v>9.9999931934325872</v>
          </cell>
          <cell r="I12">
            <v>8.0008829541263751</v>
          </cell>
          <cell r="J12">
            <v>6.0006622155947813</v>
          </cell>
          <cell r="K12">
            <v>4.5004966616960864</v>
          </cell>
          <cell r="L12">
            <v>4</v>
          </cell>
          <cell r="M12">
            <v>4</v>
          </cell>
        </row>
        <row r="13">
          <cell r="A13" t="str">
            <v>REER (average)</v>
          </cell>
          <cell r="B13">
            <v>122.64395904541016</v>
          </cell>
          <cell r="C13">
            <v>81.943653106689453</v>
          </cell>
          <cell r="D13">
            <v>92.615233739217118</v>
          </cell>
          <cell r="E13">
            <v>109.19180043538411</v>
          </cell>
          <cell r="F13">
            <v>110.88992779422269</v>
          </cell>
          <cell r="G13">
            <v>106.37023887580715</v>
          </cell>
          <cell r="H13">
            <v>106.37023887580715</v>
          </cell>
          <cell r="I13">
            <v>106.37023887580715</v>
          </cell>
          <cell r="J13">
            <v>106.37023887580715</v>
          </cell>
          <cell r="K13">
            <v>106.37023887580715</v>
          </cell>
          <cell r="L13">
            <v>106.37023887580715</v>
          </cell>
          <cell r="M13">
            <v>106.37023887580715</v>
          </cell>
        </row>
        <row r="14">
          <cell r="A14" t="str">
            <v xml:space="preserve">  (percent change)</v>
          </cell>
          <cell r="B14">
            <v>-3.8211794989551171</v>
          </cell>
          <cell r="C14">
            <v>-33.185740460034403</v>
          </cell>
          <cell r="D14">
            <v>13.023071620487093</v>
          </cell>
          <cell r="E14">
            <v>17.899999999999999</v>
          </cell>
          <cell r="F14">
            <v>1.5551784585175588</v>
          </cell>
          <cell r="G14">
            <v>-4.0758335840949229</v>
          </cell>
          <cell r="H14">
            <v>0</v>
          </cell>
          <cell r="I14">
            <v>0</v>
          </cell>
          <cell r="J14">
            <v>0</v>
          </cell>
          <cell r="K14">
            <v>0</v>
          </cell>
          <cell r="L14">
            <v>0</v>
          </cell>
          <cell r="M14">
            <v>0</v>
          </cell>
        </row>
        <row r="15">
          <cell r="A15" t="str">
            <v xml:space="preserve">Average exchange rate  </v>
          </cell>
          <cell r="B15">
            <v>3.3751000000000002</v>
          </cell>
          <cell r="C15">
            <v>6.4922250000000004</v>
          </cell>
          <cell r="D15">
            <v>7.6016074694930671</v>
          </cell>
          <cell r="E15">
            <v>7.9184583333333336</v>
          </cell>
          <cell r="F15">
            <v>9.1356583333333337</v>
          </cell>
          <cell r="G15">
            <v>10.467000000000001</v>
          </cell>
          <cell r="H15">
            <v>11.365104658106446</v>
          </cell>
          <cell r="I15">
            <v>12.081428266194823</v>
          </cell>
          <cell r="J15">
            <v>12.624239828236512</v>
          </cell>
          <cell r="K15">
            <v>12.975669500921081</v>
          </cell>
          <cell r="L15">
            <v>13.21012468486361</v>
          </cell>
          <cell r="M15">
            <v>13.416532883064605</v>
          </cell>
        </row>
        <row r="16">
          <cell r="A16" t="str">
            <v xml:space="preserve">  (percent change)</v>
          </cell>
          <cell r="B16">
            <v>-7.6886610767088399</v>
          </cell>
          <cell r="C16">
            <v>-48.013200405099951</v>
          </cell>
          <cell r="D16">
            <v>-14.594050981259739</v>
          </cell>
          <cell r="E16">
            <v>-4.0014211163612421</v>
          </cell>
          <cell r="F16">
            <v>-13.323615612449021</v>
          </cell>
          <cell r="G16">
            <v>-12.719419763701795</v>
          </cell>
          <cell r="H16">
            <v>-7.9022999358466102</v>
          </cell>
          <cell r="I16">
            <v>-5.9291301682660311</v>
          </cell>
          <cell r="J16">
            <v>-4.2997564164424933</v>
          </cell>
          <cell r="K16">
            <v>-2.7083741047783518</v>
          </cell>
          <cell r="L16">
            <v>-1.774814315047095</v>
          </cell>
          <cell r="M16">
            <v>-1.5384615384615457</v>
          </cell>
        </row>
        <row r="17">
          <cell r="A17" t="str">
            <v>End period exchange rate</v>
          </cell>
          <cell r="B17">
            <v>5.3250000000000002</v>
          </cell>
          <cell r="C17">
            <v>7.6425000000000001</v>
          </cell>
          <cell r="D17">
            <v>7.851</v>
          </cell>
          <cell r="E17">
            <v>8.0680999999999994</v>
          </cell>
          <cell r="F17">
            <v>9.8650000000000002</v>
          </cell>
          <cell r="G17">
            <v>10.946</v>
          </cell>
          <cell r="H17">
            <v>11.65991841660686</v>
          </cell>
          <cell r="I17">
            <v>12.352834047215667</v>
          </cell>
          <cell r="J17">
            <v>12.799954664578795</v>
          </cell>
          <cell r="K17">
            <v>13.092897092892345</v>
          </cell>
          <cell r="L17">
            <v>13.313328783964106</v>
          </cell>
          <cell r="M17">
            <v>13.519736982165103</v>
          </cell>
        </row>
        <row r="18">
          <cell r="A18" t="str">
            <v xml:space="preserve">  (percent change)</v>
          </cell>
          <cell r="B18">
            <v>-41.673239436619717</v>
          </cell>
          <cell r="C18">
            <v>-30.323846908734055</v>
          </cell>
          <cell r="D18">
            <v>-2.6557126480703084</v>
          </cell>
          <cell r="E18">
            <v>-2.6908441888424712</v>
          </cell>
          <cell r="F18">
            <v>-18.214901165737462</v>
          </cell>
          <cell r="G18">
            <v>-9.8757536999817255</v>
          </cell>
          <cell r="H18">
            <v>-6.1228422969928227</v>
          </cell>
          <cell r="I18">
            <v>-5.6093656561749938</v>
          </cell>
          <cell r="J18">
            <v>-3.4931421952644941</v>
          </cell>
          <cell r="K18">
            <v>-2.2374148840792292</v>
          </cell>
          <cell r="L18">
            <v>-1.6557218307210364</v>
          </cell>
          <cell r="M18">
            <v>-1.5267175572519285</v>
          </cell>
        </row>
        <row r="19">
          <cell r="A19" t="str">
            <v>Interest rates:   28-day CETES</v>
          </cell>
          <cell r="B19">
            <v>14.5</v>
          </cell>
          <cell r="C19">
            <v>48.4</v>
          </cell>
          <cell r="D19">
            <v>31.39</v>
          </cell>
          <cell r="E19">
            <v>19.8</v>
          </cell>
          <cell r="F19">
            <v>24.761666666666667</v>
          </cell>
          <cell r="G19">
            <v>19.29</v>
          </cell>
          <cell r="H19">
            <v>16.302833362624959</v>
          </cell>
          <cell r="I19">
            <v>14.492941977402909</v>
          </cell>
          <cell r="J19">
            <v>12.733768983052194</v>
          </cell>
          <cell r="K19">
            <v>11.956883135593785</v>
          </cell>
          <cell r="L19">
            <v>11.7125</v>
          </cell>
          <cell r="M19">
            <v>11.7125</v>
          </cell>
        </row>
        <row r="20">
          <cell r="A20" t="str">
            <v>Effective interest rate</v>
          </cell>
          <cell r="B20">
            <v>16.829053793811791</v>
          </cell>
          <cell r="C20">
            <v>100.75652276969571</v>
          </cell>
          <cell r="D20">
            <v>25.587862319822044</v>
          </cell>
          <cell r="E20">
            <v>12.668208699434416</v>
          </cell>
          <cell r="F20">
            <v>23.171679041059139</v>
          </cell>
          <cell r="G20">
            <v>17.700012374392472</v>
          </cell>
          <cell r="H20">
            <v>14.959064398969426</v>
          </cell>
          <cell r="I20">
            <v>13.298354190844147</v>
          </cell>
          <cell r="J20">
            <v>11.684181885571741</v>
          </cell>
          <cell r="K20">
            <v>10.971331231683497</v>
          </cell>
          <cell r="L20">
            <v>10.74709149481969</v>
          </cell>
          <cell r="M20">
            <v>10.74709149481969</v>
          </cell>
        </row>
        <row r="21">
          <cell r="A21" t="str">
            <v xml:space="preserve">Real interest rate </v>
          </cell>
          <cell r="B21">
            <v>5.5</v>
          </cell>
          <cell r="C21">
            <v>4.5999999999999996</v>
          </cell>
          <cell r="D21">
            <v>7.2</v>
          </cell>
          <cell r="E21">
            <v>6.3</v>
          </cell>
          <cell r="F21">
            <v>7.5</v>
          </cell>
          <cell r="G21">
            <v>7.2</v>
          </cell>
          <cell r="H21">
            <v>6.490344493230598</v>
          </cell>
          <cell r="I21">
            <v>6.490344493230598</v>
          </cell>
          <cell r="J21">
            <v>6.4403444932305982</v>
          </cell>
          <cell r="K21">
            <v>6.6403444932305984</v>
          </cell>
          <cell r="L21">
            <v>6.6403444932305984</v>
          </cell>
          <cell r="M21">
            <v>6.6403444932305984</v>
          </cell>
        </row>
        <row r="22">
          <cell r="A22" t="str">
            <v>GDP deflator</v>
          </cell>
          <cell r="B22">
            <v>8.2718280898193886</v>
          </cell>
          <cell r="C22">
            <v>38.128820185944875</v>
          </cell>
          <cell r="D22">
            <v>29.618273806469109</v>
          </cell>
          <cell r="E22">
            <v>18.738955775973775</v>
          </cell>
          <cell r="F22">
            <v>13.753359749449402</v>
          </cell>
          <cell r="G22">
            <v>16.766898457626954</v>
          </cell>
          <cell r="H22">
            <v>10.619735767276033</v>
          </cell>
          <cell r="I22">
            <v>8.7517031287820259</v>
          </cell>
          <cell r="J22">
            <v>6.8034070077222335</v>
          </cell>
          <cell r="K22">
            <v>5.1039971093365404</v>
          </cell>
          <cell r="L22">
            <v>4.1326994265055177</v>
          </cell>
          <cell r="M22">
            <v>3.88410818212227</v>
          </cell>
        </row>
        <row r="23">
          <cell r="A23" t="str">
            <v>Non-oil export unit value</v>
          </cell>
          <cell r="B23">
            <v>107.86160302896374</v>
          </cell>
          <cell r="C23">
            <v>110.66600470771681</v>
          </cell>
          <cell r="D23">
            <v>106.90972438223312</v>
          </cell>
          <cell r="E23">
            <v>102.74024513132602</v>
          </cell>
          <cell r="F23">
            <v>103.97312807290193</v>
          </cell>
          <cell r="G23">
            <v>106.05259063435997</v>
          </cell>
          <cell r="H23">
            <v>108.49180021895025</v>
          </cell>
          <cell r="I23">
            <v>110.01068542201556</v>
          </cell>
          <cell r="J23">
            <v>111.33081364707974</v>
          </cell>
          <cell r="K23">
            <v>112.6667834108447</v>
          </cell>
          <cell r="L23">
            <v>114.01878481177484</v>
          </cell>
          <cell r="M23">
            <v>115.38701022951614</v>
          </cell>
        </row>
        <row r="24">
          <cell r="A24" t="str">
            <v>Export unit value (1980=100)</v>
          </cell>
          <cell r="B24">
            <v>68.059216532588053</v>
          </cell>
          <cell r="C24">
            <v>68.00056488899925</v>
          </cell>
          <cell r="D24">
            <v>68.791908813222463</v>
          </cell>
          <cell r="E24">
            <v>65.137718996170122</v>
          </cell>
          <cell r="F24">
            <v>63.482468205529123</v>
          </cell>
          <cell r="G24">
            <v>64.197139154404951</v>
          </cell>
          <cell r="H24">
            <v>65.973536208449403</v>
          </cell>
          <cell r="I24">
            <v>67.045220860340223</v>
          </cell>
          <cell r="J24">
            <v>67.839966168169539</v>
          </cell>
          <cell r="K24">
            <v>68.645078495057064</v>
          </cell>
          <cell r="L24">
            <v>69.460570767291458</v>
          </cell>
          <cell r="M24">
            <v>70.297899898830565</v>
          </cell>
        </row>
        <row r="25">
          <cell r="A25" t="str">
            <v xml:space="preserve">     Percent change, US$</v>
          </cell>
          <cell r="B25">
            <v>4.0986491072851043</v>
          </cell>
          <cell r="C25">
            <v>-8.6177371084957169E-2</v>
          </cell>
          <cell r="D25">
            <v>1.1637313976949508</v>
          </cell>
          <cell r="E25">
            <v>-5.3119471171731334</v>
          </cell>
          <cell r="F25">
            <v>-2.5411555948686533</v>
          </cell>
          <cell r="G25">
            <v>1.1257768783690456</v>
          </cell>
          <cell r="H25">
            <v>2.7670969103029921</v>
          </cell>
          <cell r="I25">
            <v>1.6244159605220108</v>
          </cell>
          <cell r="J25">
            <v>1.1853869636507355</v>
          </cell>
          <cell r="K25">
            <v>1.1867817340765163</v>
          </cell>
          <cell r="L25">
            <v>1.1879835963668033</v>
          </cell>
          <cell r="M25">
            <v>1.2054740153868706</v>
          </cell>
        </row>
        <row r="26">
          <cell r="A26" t="str">
            <v xml:space="preserve">     Percent change, pesos</v>
          </cell>
          <cell r="B26">
            <v>12.769081590062248</v>
          </cell>
          <cell r="C26">
            <v>92.190754975262365</v>
          </cell>
          <cell r="D26">
            <v>18.450450536527651</v>
          </cell>
          <cell r="E26">
            <v>-1.3651514595860781</v>
          </cell>
          <cell r="F26">
            <v>12.439905164213361</v>
          </cell>
          <cell r="G26">
            <v>16.258179615797495</v>
          </cell>
          <cell r="H26">
            <v>11.205439606642953</v>
          </cell>
          <cell r="I26">
            <v>8.0296335542545449</v>
          </cell>
          <cell r="J26">
            <v>5.7315876895381646</v>
          </cell>
          <cell r="K26">
            <v>4.0035879789384499</v>
          </cell>
          <cell r="L26">
            <v>3.0163322072169541</v>
          </cell>
          <cell r="M26">
            <v>2.7868095468772891</v>
          </cell>
        </row>
        <row r="27">
          <cell r="A27" t="str">
            <v>Import unit value (1980=100)</v>
          </cell>
          <cell r="B27">
            <v>139.0234350322273</v>
          </cell>
          <cell r="C27">
            <v>138.75237353927142</v>
          </cell>
          <cell r="D27">
            <v>134.17354521247546</v>
          </cell>
          <cell r="E27">
            <v>128.94077694918892</v>
          </cell>
          <cell r="F27">
            <v>127.00666529495108</v>
          </cell>
          <cell r="G27">
            <v>127.76870528672079</v>
          </cell>
          <cell r="H27">
            <v>129.17416104487469</v>
          </cell>
          <cell r="I27">
            <v>129.69085768905418</v>
          </cell>
          <cell r="J27">
            <v>130.85807540825564</v>
          </cell>
          <cell r="K27">
            <v>132.03579808692993</v>
          </cell>
          <cell r="L27">
            <v>133.22412026971227</v>
          </cell>
          <cell r="M27">
            <v>134.82280971294881</v>
          </cell>
        </row>
        <row r="28">
          <cell r="A28" t="str">
            <v xml:space="preserve">     Percent change, US$</v>
          </cell>
          <cell r="B28">
            <v>0</v>
          </cell>
          <cell r="C28">
            <v>-0.194975395977696</v>
          </cell>
          <cell r="D28">
            <v>-3.3000000000000003</v>
          </cell>
          <cell r="E28">
            <v>-3.9000000000000012</v>
          </cell>
          <cell r="F28">
            <v>-1.500000000000004</v>
          </cell>
          <cell r="G28">
            <v>0.60000000000000386</v>
          </cell>
          <cell r="H28">
            <v>1.0999999999999821</v>
          </cell>
          <cell r="I28">
            <v>0.39999999999999308</v>
          </cell>
          <cell r="J28">
            <v>0.89999999999997882</v>
          </cell>
          <cell r="K28">
            <v>0.89999999999998848</v>
          </cell>
          <cell r="L28">
            <v>0.89999999999998037</v>
          </cell>
          <cell r="M28">
            <v>1.1999999999999926</v>
          </cell>
        </row>
        <row r="29">
          <cell r="A29" t="str">
            <v xml:space="preserve">     Percent change, pesos</v>
          </cell>
          <cell r="B29">
            <v>8.3290537938117915</v>
          </cell>
          <cell r="C29">
            <v>91.981474877736602</v>
          </cell>
          <cell r="D29">
            <v>13.223962863267925</v>
          </cell>
          <cell r="E29">
            <v>0.10564856015646829</v>
          </cell>
          <cell r="F29">
            <v>13.641103855443259</v>
          </cell>
          <cell r="G29">
            <v>15.653725789580818</v>
          </cell>
          <cell r="H29">
            <v>9.4014551568444737</v>
          </cell>
          <cell r="I29">
            <v>6.7280446960754636</v>
          </cell>
          <cell r="J29">
            <v>5.4333784551995334</v>
          </cell>
          <cell r="K29">
            <v>3.7088229038996445</v>
          </cell>
          <cell r="L29">
            <v>2.7231450838141269</v>
          </cell>
          <cell r="M29">
            <v>2.7812500000000018</v>
          </cell>
        </row>
        <row r="30">
          <cell r="A30" t="str">
            <v>Terms of trade</v>
          </cell>
          <cell r="B30">
            <v>48.955211412242193</v>
          </cell>
          <cell r="C30">
            <v>49.008577766601512</v>
          </cell>
          <cell r="D30">
            <v>51.270843819684799</v>
          </cell>
          <cell r="E30">
            <v>50.517548084760364</v>
          </cell>
          <cell r="F30">
            <v>49.983572167729967</v>
          </cell>
          <cell r="G30">
            <v>50.244806825225815</v>
          </cell>
          <cell r="H30">
            <v>51.073322771982554</v>
          </cell>
          <cell r="I30">
            <v>51.69618125364498</v>
          </cell>
          <cell r="J30">
            <v>51.842399451864182</v>
          </cell>
          <cell r="K30">
            <v>51.989747848430021</v>
          </cell>
          <cell r="L30">
            <v>52.138134315819471</v>
          </cell>
          <cell r="M30">
            <v>52.140954522830221</v>
          </cell>
        </row>
        <row r="31">
          <cell r="A31" t="str">
            <v>US$ Libor (3-months, in percent)</v>
          </cell>
          <cell r="B31">
            <v>5.0750000000000002</v>
          </cell>
          <cell r="C31">
            <v>6.1</v>
          </cell>
          <cell r="D31">
            <v>5.59</v>
          </cell>
          <cell r="E31">
            <v>5.86</v>
          </cell>
          <cell r="F31">
            <v>5.54</v>
          </cell>
          <cell r="G31">
            <v>5.39</v>
          </cell>
          <cell r="H31">
            <v>5</v>
          </cell>
          <cell r="I31">
            <v>5.25</v>
          </cell>
          <cell r="J31">
            <v>5.45</v>
          </cell>
          <cell r="K31">
            <v>5.65</v>
          </cell>
          <cell r="L31">
            <v>5.65</v>
          </cell>
          <cell r="M31">
            <v>5.65</v>
          </cell>
        </row>
        <row r="32">
          <cell r="A32" t="str">
            <v>Oil export price (US$/bbl)</v>
          </cell>
          <cell r="B32">
            <v>13.885401054385765</v>
          </cell>
          <cell r="C32">
            <v>15.564832490717238</v>
          </cell>
          <cell r="D32">
            <v>18.95</v>
          </cell>
          <cell r="E32">
            <v>16.46</v>
          </cell>
          <cell r="F32">
            <v>10.199999999999999</v>
          </cell>
          <cell r="G32">
            <v>9.25</v>
          </cell>
          <cell r="H32">
            <v>9.9994999999999994</v>
          </cell>
          <cell r="I32">
            <v>10.419478999999999</v>
          </cell>
          <cell r="J32">
            <v>10.523673789999998</v>
          </cell>
          <cell r="K32">
            <v>10.628910527899999</v>
          </cell>
          <cell r="L32">
            <v>10.735199633178999</v>
          </cell>
          <cell r="M32">
            <v>10.874757228410324</v>
          </cell>
        </row>
        <row r="33">
          <cell r="A33" t="str">
            <v xml:space="preserve">  (Percent change)</v>
          </cell>
          <cell r="B33">
            <v>4.4846829220780204</v>
          </cell>
          <cell r="C33">
            <v>12.09494367324031</v>
          </cell>
          <cell r="D33">
            <v>21.748820691142367</v>
          </cell>
          <cell r="E33">
            <v>-13.139841688654341</v>
          </cell>
          <cell r="F33">
            <v>-38.031591737545568</v>
          </cell>
          <cell r="G33">
            <v>-9.3137254901960667</v>
          </cell>
          <cell r="H33">
            <v>8.1027027027027021</v>
          </cell>
          <cell r="I33">
            <v>4.2000000000000037</v>
          </cell>
          <cell r="J33">
            <v>1.0000000000000009</v>
          </cell>
          <cell r="K33">
            <v>1.0000000000000009</v>
          </cell>
          <cell r="L33">
            <v>1.0000000000000009</v>
          </cell>
          <cell r="M33">
            <v>1.2999999999999901</v>
          </cell>
        </row>
        <row r="34">
          <cell r="A34" t="str">
            <v>-</v>
          </cell>
          <cell r="B34" t="str">
            <v>-</v>
          </cell>
          <cell r="C34" t="str">
            <v>-</v>
          </cell>
          <cell r="D34" t="str">
            <v>-</v>
          </cell>
          <cell r="E34" t="str">
            <v>-</v>
          </cell>
          <cell r="F34" t="str">
            <v>-</v>
          </cell>
          <cell r="G34" t="str">
            <v>-</v>
          </cell>
          <cell r="H34" t="str">
            <v>-</v>
          </cell>
          <cell r="I34" t="str">
            <v>-</v>
          </cell>
          <cell r="J34" t="str">
            <v>-</v>
          </cell>
          <cell r="K34" t="str">
            <v>-</v>
          </cell>
          <cell r="L34" t="str">
            <v>-</v>
          </cell>
          <cell r="M34" t="str">
            <v>-</v>
          </cell>
        </row>
      </sheetData>
      <sheetData sheetId="2" refreshError="1"/>
      <sheetData sheetId="3" refreshError="1"/>
      <sheetData sheetId="4" refreshError="1">
        <row r="6">
          <cell r="B6">
            <v>1420.1594834999999</v>
          </cell>
          <cell r="C6">
            <v>1840.4308249999999</v>
          </cell>
          <cell r="D6">
            <v>2508.1470345000002</v>
          </cell>
          <cell r="E6">
            <v>3179.5338916726041</v>
          </cell>
          <cell r="F6">
            <v>3791.1911800000003</v>
          </cell>
          <cell r="G6">
            <v>4560.6319999999996</v>
          </cell>
          <cell r="H6">
            <v>5298.2160129172717</v>
          </cell>
          <cell r="I6">
            <v>6069.0094274571666</v>
          </cell>
          <cell r="J6">
            <v>6838.4138263520372</v>
          </cell>
          <cell r="K6">
            <v>7618.6930465959267</v>
          </cell>
        </row>
        <row r="7">
          <cell r="B7">
            <v>8.2718280898193886</v>
          </cell>
          <cell r="C7">
            <v>38.128820185944875</v>
          </cell>
          <cell r="D7">
            <v>29.618273806469109</v>
          </cell>
          <cell r="E7">
            <v>18.738955775973775</v>
          </cell>
          <cell r="F7">
            <v>13.753359749449402</v>
          </cell>
          <cell r="G7">
            <v>16.766898457626954</v>
          </cell>
          <cell r="H7">
            <v>10.619735767276033</v>
          </cell>
          <cell r="I7">
            <v>8.7517031287820259</v>
          </cell>
          <cell r="J7">
            <v>6.8034070077222335</v>
          </cell>
          <cell r="K7">
            <v>5.1039971093365404</v>
          </cell>
        </row>
        <row r="8">
          <cell r="B8">
            <v>3.3751000000000002</v>
          </cell>
          <cell r="C8">
            <v>6.4922250000000004</v>
          </cell>
          <cell r="D8">
            <v>7.6016074694930671</v>
          </cell>
          <cell r="E8">
            <v>7.9184583333333336</v>
          </cell>
          <cell r="F8">
            <v>9.1356583333333337</v>
          </cell>
          <cell r="G8">
            <v>10.467000000000001</v>
          </cell>
          <cell r="H8">
            <v>11.365104658106446</v>
          </cell>
          <cell r="I8">
            <v>12.081428266194823</v>
          </cell>
          <cell r="J8">
            <v>12.624239828236512</v>
          </cell>
          <cell r="K8">
            <v>12.975669500921081</v>
          </cell>
        </row>
        <row r="9">
          <cell r="B9">
            <v>5.3250000000000002</v>
          </cell>
          <cell r="C9">
            <v>7.6425000000000001</v>
          </cell>
          <cell r="D9">
            <v>7.851</v>
          </cell>
          <cell r="E9">
            <v>8.0680999999999994</v>
          </cell>
          <cell r="F9">
            <v>9.8650000000000002</v>
          </cell>
          <cell r="G9">
            <v>10.946</v>
          </cell>
          <cell r="H9">
            <v>11.65991841660686</v>
          </cell>
          <cell r="I9">
            <v>12.352834047215667</v>
          </cell>
          <cell r="J9">
            <v>12.799954664578795</v>
          </cell>
          <cell r="K9">
            <v>13.092897092892345</v>
          </cell>
        </row>
        <row r="10">
          <cell r="B10">
            <v>6.97</v>
          </cell>
          <cell r="C10">
            <v>35</v>
          </cell>
          <cell r="D10">
            <v>34.38153509877997</v>
          </cell>
          <cell r="E10">
            <v>20.62</v>
          </cell>
          <cell r="F10">
            <v>15.931387068849446</v>
          </cell>
          <cell r="G10">
            <v>17.064493012564451</v>
          </cell>
          <cell r="H10">
            <v>11.156597940176095</v>
          </cell>
          <cell r="I10">
            <v>8.7477985299653227</v>
          </cell>
          <cell r="J10">
            <v>7.0007725848605782</v>
          </cell>
          <cell r="K10">
            <v>5.2505794386454339</v>
          </cell>
        </row>
        <row r="11">
          <cell r="B11">
            <v>7.0519931574309247</v>
          </cell>
          <cell r="C11">
            <v>51.96</v>
          </cell>
          <cell r="D11">
            <v>27.71</v>
          </cell>
          <cell r="E11">
            <v>15.7</v>
          </cell>
          <cell r="F11">
            <v>18.605333217750662</v>
          </cell>
          <cell r="G11">
            <v>13.113343389060027</v>
          </cell>
          <cell r="H11">
            <v>9.9999931934325872</v>
          </cell>
          <cell r="I11">
            <v>8.0008829541263751</v>
          </cell>
          <cell r="J11">
            <v>6.0006622155947813</v>
          </cell>
          <cell r="K11">
            <v>4.5004966616960864</v>
          </cell>
        </row>
        <row r="12">
          <cell r="B12">
            <v>14.5</v>
          </cell>
          <cell r="C12">
            <v>48.4</v>
          </cell>
          <cell r="D12">
            <v>31.39</v>
          </cell>
          <cell r="E12">
            <v>19.8</v>
          </cell>
          <cell r="F12">
            <v>24.761666666666667</v>
          </cell>
          <cell r="G12">
            <v>19.29</v>
          </cell>
          <cell r="H12">
            <v>16.302833362624959</v>
          </cell>
          <cell r="I12">
            <v>14.492941977402909</v>
          </cell>
          <cell r="J12">
            <v>12.733768983052194</v>
          </cell>
          <cell r="K12">
            <v>11.956883135593785</v>
          </cell>
        </row>
        <row r="13">
          <cell r="B13">
            <v>13.885401054385765</v>
          </cell>
          <cell r="C13">
            <v>15.564832490717238</v>
          </cell>
          <cell r="D13">
            <v>18.95</v>
          </cell>
          <cell r="E13">
            <v>16.46</v>
          </cell>
          <cell r="F13">
            <v>10.199999999999999</v>
          </cell>
          <cell r="G13">
            <v>9.25</v>
          </cell>
          <cell r="H13">
            <v>9.9994999999999994</v>
          </cell>
          <cell r="I13">
            <v>10.419478999999999</v>
          </cell>
          <cell r="J13">
            <v>10.523673789999998</v>
          </cell>
          <cell r="K13">
            <v>10.628910527899999</v>
          </cell>
        </row>
        <row r="16">
          <cell r="B16">
            <v>323.71728300000001</v>
          </cell>
          <cell r="C16">
            <v>418.88258400000001</v>
          </cell>
          <cell r="D16">
            <v>580.6857</v>
          </cell>
          <cell r="E16">
            <v>726.31100000000004</v>
          </cell>
          <cell r="F16">
            <v>779.79</v>
          </cell>
          <cell r="G16">
            <v>949.82</v>
          </cell>
          <cell r="H16">
            <v>1086.6840000000002</v>
          </cell>
          <cell r="I16">
            <v>1247.5316627415764</v>
          </cell>
          <cell r="J16">
            <v>1427.7652619634612</v>
          </cell>
          <cell r="K16">
            <v>1570.1715411927025</v>
          </cell>
        </row>
        <row r="17">
          <cell r="B17">
            <v>328.19051100000007</v>
          </cell>
          <cell r="C17">
            <v>422.056984</v>
          </cell>
          <cell r="D17">
            <v>575.56579999999997</v>
          </cell>
          <cell r="E17">
            <v>754.19869999999992</v>
          </cell>
          <cell r="F17">
            <v>823.846</v>
          </cell>
          <cell r="G17">
            <v>1012.765</v>
          </cell>
          <cell r="H17">
            <v>1147.5580000000002</v>
          </cell>
          <cell r="I17">
            <v>1302.1512309487398</v>
          </cell>
          <cell r="J17">
            <v>1468.7957449215735</v>
          </cell>
          <cell r="K17">
            <v>1600.646313379086</v>
          </cell>
        </row>
        <row r="18">
          <cell r="B18">
            <v>278.65991100000008</v>
          </cell>
          <cell r="C18">
            <v>368.83058399999999</v>
          </cell>
          <cell r="D18">
            <v>494.18349999999998</v>
          </cell>
          <cell r="E18">
            <v>649.49869999999987</v>
          </cell>
          <cell r="F18">
            <v>712.18200000000002</v>
          </cell>
          <cell r="G18">
            <v>893.89099999999996</v>
          </cell>
          <cell r="H18">
            <v>993.56404240951792</v>
          </cell>
          <cell r="I18">
            <v>1119.684962876202</v>
          </cell>
          <cell r="J18">
            <v>1256.3587296521348</v>
          </cell>
          <cell r="K18">
            <v>1363.9697313278573</v>
          </cell>
        </row>
        <row r="19">
          <cell r="B19">
            <v>243.91581100000008</v>
          </cell>
          <cell r="C19">
            <v>300.209384</v>
          </cell>
          <cell r="D19">
            <v>403.72039999999998</v>
          </cell>
          <cell r="E19">
            <v>565.46899999999982</v>
          </cell>
          <cell r="F19">
            <v>610.98900000000003</v>
          </cell>
          <cell r="G19">
            <v>733.07600000000002</v>
          </cell>
          <cell r="H19">
            <v>840.35704240951793</v>
          </cell>
          <cell r="I19">
            <v>953.45536787620199</v>
          </cell>
          <cell r="J19">
            <v>1069.0552208366637</v>
          </cell>
          <cell r="K19">
            <v>1155.2944483672927</v>
          </cell>
        </row>
        <row r="20">
          <cell r="B20">
            <v>34.744100000000003</v>
          </cell>
          <cell r="C20">
            <v>68.621200000000002</v>
          </cell>
          <cell r="D20">
            <v>90.463099999999997</v>
          </cell>
          <cell r="E20">
            <v>84.029699999999991</v>
          </cell>
          <cell r="F20">
            <v>101.193</v>
          </cell>
          <cell r="G20">
            <v>160.815</v>
          </cell>
          <cell r="H20">
            <v>153.20699999999999</v>
          </cell>
          <cell r="I20">
            <v>166.22959500000002</v>
          </cell>
          <cell r="J20">
            <v>187.30350881547096</v>
          </cell>
          <cell r="K20">
            <v>208.6752829605644</v>
          </cell>
        </row>
        <row r="21">
          <cell r="B21">
            <v>49.5306</v>
          </cell>
          <cell r="C21">
            <v>53.226399999999998</v>
          </cell>
          <cell r="D21">
            <v>81.382300000000001</v>
          </cell>
          <cell r="E21">
            <v>104.7</v>
          </cell>
          <cell r="F21">
            <v>111.664</v>
          </cell>
          <cell r="G21">
            <v>118.87400000000001</v>
          </cell>
          <cell r="H21">
            <v>153.99395759048235</v>
          </cell>
          <cell r="I21">
            <v>182.4662680725379</v>
          </cell>
          <cell r="J21">
            <v>212.43701526943852</v>
          </cell>
          <cell r="K21">
            <v>236.67658205122859</v>
          </cell>
        </row>
        <row r="22">
          <cell r="B22">
            <v>1.9978610000000001</v>
          </cell>
          <cell r="C22">
            <v>-0.9140839999999999</v>
          </cell>
          <cell r="D22">
            <v>0</v>
          </cell>
          <cell r="E22">
            <v>0</v>
          </cell>
          <cell r="F22">
            <v>0</v>
          </cell>
          <cell r="G22">
            <v>0</v>
          </cell>
          <cell r="H22">
            <v>0</v>
          </cell>
          <cell r="I22">
            <v>0</v>
          </cell>
          <cell r="J22">
            <v>0</v>
          </cell>
          <cell r="K22">
            <v>0</v>
          </cell>
        </row>
        <row r="23">
          <cell r="B23">
            <v>0.74086699999999994</v>
          </cell>
          <cell r="C23">
            <v>3.8877839999999999</v>
          </cell>
          <cell r="D23">
            <v>1.964</v>
          </cell>
          <cell r="E23">
            <v>-3.4765000000000001</v>
          </cell>
          <cell r="F23">
            <v>-3.3530000000000002</v>
          </cell>
          <cell r="G23">
            <v>4.6500000000000004</v>
          </cell>
          <cell r="H23">
            <v>7.9459999999999997</v>
          </cell>
          <cell r="I23">
            <v>9.1019975012346936</v>
          </cell>
          <cell r="J23">
            <v>0</v>
          </cell>
          <cell r="K23">
            <v>0</v>
          </cell>
        </row>
        <row r="24">
          <cell r="B24">
            <v>1.0129669999999946</v>
          </cell>
          <cell r="C24">
            <v>4.2083839999999988</v>
          </cell>
          <cell r="D24">
            <v>2.2919999999999998</v>
          </cell>
          <cell r="E24">
            <v>-3.0716000000000023</v>
          </cell>
          <cell r="F24">
            <v>2.4878999999999998</v>
          </cell>
          <cell r="G24">
            <v>4.6500000000000004</v>
          </cell>
          <cell r="H24">
            <v>8.9689999999999959</v>
          </cell>
          <cell r="I24">
            <v>9.1019975012346936</v>
          </cell>
          <cell r="J24">
            <v>0</v>
          </cell>
          <cell r="K24">
            <v>0</v>
          </cell>
        </row>
        <row r="25">
          <cell r="B25">
            <v>45.05737199999993</v>
          </cell>
          <cell r="C25">
            <v>50.052000000000021</v>
          </cell>
          <cell r="D25">
            <v>86.502200000000016</v>
          </cell>
          <cell r="E25">
            <v>76.812300000000164</v>
          </cell>
          <cell r="F25">
            <v>67.607999999999947</v>
          </cell>
          <cell r="G25">
            <v>55.928999999999974</v>
          </cell>
          <cell r="H25">
            <v>93.119957590482272</v>
          </cell>
          <cell r="I25">
            <v>127.84669986537438</v>
          </cell>
          <cell r="J25">
            <v>171.40653231132634</v>
          </cell>
          <cell r="K25">
            <v>206.20180986484513</v>
          </cell>
        </row>
        <row r="26">
          <cell r="B26">
            <v>31.283838999999936</v>
          </cell>
          <cell r="C26">
            <v>69.655183999999991</v>
          </cell>
          <cell r="D26">
            <v>97.875</v>
          </cell>
          <cell r="E26">
            <v>53.070400000000163</v>
          </cell>
          <cell r="F26">
            <v>59.62489999999994</v>
          </cell>
          <cell r="G26">
            <v>102.52</v>
          </cell>
          <cell r="H26">
            <v>101.30199999999996</v>
          </cell>
          <cell r="I26">
            <v>120.7120242940713</v>
          </cell>
          <cell r="J26">
            <v>146.27302585735862</v>
          </cell>
          <cell r="K26">
            <v>178.2005107741808</v>
          </cell>
        </row>
        <row r="27">
          <cell r="B27">
            <v>-1.7345000000000625</v>
          </cell>
          <cell r="C27">
            <v>-0.20069999999999144</v>
          </cell>
          <cell r="D27">
            <v>7.0839000000000301</v>
          </cell>
          <cell r="E27">
            <v>-31.364199999999883</v>
          </cell>
          <cell r="F27">
            <v>-47.409000000000042</v>
          </cell>
          <cell r="G27">
            <v>-58.295000000000051</v>
          </cell>
          <cell r="H27">
            <v>-52.928000000000026</v>
          </cell>
          <cell r="I27">
            <v>-45.517570705928719</v>
          </cell>
          <cell r="J27">
            <v>-41.030482958112316</v>
          </cell>
          <cell r="K27">
            <v>-30.474772186383596</v>
          </cell>
        </row>
        <row r="30">
          <cell r="B30">
            <v>22.794431664970116</v>
          </cell>
          <cell r="C30">
            <v>22.760028701431906</v>
          </cell>
          <cell r="D30">
            <v>23.151980008052433</v>
          </cell>
          <cell r="E30">
            <v>22.843316811380859</v>
          </cell>
          <cell r="F30">
            <v>20.568469459247897</v>
          </cell>
          <cell r="G30">
            <v>20.826499485159076</v>
          </cell>
          <cell r="H30">
            <v>20.510375517921865</v>
          </cell>
          <cell r="I30">
            <v>20.55577071766513</v>
          </cell>
          <cell r="J30">
            <v>20.878602819582575</v>
          </cell>
          <cell r="K30">
            <v>20.609460593694131</v>
          </cell>
        </row>
        <row r="31">
          <cell r="B31">
            <v>23.109412345095969</v>
          </cell>
          <cell r="C31">
            <v>22.932510055084521</v>
          </cell>
          <cell r="D31">
            <v>22.947849232241648</v>
          </cell>
          <cell r="E31">
            <v>23.720417070416925</v>
          </cell>
          <cell r="F31">
            <v>21.730531668941051</v>
          </cell>
          <cell r="G31">
            <v>22.206681003860869</v>
          </cell>
          <cell r="H31">
            <v>21.659328294697801</v>
          </cell>
          <cell r="I31">
            <v>21.455745727755833</v>
          </cell>
          <cell r="J31">
            <v>21.478602819582576</v>
          </cell>
          <cell r="K31">
            <v>21.009460593694129</v>
          </cell>
        </row>
        <row r="32">
          <cell r="B32">
            <v>19.621733631862206</v>
          </cell>
          <cell r="C32">
            <v>20.040448083670846</v>
          </cell>
          <cell r="D32">
            <v>19.7031311642587</v>
          </cell>
          <cell r="E32">
            <v>20.427481578387233</v>
          </cell>
          <cell r="F32">
            <v>18.785177697105741</v>
          </cell>
          <cell r="G32">
            <v>19.600156294127657</v>
          </cell>
          <cell r="H32">
            <v>18.752803584964585</v>
          </cell>
          <cell r="I32">
            <v>18.449221018022619</v>
          </cell>
          <cell r="J32">
            <v>18.372078109849362</v>
          </cell>
          <cell r="K32">
            <v>17.902935883960915</v>
          </cell>
        </row>
        <row r="33">
          <cell r="B33">
            <v>17.17524079752414</v>
          </cell>
          <cell r="C33">
            <v>16.311908055549985</v>
          </cell>
          <cell r="D33">
            <v>16.096360956784249</v>
          </cell>
          <cell r="E33">
            <v>17.784650809384299</v>
          </cell>
          <cell r="F33">
            <v>16.116016602465297</v>
          </cell>
          <cell r="G33">
            <v>16.074000270138001</v>
          </cell>
          <cell r="H33">
            <v>15.861132131281405</v>
          </cell>
          <cell r="I33">
            <v>15.710230463024457</v>
          </cell>
          <cell r="J33">
            <v>15.633087554851196</v>
          </cell>
          <cell r="K33">
            <v>15.163945328962749</v>
          </cell>
        </row>
        <row r="34">
          <cell r="B34">
            <v>2.4464928343380672</v>
          </cell>
          <cell r="C34">
            <v>3.7285400281208614</v>
          </cell>
          <cell r="D34">
            <v>3.6067702074744532</v>
          </cell>
          <cell r="E34">
            <v>2.6428307690029338</v>
          </cell>
          <cell r="F34">
            <v>2.6691610946404447</v>
          </cell>
          <cell r="G34">
            <v>3.5261560239896581</v>
          </cell>
          <cell r="H34">
            <v>2.8916714536831818</v>
          </cell>
          <cell r="I34">
            <v>2.7389905549981655</v>
          </cell>
          <cell r="J34">
            <v>2.7389905549981655</v>
          </cell>
          <cell r="K34">
            <v>2.7389905549981655</v>
          </cell>
        </row>
        <row r="35">
          <cell r="B35">
            <v>3.487678713233759</v>
          </cell>
          <cell r="C35">
            <v>2.892061971413677</v>
          </cell>
          <cell r="D35">
            <v>3.2447180679829475</v>
          </cell>
          <cell r="E35">
            <v>3.2929354920296894</v>
          </cell>
          <cell r="F35">
            <v>2.9453539718353112</v>
          </cell>
          <cell r="G35">
            <v>2.6065247097332129</v>
          </cell>
          <cell r="H35">
            <v>2.9065247097332132</v>
          </cell>
          <cell r="I35">
            <v>3.0065247097332128</v>
          </cell>
          <cell r="J35">
            <v>3.1065247097332129</v>
          </cell>
          <cell r="K35">
            <v>3.1065247097332129</v>
          </cell>
        </row>
        <row r="36">
          <cell r="B36">
            <v>0.14067863667510414</v>
          </cell>
          <cell r="C36">
            <v>-4.9666849065082348E-2</v>
          </cell>
          <cell r="D36">
            <v>0</v>
          </cell>
          <cell r="E36">
            <v>0</v>
          </cell>
          <cell r="F36">
            <v>0</v>
          </cell>
          <cell r="G36">
            <v>0</v>
          </cell>
          <cell r="H36">
            <v>0</v>
          </cell>
          <cell r="I36">
            <v>0</v>
          </cell>
          <cell r="J36">
            <v>0</v>
          </cell>
          <cell r="K36">
            <v>0</v>
          </cell>
        </row>
        <row r="37">
          <cell r="B37">
            <v>5.2167873299280756E-2</v>
          </cell>
          <cell r="C37">
            <v>0.21124314737556082</v>
          </cell>
          <cell r="D37">
            <v>7.8304819174667084E-2</v>
          </cell>
          <cell r="E37">
            <v>-0.10933992586476807</v>
          </cell>
          <cell r="F37">
            <v>-8.8441860112156087E-2</v>
          </cell>
          <cell r="G37">
            <v>0.10195955297423692</v>
          </cell>
          <cell r="H37">
            <v>0.14997501009070452</v>
          </cell>
          <cell r="I37">
            <v>0.14997501009070452</v>
          </cell>
          <cell r="J37">
            <v>0</v>
          </cell>
          <cell r="K37">
            <v>0</v>
          </cell>
        </row>
        <row r="38">
          <cell r="B38">
            <v>7.1327693246361706E-2</v>
          </cell>
          <cell r="C38">
            <v>0.22866298166897953</v>
          </cell>
          <cell r="D38">
            <v>9.1382202417686825E-2</v>
          </cell>
          <cell r="E38">
            <v>-9.6605354893203446E-2</v>
          </cell>
          <cell r="F38">
            <v>6.5623174402932624E-2</v>
          </cell>
          <cell r="G38">
            <v>0.10195955297423692</v>
          </cell>
          <cell r="H38">
            <v>0.16928339611169493</v>
          </cell>
          <cell r="I38">
            <v>0.14997501009070452</v>
          </cell>
          <cell r="J38">
            <v>0</v>
          </cell>
          <cell r="K38">
            <v>0</v>
          </cell>
        </row>
        <row r="39">
          <cell r="B39">
            <v>3.1726980331079089</v>
          </cell>
          <cell r="C39">
            <v>2.7195806177610629</v>
          </cell>
          <cell r="D39">
            <v>3.4488488437937308</v>
          </cell>
          <cell r="E39">
            <v>2.4158352329936261</v>
          </cell>
          <cell r="F39">
            <v>1.7832917621421547</v>
          </cell>
          <cell r="G39">
            <v>1.226343191031418</v>
          </cell>
          <cell r="H39">
            <v>1.757571932957281</v>
          </cell>
          <cell r="I39">
            <v>2.1065496996425068</v>
          </cell>
          <cell r="J39">
            <v>2.5065247097332133</v>
          </cell>
          <cell r="K39">
            <v>2.7065247097332161</v>
          </cell>
        </row>
        <row r="40">
          <cell r="B40">
            <v>2.2028398474585789</v>
          </cell>
          <cell r="C40">
            <v>3.7847216561372252</v>
          </cell>
          <cell r="D40">
            <v>3.9022831857029239</v>
          </cell>
          <cell r="E40">
            <v>1.6691251550736672</v>
          </cell>
          <cell r="F40">
            <v>1.5727220593502209</v>
          </cell>
          <cell r="G40">
            <v>2.2479340582620981</v>
          </cell>
          <cell r="H40">
            <v>1.9120020730189455</v>
          </cell>
          <cell r="I40">
            <v>1.9889905549981657</v>
          </cell>
          <cell r="J40">
            <v>2.138990554998164</v>
          </cell>
          <cell r="K40">
            <v>2.3389905549981669</v>
          </cell>
        </row>
        <row r="41">
          <cell r="B41">
            <v>-0.12213417015146544</v>
          </cell>
          <cell r="C41">
            <v>-1.0905055342136614E-2</v>
          </cell>
          <cell r="D41">
            <v>0.2824355949854514</v>
          </cell>
          <cell r="E41">
            <v>-0.98644018490083285</v>
          </cell>
          <cell r="F41">
            <v>-1.2505040698053123</v>
          </cell>
          <cell r="G41">
            <v>-1.2782219657275582</v>
          </cell>
          <cell r="H41">
            <v>-0.99897776668522675</v>
          </cell>
          <cell r="I41">
            <v>-0.75</v>
          </cell>
          <cell r="J41">
            <v>-0.60000000000000142</v>
          </cell>
          <cell r="K41">
            <v>-0.39999999999999858</v>
          </cell>
        </row>
        <row r="44">
          <cell r="B44">
            <v>2.8416506770542416</v>
          </cell>
          <cell r="C44">
            <v>-6.3210282879135438</v>
          </cell>
          <cell r="D44">
            <v>6.9504444814160404</v>
          </cell>
          <cell r="E44">
            <v>5.3387753721651388</v>
          </cell>
          <cell r="F44">
            <v>-5.617645478881828</v>
          </cell>
          <cell r="G44">
            <v>4.3143134088046375</v>
          </cell>
          <cell r="H44">
            <v>3.4259088248167036</v>
          </cell>
          <cell r="I44">
            <v>5.5631247609181811</v>
          </cell>
          <cell r="J44">
            <v>7.1568966068015882</v>
          </cell>
          <cell r="K44">
            <v>4.6335735110868193</v>
          </cell>
        </row>
        <row r="45">
          <cell r="B45">
            <v>7.4207133576330353</v>
          </cell>
          <cell r="C45">
            <v>-6.8976230843337145</v>
          </cell>
          <cell r="D45">
            <v>5.2101538672095327</v>
          </cell>
          <cell r="E45">
            <v>10.356412495807232</v>
          </cell>
          <cell r="F45">
            <v>-3.9724109210636849</v>
          </cell>
          <cell r="G45">
            <v>5.2792790113000088</v>
          </cell>
          <cell r="H45">
            <v>2.4314555206916388</v>
          </cell>
          <cell r="I45">
            <v>4.339971524313313</v>
          </cell>
          <cell r="J45">
            <v>5.6123905558128628</v>
          </cell>
          <cell r="K45">
            <v>3.684715511437453</v>
          </cell>
        </row>
      </sheetData>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rgeData"/>
      <sheetName val="REER-US"/>
      <sheetName val="EDSS1"/>
      <sheetName val="Chart1"/>
      <sheetName val="Chart2"/>
      <sheetName val="EDSS2"/>
      <sheetName val="Panel1"/>
    </sheetNames>
    <sheetDataSet>
      <sheetData sheetId="0" refreshError="1"/>
      <sheetData sheetId="1" refreshError="1">
        <row r="2">
          <cell r="B2" t="str">
            <v>WHD</v>
          </cell>
        </row>
        <row r="4">
          <cell r="A4" t="str">
            <v>INDEX: 1990 = 100</v>
          </cell>
        </row>
        <row r="6">
          <cell r="A6" t="str">
            <v>Costa Rica(238)</v>
          </cell>
        </row>
      </sheetData>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Table of Contents"/>
      <sheetName val="Auth X"/>
      <sheetName val="WEO"/>
      <sheetName val="IN Sectors"/>
      <sheetName val="CAgoods"/>
      <sheetName val="CAnfs"/>
      <sheetName val="CAinc"/>
      <sheetName val="CAtrs"/>
      <sheetName val="KA"/>
      <sheetName val="FAfdi"/>
      <sheetName val="FAprt"/>
      <sheetName val="FAoth"/>
      <sheetName val="FIN"/>
      <sheetName val="MedTerm BOP "/>
      <sheetName val="PrintBOP"/>
      <sheetName val="PrintDSt"/>
      <sheetName val="PrintDSv"/>
      <sheetName val="Vulner ind"/>
      <sheetName val="Comp"/>
      <sheetName val="Comp ind"/>
      <sheetName val="Charts"/>
      <sheetName val="OUTbop"/>
      <sheetName val="WETA"/>
      <sheetName val="Chart1"/>
      <sheetName val="Chart2"/>
      <sheetName val="Char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Panel1"/>
      <sheetName val="Interest-Data"/>
      <sheetName val="RGDP data"/>
      <sheetName val="CA data (exact quarters)"/>
      <sheetName val="CA data"/>
      <sheetName val="K data"/>
      <sheetName val="DataAnnual"/>
      <sheetName val="Ex Rate Daily"/>
      <sheetName val="DataDaily"/>
      <sheetName val="data"/>
      <sheetName val="RealInterest (Country) (other)"/>
      <sheetName val="RealInterest (Country) (Defaul)"/>
      <sheetName val="RealInterest (Country)"/>
      <sheetName val="RealInterest (avg)"/>
      <sheetName val="RGDP (country) (%Seas)"/>
      <sheetName val="RGDP (avg) (%Seas)"/>
      <sheetName val="RGDP (country)"/>
      <sheetName val="RGDP (average)"/>
      <sheetName val="CA (avg) (%GDP) (newQ) (adj)"/>
      <sheetName val="CA (% of GDP) (newQ) (MAvg)"/>
      <sheetName val="CA (avg) (%GDP) (newQ) Mavg"/>
      <sheetName val="CA (avg) (change%GDP) (newQ)"/>
      <sheetName val="CA (% of GDP) (newQ)"/>
      <sheetName val="CA (avg) (%GDP) (newQ)"/>
      <sheetName val="CA (avg) (change%GDP)"/>
      <sheetName val="CA (change% of GDP)"/>
      <sheetName val="CA (avg) (%GDP)"/>
      <sheetName val="CA (% of GDP)"/>
      <sheetName val="K Liab (avg)"/>
      <sheetName val="K Liab (country)"/>
      <sheetName val="K Liab less FDI (country)"/>
      <sheetName val="K Liab less FDI (avg)"/>
      <sheetName val="Interest"/>
      <sheetName val="Primary Balance (avg)"/>
      <sheetName val="Interest (% of GDP)"/>
      <sheetName val="Interest (avg) (%GDP)"/>
      <sheetName val="Interest (Change%GDP)"/>
      <sheetName val="Interest (avg) (Change%GDP)"/>
      <sheetName val="PrimBal (Change%GDP)"/>
      <sheetName val="PrimBal (avg) (Change%GDP)"/>
      <sheetName val="PrimBal (% of GDP)"/>
      <sheetName val="PrimBal (avg) (%GDP)"/>
      <sheetName val="PrimBal"/>
      <sheetName val="PrimBal (avg)"/>
      <sheetName val="NomExRate Daily Default"/>
      <sheetName val="NomExRate Daily"/>
      <sheetName val="Ex rate bloom"/>
      <sheetName val="REER (avg)"/>
      <sheetName val="REER"/>
      <sheetName val="NomExRate (avg)"/>
      <sheetName val="NomExRate"/>
      <sheetName val="Inflation (avg)"/>
      <sheetName val="Inflation"/>
      <sheetName val="New Data"/>
      <sheetName val="bop"/>
      <sheetName val="ex rate"/>
      <sheetName val="gdp"/>
      <sheetName val="Deposits"/>
      <sheetName val="Reserves"/>
      <sheetName val="Int Reserves"/>
      <sheetName val="Int Reserves (scale t-24)"/>
      <sheetName val="Int Reserves (scale t)"/>
      <sheetName val="Int Reserves (scale t) res only"/>
      <sheetName val="Int Reserves (scale t) (%gdp)"/>
      <sheetName val="Int Reserves scale t %gdp restr"/>
      <sheetName val="Int Reserves (scale t) (avg)"/>
      <sheetName val="Int Reserves (scale t) (avg gdp"/>
      <sheetName val="Deposits (scale t) (avg (2)"/>
      <sheetName val="Deposits (scale t)"/>
      <sheetName val="Sheet13"/>
      <sheetName val="Int Reserves U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4">
          <cell r="A4" t="e">
            <v>#NAME?</v>
          </cell>
          <cell r="D4" t="e">
            <v>#NAME?</v>
          </cell>
          <cell r="G4" t="e">
            <v>#NAME?</v>
          </cell>
          <cell r="J4" t="e">
            <v>#NAME?</v>
          </cell>
          <cell r="M4" t="e">
            <v>#NAME?</v>
          </cell>
          <cell r="P4" t="e">
            <v>#NAME?</v>
          </cell>
          <cell r="S4" t="e">
            <v>#NAME?</v>
          </cell>
          <cell r="V4" t="e">
            <v>#NAME?</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WRS97TAB"/>
      <sheetName val="SetUp_Sheet"/>
      <sheetName val="Data_check"/>
      <sheetName val="embi_day"/>
      <sheetName val="Generic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1">
          <cell r="E21">
            <v>217.99993969686599</v>
          </cell>
          <cell r="F21">
            <v>196.99997264240099</v>
          </cell>
          <cell r="G21">
            <v>254.99998311977899</v>
          </cell>
          <cell r="H21">
            <v>283.99996600672802</v>
          </cell>
          <cell r="I21">
            <v>283.99999580904898</v>
          </cell>
          <cell r="J21">
            <v>285.99999976716902</v>
          </cell>
          <cell r="K21">
            <v>330.999924912121</v>
          </cell>
          <cell r="L21">
            <v>338.99994074460398</v>
          </cell>
          <cell r="M21">
            <v>600.199909312469</v>
          </cell>
          <cell r="N21">
            <v>520.88746934639198</v>
          </cell>
          <cell r="O21">
            <v>739.30003707827802</v>
          </cell>
          <cell r="P21">
            <v>779.39153522063805</v>
          </cell>
          <cell r="Q21">
            <v>673.19487476607503</v>
          </cell>
          <cell r="R21">
            <v>852.64700704721599</v>
          </cell>
          <cell r="S21">
            <v>934.82951229639104</v>
          </cell>
          <cell r="T21">
            <v>973.76499999999999</v>
          </cell>
          <cell r="U21">
            <v>1069.5999999999999</v>
          </cell>
          <cell r="V21">
            <v>1148.2</v>
          </cell>
          <cell r="W21">
            <v>1368.9</v>
          </cell>
          <cell r="X21">
            <v>1608.0160346997384</v>
          </cell>
          <cell r="Y21">
            <v>1934.8</v>
          </cell>
          <cell r="Z21">
            <v>1896.4</v>
          </cell>
          <cell r="AA21">
            <v>1936.6381783849524</v>
          </cell>
          <cell r="AB21">
            <v>2051.4175415687414</v>
          </cell>
          <cell r="AC21">
            <v>2227.3011486083856</v>
          </cell>
          <cell r="AD21">
            <v>2352.5049540446398</v>
          </cell>
          <cell r="AE21">
            <v>2500.80115607788</v>
          </cell>
          <cell r="AF21">
            <v>2698.9831313827899</v>
          </cell>
          <cell r="AG21">
            <v>2866.4701128001998</v>
          </cell>
          <cell r="AH21">
            <v>3044.3505870967101</v>
          </cell>
        </row>
        <row r="29">
          <cell r="E29">
            <v>-304.99999266583501</v>
          </cell>
          <cell r="F29">
            <v>-243.00001897569601</v>
          </cell>
          <cell r="G29">
            <v>-250.00001792795899</v>
          </cell>
          <cell r="H29">
            <v>-260.99996519182002</v>
          </cell>
          <cell r="I29">
            <v>-272.99998894054499</v>
          </cell>
          <cell r="J29">
            <v>-292.00004144385298</v>
          </cell>
          <cell r="K29">
            <v>-315.00001245643898</v>
          </cell>
          <cell r="L29">
            <v>-344.99998242128697</v>
          </cell>
          <cell r="M29">
            <v>-344.99998242128697</v>
          </cell>
          <cell r="N29">
            <v>-358.30400672414902</v>
          </cell>
          <cell r="O29">
            <v>-487.99998230487199</v>
          </cell>
          <cell r="P29">
            <v>-481.80841595123701</v>
          </cell>
          <cell r="Q29">
            <v>-692.98955889761396</v>
          </cell>
          <cell r="R29">
            <v>-789.78741258741297</v>
          </cell>
          <cell r="S29">
            <v>-838.71328422656802</v>
          </cell>
          <cell r="T29">
            <v>-929.3</v>
          </cell>
          <cell r="U29">
            <v>-1044.3</v>
          </cell>
          <cell r="V29">
            <v>-1002.2</v>
          </cell>
          <cell r="W29">
            <v>-1144.5999999999999</v>
          </cell>
          <cell r="X29">
            <v>-1174.1839653002617</v>
          </cell>
          <cell r="Y29">
            <v>-1270</v>
          </cell>
          <cell r="Z29">
            <v>-1166.8</v>
          </cell>
          <cell r="AA29">
            <v>-1232.1669704796575</v>
          </cell>
          <cell r="AB29">
            <v>-1268.5374339092684</v>
          </cell>
          <cell r="AC29">
            <v>-1355.5711121467748</v>
          </cell>
          <cell r="AD29">
            <v>-1417.00554638842</v>
          </cell>
          <cell r="AE29">
            <v>-1512.46458794555</v>
          </cell>
          <cell r="AF29">
            <v>-1591.51881886499</v>
          </cell>
          <cell r="AG29">
            <v>-1680.7854123387999</v>
          </cell>
          <cell r="AH29">
            <v>-1775.0588723901701</v>
          </cell>
        </row>
      </sheetData>
      <sheetData sheetId="9" refreshError="1"/>
      <sheetData sheetId="10" refreshError="1"/>
      <sheetData sheetId="11" refreshError="1"/>
      <sheetData sheetId="12" refreshError="1"/>
      <sheetData sheetId="1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s"/>
      <sheetName val="Compare"/>
      <sheetName val="Annual"/>
      <sheetName val="Quarterly"/>
      <sheetName val="Weights"/>
      <sheetName val="A Current Data"/>
      <sheetName val="A Previous Data"/>
      <sheetName val="Q Current Data"/>
      <sheetName val="Q Previous Data"/>
      <sheetName val="Weights Data"/>
      <sheetName val="Compare (Non-Euro)"/>
      <sheetName val="Annual (Non-Euro)"/>
      <sheetName val="Quarterly (Non-Euro)"/>
      <sheetName val="Weights (Non-Euro)"/>
      <sheetName val="A Current Data (Non-Euro)"/>
      <sheetName val="A Previous Data (Non-Euro)"/>
      <sheetName val="Q Current Data (Non-Euro)"/>
      <sheetName val="Q Previous Data (Non-Euro)"/>
      <sheetName val="Weights Data (Non-Euro)"/>
      <sheetName val="ControlSheet"/>
    </sheetNames>
    <sheetDataSet>
      <sheetData sheetId="0" refreshError="1">
        <row r="2">
          <cell r="A2">
            <v>176</v>
          </cell>
        </row>
      </sheetData>
      <sheetData sheetId="1" refreshError="1"/>
      <sheetData sheetId="2" refreshError="1"/>
      <sheetData sheetId="3" refreshError="1"/>
      <sheetData sheetId="4" refreshError="1"/>
      <sheetData sheetId="5" refreshError="1">
        <row r="4">
          <cell r="F4" t="str">
            <v>1994A1</v>
          </cell>
        </row>
        <row r="60">
          <cell r="D60" t="str">
            <v>W2008REV</v>
          </cell>
        </row>
        <row r="61">
          <cell r="D61">
            <v>39542</v>
          </cell>
        </row>
      </sheetData>
      <sheetData sheetId="6" refreshError="1">
        <row r="60">
          <cell r="D60" t="str">
            <v>W2008START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ControlSheet"/>
      <sheetName val="Inputs 1 (liq indicators)"/>
      <sheetName val="country name lookup"/>
      <sheetName val="Inputs 2 (ext sector)"/>
      <sheetName val="Inputs 3 (fiscal sector)"/>
      <sheetName val="Inputs 4 (fin. sector)"/>
      <sheetName val="Inputs 5 (corp. sector)"/>
      <sheetName val="Inputs Macro Variables"/>
      <sheetName val="Calc Liq Ind"/>
      <sheetName val="Calc Ext Sector"/>
      <sheetName val="Calc Fisc Sector"/>
      <sheetName val="Calc Fin Sector"/>
      <sheetName val="Calc Corp. Sector"/>
      <sheetName val="old Tab 8. FR &amp; IR"/>
      <sheetName val="Tab 8. FR &amp; IR "/>
      <sheetName val="Output 1. Comp AD-I rat"/>
      <sheetName val="Output 1. Comp Alt I,II,III"/>
      <sheetName val="Output1 Summary-AltI"/>
      <sheetName val="Output 1. Summary-AltII"/>
      <sheetName val="Output1 Summary -AltIII"/>
      <sheetName val="Tab 9. External sector "/>
      <sheetName val="Tab 10. Public sector"/>
      <sheetName val="Tab 11. Financial sector"/>
      <sheetName val="Tab 12. Corporate sector"/>
      <sheetName val="Output 1. FR &amp; IR "/>
      <sheetName val="Output 2. External sector "/>
      <sheetName val="Output 3. Public sector"/>
      <sheetName val="Output 4. Financial sector"/>
      <sheetName val="Output 5. Corporate sector"/>
    </sheetNames>
    <sheetDataSet>
      <sheetData sheetId="0" refreshError="1"/>
      <sheetData sheetId="1" refreshError="1"/>
      <sheetData sheetId="2" refreshError="1"/>
      <sheetData sheetId="3" refreshError="1">
        <row r="1">
          <cell r="A1" t="str">
            <v>Ccode</v>
          </cell>
          <cell r="B1" t="str">
            <v>Country</v>
          </cell>
        </row>
        <row r="2">
          <cell r="A2" t="str">
            <v>612</v>
          </cell>
          <cell r="B2" t="str">
            <v>Algeria</v>
          </cell>
        </row>
        <row r="3">
          <cell r="A3" t="str">
            <v>213</v>
          </cell>
          <cell r="B3" t="str">
            <v>Argentina</v>
          </cell>
        </row>
        <row r="4">
          <cell r="A4" t="str">
            <v>963</v>
          </cell>
          <cell r="B4" t="str">
            <v>Bosnia&amp;Herzegovina</v>
          </cell>
        </row>
        <row r="5">
          <cell r="A5" t="str">
            <v>223</v>
          </cell>
          <cell r="B5" t="str">
            <v>Brazil</v>
          </cell>
        </row>
        <row r="6">
          <cell r="A6" t="str">
            <v>918</v>
          </cell>
          <cell r="B6" t="str">
            <v>Bulgaria</v>
          </cell>
        </row>
        <row r="7">
          <cell r="A7" t="str">
            <v>228</v>
          </cell>
          <cell r="B7" t="str">
            <v>Chile</v>
          </cell>
        </row>
        <row r="8">
          <cell r="A8" t="str">
            <v>924</v>
          </cell>
          <cell r="B8" t="str">
            <v>China</v>
          </cell>
        </row>
        <row r="9">
          <cell r="A9" t="str">
            <v>233</v>
          </cell>
          <cell r="B9" t="str">
            <v>Colombia</v>
          </cell>
        </row>
        <row r="10">
          <cell r="A10" t="str">
            <v>238</v>
          </cell>
          <cell r="B10" t="str">
            <v>Costa Rica</v>
          </cell>
        </row>
        <row r="11">
          <cell r="A11" t="str">
            <v>960</v>
          </cell>
          <cell r="B11" t="str">
            <v>Croatia</v>
          </cell>
        </row>
        <row r="12">
          <cell r="A12" t="str">
            <v>935</v>
          </cell>
          <cell r="B12" t="str">
            <v>Czech Republic</v>
          </cell>
        </row>
        <row r="13">
          <cell r="A13" t="str">
            <v>243</v>
          </cell>
          <cell r="B13" t="str">
            <v>Dominican Republic</v>
          </cell>
        </row>
        <row r="14">
          <cell r="A14" t="str">
            <v>248</v>
          </cell>
          <cell r="B14" t="str">
            <v>Ecuador</v>
          </cell>
        </row>
        <row r="15">
          <cell r="A15" t="str">
            <v>469</v>
          </cell>
          <cell r="B15" t="str">
            <v>Egypt</v>
          </cell>
        </row>
        <row r="16">
          <cell r="A16" t="str">
            <v>253</v>
          </cell>
          <cell r="B16" t="str">
            <v>El Salvador</v>
          </cell>
        </row>
        <row r="17">
          <cell r="A17" t="str">
            <v>939</v>
          </cell>
          <cell r="B17" t="str">
            <v>Estonia</v>
          </cell>
        </row>
        <row r="18">
          <cell r="A18" t="str">
            <v>258</v>
          </cell>
          <cell r="B18" t="str">
            <v>Guatemala</v>
          </cell>
        </row>
        <row r="19">
          <cell r="A19" t="str">
            <v>944</v>
          </cell>
          <cell r="B19" t="str">
            <v>Hungary</v>
          </cell>
        </row>
        <row r="20">
          <cell r="A20" t="str">
            <v>534</v>
          </cell>
          <cell r="B20" t="str">
            <v>India</v>
          </cell>
        </row>
        <row r="21">
          <cell r="A21" t="str">
            <v>536</v>
          </cell>
          <cell r="B21" t="str">
            <v>Indonesia</v>
          </cell>
        </row>
        <row r="22">
          <cell r="A22" t="str">
            <v>436</v>
          </cell>
          <cell r="B22" t="str">
            <v>Israel</v>
          </cell>
        </row>
        <row r="23">
          <cell r="A23" t="str">
            <v>343</v>
          </cell>
          <cell r="B23" t="str">
            <v>Jamaica</v>
          </cell>
        </row>
        <row r="24">
          <cell r="A24" t="str">
            <v>439</v>
          </cell>
          <cell r="B24" t="str">
            <v>Jordan</v>
          </cell>
        </row>
        <row r="25">
          <cell r="A25" t="str">
            <v>916</v>
          </cell>
          <cell r="B25" t="str">
            <v>Kazakhstan</v>
          </cell>
        </row>
        <row r="26">
          <cell r="A26" t="str">
            <v>542</v>
          </cell>
          <cell r="B26" t="str">
            <v>Korea</v>
          </cell>
        </row>
        <row r="27">
          <cell r="A27" t="str">
            <v>941</v>
          </cell>
          <cell r="B27" t="str">
            <v>Latvia</v>
          </cell>
        </row>
        <row r="28">
          <cell r="A28" t="str">
            <v>446</v>
          </cell>
          <cell r="B28" t="str">
            <v>Lebanon</v>
          </cell>
        </row>
        <row r="29">
          <cell r="A29" t="str">
            <v>946</v>
          </cell>
          <cell r="B29" t="str">
            <v>Lithuania</v>
          </cell>
        </row>
        <row r="30">
          <cell r="A30" t="str">
            <v>548</v>
          </cell>
          <cell r="B30" t="str">
            <v>Malaysia</v>
          </cell>
        </row>
        <row r="31">
          <cell r="A31" t="str">
            <v>273</v>
          </cell>
          <cell r="B31" t="str">
            <v>Mexico</v>
          </cell>
        </row>
        <row r="32">
          <cell r="A32" t="str">
            <v>686</v>
          </cell>
          <cell r="B32" t="str">
            <v>Morocco</v>
          </cell>
        </row>
        <row r="33">
          <cell r="A33" t="str">
            <v>564</v>
          </cell>
          <cell r="B33" t="str">
            <v>Pakistan</v>
          </cell>
        </row>
        <row r="34">
          <cell r="A34" t="str">
            <v>283</v>
          </cell>
          <cell r="B34" t="str">
            <v>Panama</v>
          </cell>
        </row>
        <row r="35">
          <cell r="A35" t="str">
            <v>293</v>
          </cell>
          <cell r="B35" t="str">
            <v>Peru</v>
          </cell>
        </row>
        <row r="36">
          <cell r="A36" t="str">
            <v>566</v>
          </cell>
          <cell r="B36" t="str">
            <v>Philippines</v>
          </cell>
        </row>
        <row r="37">
          <cell r="A37">
            <v>964</v>
          </cell>
          <cell r="B37" t="str">
            <v>Poland</v>
          </cell>
        </row>
        <row r="38">
          <cell r="A38">
            <v>968</v>
          </cell>
          <cell r="B38" t="str">
            <v>Romania</v>
          </cell>
        </row>
        <row r="39">
          <cell r="A39">
            <v>922</v>
          </cell>
          <cell r="B39" t="str">
            <v>Russia</v>
          </cell>
        </row>
        <row r="40">
          <cell r="A40">
            <v>965</v>
          </cell>
          <cell r="B40" t="str">
            <v>Serbia&amp;Montenegro</v>
          </cell>
        </row>
        <row r="41">
          <cell r="A41">
            <v>936</v>
          </cell>
          <cell r="B41" t="str">
            <v>Slovak Republic</v>
          </cell>
        </row>
        <row r="42">
          <cell r="A42">
            <v>961</v>
          </cell>
          <cell r="B42" t="str">
            <v>Slovenia</v>
          </cell>
        </row>
        <row r="43">
          <cell r="A43">
            <v>199</v>
          </cell>
          <cell r="B43" t="str">
            <v>South Africa</v>
          </cell>
        </row>
        <row r="44">
          <cell r="A44">
            <v>524</v>
          </cell>
          <cell r="B44" t="str">
            <v>Sri Lanka</v>
          </cell>
        </row>
        <row r="45">
          <cell r="A45">
            <v>578</v>
          </cell>
          <cell r="B45" t="str">
            <v>Thailand</v>
          </cell>
        </row>
        <row r="46">
          <cell r="A46">
            <v>744</v>
          </cell>
          <cell r="B46" t="str">
            <v>Tunisia</v>
          </cell>
        </row>
        <row r="47">
          <cell r="A47">
            <v>186</v>
          </cell>
          <cell r="B47" t="str">
            <v>Turkey</v>
          </cell>
        </row>
        <row r="48">
          <cell r="A48">
            <v>926</v>
          </cell>
          <cell r="B48" t="str">
            <v>Ukraine</v>
          </cell>
        </row>
        <row r="49">
          <cell r="A49">
            <v>298</v>
          </cell>
          <cell r="B49" t="str">
            <v>Uruguay</v>
          </cell>
        </row>
        <row r="50">
          <cell r="A50">
            <v>299</v>
          </cell>
          <cell r="B50" t="str">
            <v>Venezuela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
      <sheetName val="C Summary"/>
      <sheetName val="D %GDP"/>
      <sheetName val="InFis2"/>
      <sheetName val="Fiscal Tables"/>
    </sheetNames>
    <sheetDataSet>
      <sheetData sheetId="0" refreshError="1"/>
      <sheetData sheetId="1" refreshError="1"/>
      <sheetData sheetId="2" refreshError="1"/>
      <sheetData sheetId="3" refreshError="1"/>
      <sheetData sheetId="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RESULTADOS"/>
      <sheetName val="SREAL"/>
      <sheetName val="SEXTERNOREV"/>
      <sheetName val="SEXTERNO"/>
      <sheetName val="SFISCAL-MOD"/>
      <sheetName val="SFISCAL-CONSOL"/>
      <sheetName val="SMONET-FINANC"/>
      <sheetName val="SMONET-FIN-MOD"/>
      <sheetName val="NO"/>
      <sheetName val="SFISCAL_MOD"/>
      <sheetName val="SMONET_FINANC"/>
      <sheetName val="Q1"/>
    </sheetNames>
    <sheetDataSet>
      <sheetData sheetId="0" refreshError="1"/>
      <sheetData sheetId="1" refreshError="1"/>
      <sheetData sheetId="2" refreshError="1">
        <row r="82">
          <cell r="A82" t="str">
            <v>Exportaciones</v>
          </cell>
          <cell r="H82">
            <v>6844.474804453972</v>
          </cell>
          <cell r="I82">
            <v>7679.2416315946821</v>
          </cell>
          <cell r="J82">
            <v>8544.0066265963287</v>
          </cell>
          <cell r="K82">
            <v>9215.9536958569697</v>
          </cell>
          <cell r="L82">
            <v>7.35127422545456</v>
          </cell>
          <cell r="M82">
            <v>9.0744127587430796</v>
          </cell>
          <cell r="N82">
            <v>4.0828055928132585</v>
          </cell>
          <cell r="O82">
            <v>10.982638287066663</v>
          </cell>
          <cell r="P82">
            <v>5.7769337584915945</v>
          </cell>
          <cell r="Q82">
            <v>28.351402872543929</v>
          </cell>
          <cell r="R82">
            <v>6.2815122499778369</v>
          </cell>
          <cell r="S82">
            <v>6.4293585060955394</v>
          </cell>
        </row>
        <row r="86">
          <cell r="A86" t="str">
            <v>Importaciones</v>
          </cell>
          <cell r="H86">
            <v>5584.0391647472507</v>
          </cell>
          <cell r="I86">
            <v>7085.1571401607216</v>
          </cell>
          <cell r="J86">
            <v>8157.0470399009164</v>
          </cell>
          <cell r="K86">
            <v>8316.8353363071128</v>
          </cell>
          <cell r="L86">
            <v>2.4105559866517012</v>
          </cell>
          <cell r="M86">
            <v>3.5312075660730784</v>
          </cell>
          <cell r="N86">
            <v>8.6245351858240014</v>
          </cell>
          <cell r="O86">
            <v>13.102233365036241</v>
          </cell>
          <cell r="P86">
            <v>21.713088632663641</v>
          </cell>
          <cell r="Q86">
            <v>13.676510390488133</v>
          </cell>
          <cell r="R86">
            <v>3.2445657532889101</v>
          </cell>
          <cell r="S86">
            <v>5.6600918866970318</v>
          </cell>
        </row>
      </sheetData>
      <sheetData sheetId="3" refreshError="1"/>
      <sheetData sheetId="4" refreshError="1"/>
      <sheetData sheetId="5" refreshError="1"/>
      <sheetData sheetId="6" refreshError="1">
        <row r="146">
          <cell r="B146" t="str">
            <v>TOTAL $ i)</v>
          </cell>
          <cell r="D146">
            <v>51.7</v>
          </cell>
          <cell r="E146">
            <v>48.70000000000001</v>
          </cell>
          <cell r="F146">
            <v>52.3</v>
          </cell>
          <cell r="G146">
            <v>51.79999999999999</v>
          </cell>
          <cell r="H146">
            <v>51.79999999999999</v>
          </cell>
          <cell r="I146">
            <v>52.999999999999993</v>
          </cell>
          <cell r="J146">
            <v>56.199999999999996</v>
          </cell>
          <cell r="K146">
            <v>61.099999999999994</v>
          </cell>
          <cell r="L146">
            <v>69.55</v>
          </cell>
          <cell r="M146">
            <v>63.143499999999996</v>
          </cell>
          <cell r="N146">
            <v>45.214500000000001</v>
          </cell>
          <cell r="O146">
            <v>52.631</v>
          </cell>
          <cell r="P146">
            <v>82.15</v>
          </cell>
          <cell r="Q146">
            <v>65.3</v>
          </cell>
          <cell r="R146">
            <v>63.3</v>
          </cell>
          <cell r="S146">
            <v>63.7</v>
          </cell>
        </row>
      </sheetData>
      <sheetData sheetId="7" refreshError="1"/>
      <sheetData sheetId="8" refreshError="1">
        <row r="99">
          <cell r="A99" t="str">
            <v>CRECIMIENTO RFP</v>
          </cell>
          <cell r="O99">
            <v>15.780112486553804</v>
          </cell>
          <cell r="P99">
            <v>16.925533191938214</v>
          </cell>
          <cell r="Q99">
            <v>17.185305361624614</v>
          </cell>
          <cell r="R99">
            <v>21.727315352236815</v>
          </cell>
          <cell r="S99">
            <v>21.336924931172078</v>
          </cell>
        </row>
      </sheetData>
      <sheetData sheetId="9" refreshError="1"/>
      <sheetData sheetId="10" refreshError="1"/>
      <sheetData sheetId="11"/>
      <sheetData sheetId="12"/>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1"/>
      <sheetName val="Cuadro2"/>
      <sheetName val="Cuadro3"/>
      <sheetName val="Cuadro4"/>
      <sheetName val="Cuadro5"/>
    </sheetNames>
    <sheetDataSet>
      <sheetData sheetId="0" refreshError="1"/>
      <sheetData sheetId="1" refreshError="1"/>
      <sheetData sheetId="2" refreshError="1"/>
      <sheetData sheetId="3" refreshError="1"/>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1"/>
      <sheetName val="Cuadro1"/>
      <sheetName val="Cuadro2"/>
      <sheetName val="Cuadro3"/>
      <sheetName val="Cuadro4"/>
      <sheetName val="Cuadro5"/>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ents"/>
      <sheetName val="CONTENTS"/>
      <sheetName val="IN"/>
      <sheetName val="IN-Q"/>
      <sheetName val="IN_TRE"/>
      <sheetName val="IN-HUB"/>
      <sheetName val="OUT-HUB"/>
      <sheetName val="ASSUM"/>
      <sheetName val="X"/>
      <sheetName val="Sheet1"/>
      <sheetName val="M"/>
      <sheetName val="SRT"/>
      <sheetName val="K"/>
      <sheetName val="BOP"/>
      <sheetName val="T1SR"/>
      <sheetName val="T1SR_b"/>
      <sheetName val="Chart1"/>
      <sheetName val="T9SR_bop"/>
      <sheetName val="Sensitivity Analysis"/>
      <sheetName val="T10SR "/>
      <sheetName val="T11SR"/>
      <sheetName val="WETA"/>
      <sheetName val="Au"/>
      <sheetName val="DSA 2002"/>
      <sheetName val="DSA_Presentation"/>
      <sheetName val="NPV_DP2"/>
      <sheetName val="frozen request"/>
      <sheetName val="request"/>
      <sheetName val="Exports for DSA"/>
      <sheetName val="ControlSheet"/>
      <sheetName val="Module1"/>
      <sheetName val="Module2"/>
      <sheetName val="Impact CI"/>
      <sheetName val="GAS March 05"/>
      <sheetName val="GAS Dec04"/>
      <sheetName val="Source Data (Current)"/>
      <sheetName val="Complete Data Set (Annual)"/>
      <sheetName val="Gas 2004"/>
      <sheetName val="T9SR_bop (2)"/>
      <sheetName val="Gas"/>
      <sheetName val=""/>
      <sheetName val="T3SR_bop"/>
      <sheetName val="A Current Data"/>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6">
          <cell r="A36" t="str">
            <v>||</v>
          </cell>
          <cell r="B36" t="str">
            <v xml:space="preserve">          O.w:Russia/China</v>
          </cell>
          <cell r="C36" t="str">
            <v xml:space="preserve">          O.w:Russia/China</v>
          </cell>
          <cell r="E36">
            <v>-1.6</v>
          </cell>
          <cell r="F36">
            <v>-1.6</v>
          </cell>
          <cell r="G36">
            <v>-1.4</v>
          </cell>
          <cell r="H36">
            <v>-1.2</v>
          </cell>
          <cell r="I36">
            <v>-1.1000000000000001</v>
          </cell>
          <cell r="J36">
            <v>-0.9</v>
          </cell>
          <cell r="K36">
            <v>-4.867</v>
          </cell>
          <cell r="L36">
            <v>-1.8</v>
          </cell>
          <cell r="M36">
            <v>-2.931</v>
          </cell>
          <cell r="N36">
            <v>-2.492</v>
          </cell>
          <cell r="O36">
            <v>-2.5</v>
          </cell>
          <cell r="P36">
            <v>-2.242</v>
          </cell>
          <cell r="Q36">
            <v>-1.5</v>
          </cell>
          <cell r="R36">
            <v>0</v>
          </cell>
          <cell r="S36">
            <v>0</v>
          </cell>
          <cell r="T36">
            <v>0</v>
          </cell>
          <cell r="U36">
            <v>0</v>
          </cell>
          <cell r="V36">
            <v>0</v>
          </cell>
          <cell r="W36">
            <v>0</v>
          </cell>
          <cell r="X36">
            <v>-1.7</v>
          </cell>
          <cell r="Y36">
            <v>-1.7</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44">
          <cell r="A44" t="str">
            <v>||</v>
          </cell>
          <cell r="B44" t="str">
            <v xml:space="preserve">             (excl. Russia/China)</v>
          </cell>
          <cell r="C44" t="str">
            <v xml:space="preserve">             (excl. Russia/China)</v>
          </cell>
          <cell r="D44" t="str">
            <v>||</v>
          </cell>
          <cell r="E44">
            <v>-53.256999999999969</v>
          </cell>
          <cell r="F44">
            <v>-53.256999999999969</v>
          </cell>
          <cell r="G44">
            <v>-62.093999999999973</v>
          </cell>
          <cell r="H44">
            <v>-19.858000000000008</v>
          </cell>
          <cell r="I44">
            <v>-27.772000000000006</v>
          </cell>
          <cell r="J44">
            <v>-14.357000000000012</v>
          </cell>
          <cell r="K44">
            <v>-26.595999999999993</v>
          </cell>
          <cell r="L44">
            <v>-8.0779999999999994</v>
          </cell>
          <cell r="M44">
            <v>-22.687000000000001</v>
          </cell>
          <cell r="N44">
            <v>-19.214000000000002</v>
          </cell>
          <cell r="O44">
            <v>-87.936000000000007</v>
          </cell>
          <cell r="P44">
            <v>-85.933999999999955</v>
          </cell>
          <cell r="Q44">
            <v>-131.92835643335684</v>
          </cell>
          <cell r="R44">
            <v>-104.17750762000009</v>
          </cell>
          <cell r="S44">
            <v>-116.02263836547826</v>
          </cell>
          <cell r="T44">
            <v>-151.97383447493075</v>
          </cell>
          <cell r="U44">
            <v>-181.4453478829704</v>
          </cell>
          <cell r="V44">
            <v>-216.3213811633816</v>
          </cell>
          <cell r="W44">
            <v>-227.62783257270709</v>
          </cell>
          <cell r="X44">
            <v>-98.037641815094943</v>
          </cell>
          <cell r="Y44">
            <v>-67.509370837869909</v>
          </cell>
          <cell r="Z44">
            <v>-102.07568869740109</v>
          </cell>
          <cell r="AA44">
            <v>-117.00505434652015</v>
          </cell>
          <cell r="AB44">
            <v>-186.66574785244381</v>
          </cell>
          <cell r="AC44">
            <v>-202.25866091938349</v>
          </cell>
          <cell r="AD44">
            <v>-226.20340499146388</v>
          </cell>
          <cell r="AE44">
            <v>-252.07641617618688</v>
          </cell>
          <cell r="AF44">
            <v>-276.63664882771087</v>
          </cell>
          <cell r="AG44">
            <v>-299.76477025710506</v>
          </cell>
          <cell r="AH44">
            <v>-327.4373047845815</v>
          </cell>
          <cell r="AI44">
            <v>-352.69756218493359</v>
          </cell>
          <cell r="AJ44">
            <v>-387.98428410319104</v>
          </cell>
          <cell r="AK44">
            <v>-426.77280970290764</v>
          </cell>
          <cell r="AL44">
            <v>-468.73848049384901</v>
          </cell>
          <cell r="AM44">
            <v>-509.45492121413713</v>
          </cell>
          <cell r="AN44">
            <v>-553.66212973580946</v>
          </cell>
          <cell r="AO44">
            <v>-601.85896997835709</v>
          </cell>
          <cell r="AP44">
            <v>-653.99438821577883</v>
          </cell>
          <cell r="AQ44">
            <v>-710.22900073663584</v>
          </cell>
        </row>
        <row r="59">
          <cell r="B59" t="str">
            <v xml:space="preserve">     Direct investment (net)</v>
          </cell>
          <cell r="C59" t="str">
            <v xml:space="preserve">     Direct investment (net)</v>
          </cell>
          <cell r="E59">
            <v>-2.6429999999999998</v>
          </cell>
          <cell r="F59">
            <v>-2.6429999999999998</v>
          </cell>
          <cell r="G59">
            <v>-6.7</v>
          </cell>
          <cell r="H59">
            <v>-11.73</v>
          </cell>
          <cell r="I59">
            <v>-3.2</v>
          </cell>
          <cell r="J59">
            <v>-7.4</v>
          </cell>
          <cell r="K59">
            <v>-6.7</v>
          </cell>
          <cell r="L59">
            <v>-6.6</v>
          </cell>
          <cell r="M59">
            <v>0</v>
          </cell>
          <cell r="N59">
            <v>-4.625</v>
          </cell>
          <cell r="O59">
            <v>9.67</v>
          </cell>
          <cell r="P59">
            <v>20.885999999999999</v>
          </cell>
          <cell r="Q59">
            <v>22.164000000000001</v>
          </cell>
          <cell r="R59">
            <v>40.700000000000003</v>
          </cell>
          <cell r="S59">
            <v>5.3</v>
          </cell>
          <cell r="T59">
            <v>0.8</v>
          </cell>
          <cell r="U59">
            <v>55.8</v>
          </cell>
          <cell r="V59" t="e">
            <v>#NULL!</v>
          </cell>
          <cell r="W59">
            <v>76.576999999999998</v>
          </cell>
          <cell r="X59">
            <v>88</v>
          </cell>
          <cell r="Y59">
            <v>168.8</v>
          </cell>
          <cell r="Z59">
            <v>46</v>
          </cell>
          <cell r="AA59">
            <v>21.571826234561822</v>
          </cell>
          <cell r="AB59">
            <v>24.60352962399319</v>
          </cell>
          <cell r="AC59">
            <v>29.470968624983499</v>
          </cell>
          <cell r="AD59">
            <v>29.586367597174309</v>
          </cell>
          <cell r="AE59">
            <v>30.339294578790643</v>
          </cell>
          <cell r="AF59">
            <v>29.397635648754559</v>
          </cell>
          <cell r="AG59">
            <v>26.040320381323635</v>
          </cell>
          <cell r="AH59">
            <v>24.584698139425132</v>
          </cell>
          <cell r="AI59">
            <v>27.4780497222166</v>
          </cell>
          <cell r="AJ59">
            <v>27.941450669375342</v>
          </cell>
          <cell r="AK59">
            <v>28.126969959321166</v>
          </cell>
          <cell r="AL59">
            <v>28.183487468671359</v>
          </cell>
          <cell r="AM59">
            <v>28.832248256668301</v>
          </cell>
          <cell r="AN59">
            <v>29.493357390727901</v>
          </cell>
          <cell r="AO59">
            <v>30.16704985547214</v>
          </cell>
          <cell r="AP59">
            <v>30.853565106190981</v>
          </cell>
          <cell r="AQ59">
            <v>31.553147153878683</v>
          </cell>
          <cell r="AR59">
            <v>32.266044651886745</v>
          </cell>
          <cell r="AS59" t="e">
            <v>#DIV/0!</v>
          </cell>
          <cell r="AT59" t="e">
            <v>#DIV/0!</v>
          </cell>
          <cell r="AU59" t="e">
            <v>#DIV/0!</v>
          </cell>
          <cell r="AV59" t="e">
            <v>#DIV/0!</v>
          </cell>
        </row>
        <row r="79">
          <cell r="B79" t="str">
            <v xml:space="preserve">   (in millions of SDRs)</v>
          </cell>
          <cell r="C79" t="str">
            <v xml:space="preserve">   (in millions of SDRs)</v>
          </cell>
          <cell r="F79">
            <v>-36.188187437086093</v>
          </cell>
          <cell r="G79">
            <v>-36.188187437086093</v>
          </cell>
          <cell r="H79">
            <v>9.5210855375611327</v>
          </cell>
          <cell r="I79">
            <v>46.463943979471935</v>
          </cell>
          <cell r="J79">
            <v>65.64977332635624</v>
          </cell>
          <cell r="K79">
            <v>35.970341859000001</v>
          </cell>
          <cell r="L79">
            <v>84.722656675210629</v>
          </cell>
          <cell r="M79">
            <v>4.5602946639216775</v>
          </cell>
          <cell r="N79">
            <v>30.577513117330795</v>
          </cell>
          <cell r="O79">
            <v>-30.570408845481087</v>
          </cell>
          <cell r="P79">
            <v>38.095117748459231</v>
          </cell>
          <cell r="Q79">
            <v>85.097405801781463</v>
          </cell>
          <cell r="R79">
            <v>-2.5151260274558824</v>
          </cell>
          <cell r="S79">
            <v>-28.19157822427734</v>
          </cell>
          <cell r="T79">
            <v>-12.017652954324085</v>
          </cell>
          <cell r="U79">
            <v>29.705860732986903</v>
          </cell>
          <cell r="V79" t="e">
            <v>#NULL!</v>
          </cell>
          <cell r="W79">
            <v>-35.200021569098865</v>
          </cell>
          <cell r="X79">
            <v>104.26835154530427</v>
          </cell>
          <cell r="Y79">
            <v>89.867966551948371</v>
          </cell>
          <cell r="Z79">
            <v>117.7482262685876</v>
          </cell>
          <cell r="AA79">
            <v>-84.179156611118017</v>
          </cell>
        </row>
        <row r="81">
          <cell r="A81" t="str">
            <v>||</v>
          </cell>
          <cell r="B81" t="str">
            <v>errors and omissions</v>
          </cell>
          <cell r="C81" t="str">
            <v>errors and omissions</v>
          </cell>
          <cell r="D81" t="str">
            <v>||</v>
          </cell>
        </row>
        <row r="82">
          <cell r="A82" t="str">
            <v>||</v>
          </cell>
          <cell r="B82" t="str">
            <v>Check</v>
          </cell>
          <cell r="C82" t="str">
            <v>Check</v>
          </cell>
          <cell r="D82" t="str">
            <v>||</v>
          </cell>
          <cell r="N82">
            <v>0</v>
          </cell>
          <cell r="O82">
            <v>0</v>
          </cell>
          <cell r="P82">
            <v>0</v>
          </cell>
          <cell r="Q82">
            <v>0</v>
          </cell>
          <cell r="R82">
            <v>0</v>
          </cell>
          <cell r="S82">
            <v>0</v>
          </cell>
          <cell r="T82">
            <v>0</v>
          </cell>
          <cell r="U82">
            <v>0</v>
          </cell>
          <cell r="V82" t="e">
            <v>#NULL!</v>
          </cell>
          <cell r="W82">
            <v>0</v>
          </cell>
          <cell r="X82">
            <v>0</v>
          </cell>
          <cell r="Y82">
            <v>0</v>
          </cell>
          <cell r="Z82">
            <v>0</v>
          </cell>
          <cell r="AA82">
            <v>0</v>
          </cell>
          <cell r="AB82">
            <v>0</v>
          </cell>
          <cell r="AC82">
            <v>0</v>
          </cell>
          <cell r="AD82">
            <v>-86.737265930695855</v>
          </cell>
          <cell r="AE82">
            <v>-2.118398347433299</v>
          </cell>
        </row>
        <row r="83">
          <cell r="A83" t="str">
            <v>||</v>
          </cell>
          <cell r="B83" t="str">
            <v>_</v>
          </cell>
          <cell r="C83" t="str">
            <v>_</v>
          </cell>
          <cell r="D83" t="str">
            <v>||</v>
          </cell>
          <cell r="E83" t="str">
            <v>_</v>
          </cell>
          <cell r="F83" t="str">
            <v>_</v>
          </cell>
          <cell r="G83" t="str">
            <v>_</v>
          </cell>
          <cell r="H83" t="str">
            <v>_</v>
          </cell>
          <cell r="I83" t="str">
            <v>_</v>
          </cell>
          <cell r="J83" t="str">
            <v>_</v>
          </cell>
          <cell r="K83" t="str">
            <v>_</v>
          </cell>
          <cell r="L83" t="str">
            <v>_</v>
          </cell>
          <cell r="M83" t="str">
            <v>_</v>
          </cell>
          <cell r="N83" t="str">
            <v>_</v>
          </cell>
          <cell r="O83" t="str">
            <v>_</v>
          </cell>
          <cell r="P83" t="str">
            <v>_</v>
          </cell>
          <cell r="Q83" t="str">
            <v>_</v>
          </cell>
          <cell r="R83" t="str">
            <v>_</v>
          </cell>
          <cell r="S83" t="str">
            <v>_</v>
          </cell>
          <cell r="T83" t="str">
            <v>_</v>
          </cell>
          <cell r="U83" t="str">
            <v>_</v>
          </cell>
          <cell r="V83" t="str">
            <v>_</v>
          </cell>
          <cell r="W83" t="str">
            <v>_</v>
          </cell>
          <cell r="X83" t="str">
            <v>_</v>
          </cell>
          <cell r="Y83" t="str">
            <v>_</v>
          </cell>
          <cell r="Z83" t="str">
            <v>_</v>
          </cell>
          <cell r="AA83" t="str">
            <v>_</v>
          </cell>
          <cell r="AB83" t="str">
            <v>_</v>
          </cell>
          <cell r="AC83" t="str">
            <v>_</v>
          </cell>
          <cell r="AD83" t="str">
            <v>_</v>
          </cell>
          <cell r="AE83" t="str">
            <v>_</v>
          </cell>
          <cell r="AF83" t="str">
            <v>_</v>
          </cell>
          <cell r="AG83" t="str">
            <v>_</v>
          </cell>
          <cell r="AH83" t="str">
            <v>_</v>
          </cell>
          <cell r="AI83" t="str">
            <v>_</v>
          </cell>
          <cell r="AJ83" t="str">
            <v>_</v>
          </cell>
          <cell r="AK83" t="str">
            <v>_</v>
          </cell>
          <cell r="AL83" t="str">
            <v>_</v>
          </cell>
          <cell r="AM83" t="str">
            <v>_</v>
          </cell>
          <cell r="AN83" t="str">
            <v>_</v>
          </cell>
          <cell r="AO83" t="str">
            <v>_</v>
          </cell>
          <cell r="AP83" t="str">
            <v>_</v>
          </cell>
          <cell r="AQ83" t="str">
            <v>_</v>
          </cell>
        </row>
        <row r="84">
          <cell r="A84" t="str">
            <v>||</v>
          </cell>
          <cell r="B84">
            <v>37964.514540162039</v>
          </cell>
          <cell r="C84">
            <v>38092.597013773149</v>
          </cell>
          <cell r="D84" t="str">
            <v>||</v>
          </cell>
          <cell r="E84" t="str">
            <v>1985</v>
          </cell>
          <cell r="F84" t="str">
            <v>1985</v>
          </cell>
          <cell r="G84" t="str">
            <v>1986</v>
          </cell>
          <cell r="H84" t="str">
            <v>1987</v>
          </cell>
          <cell r="I84" t="str">
            <v>1988</v>
          </cell>
          <cell r="J84" t="str">
            <v>1989</v>
          </cell>
          <cell r="K84" t="str">
            <v>1990</v>
          </cell>
          <cell r="L84" t="str">
            <v>1991</v>
          </cell>
          <cell r="M84" t="str">
            <v>1992</v>
          </cell>
          <cell r="N84" t="str">
            <v>1993</v>
          </cell>
          <cell r="O84" t="str">
            <v>1994</v>
          </cell>
          <cell r="P84" t="str">
            <v>1995</v>
          </cell>
          <cell r="Q84">
            <v>1999</v>
          </cell>
          <cell r="R84">
            <v>1999</v>
          </cell>
          <cell r="S84">
            <v>1998</v>
          </cell>
          <cell r="T84">
            <v>1999</v>
          </cell>
          <cell r="U84">
            <v>2001</v>
          </cell>
          <cell r="V84">
            <v>2002</v>
          </cell>
          <cell r="W84">
            <v>2003</v>
          </cell>
          <cell r="X84">
            <v>2004</v>
          </cell>
          <cell r="Y84">
            <v>2004</v>
          </cell>
          <cell r="Z84">
            <v>2005</v>
          </cell>
          <cell r="AA84">
            <v>2006</v>
          </cell>
          <cell r="AB84">
            <v>2007</v>
          </cell>
          <cell r="AC84">
            <v>2008</v>
          </cell>
          <cell r="AD84">
            <v>2009</v>
          </cell>
          <cell r="AE84">
            <v>2010</v>
          </cell>
          <cell r="AF84">
            <v>2011</v>
          </cell>
          <cell r="AG84">
            <v>2012</v>
          </cell>
          <cell r="AH84">
            <v>2013</v>
          </cell>
          <cell r="AI84">
            <v>2014</v>
          </cell>
          <cell r="AJ84">
            <v>2015</v>
          </cell>
          <cell r="AK84">
            <v>2016</v>
          </cell>
          <cell r="AL84">
            <v>2017</v>
          </cell>
          <cell r="AM84">
            <v>2018</v>
          </cell>
          <cell r="AN84">
            <v>2019</v>
          </cell>
          <cell r="AO84">
            <v>2020</v>
          </cell>
          <cell r="AP84">
            <v>2021</v>
          </cell>
          <cell r="AQ84">
            <v>2022</v>
          </cell>
        </row>
        <row r="85">
          <cell r="A85" t="str">
            <v>||</v>
          </cell>
          <cell r="B85">
            <v>37964.514540162039</v>
          </cell>
          <cell r="C85">
            <v>38092.597013773149</v>
          </cell>
          <cell r="D85" t="str">
            <v>||</v>
          </cell>
          <cell r="J85" t="str">
            <v>2/96</v>
          </cell>
          <cell r="K85" t="str">
            <v>2/96</v>
          </cell>
          <cell r="L85" t="str">
            <v>2/96</v>
          </cell>
          <cell r="M85" t="str">
            <v>2/96</v>
          </cell>
          <cell r="N85" t="str">
            <v>2/96</v>
          </cell>
          <cell r="O85" t="str">
            <v>10/97</v>
          </cell>
          <cell r="P85" t="str">
            <v>5/98</v>
          </cell>
          <cell r="Q85" t="str">
            <v>11/99</v>
          </cell>
          <cell r="R85" t="str">
            <v>11/99</v>
          </cell>
          <cell r="S85" t="str">
            <v>11/98</v>
          </cell>
          <cell r="T85" t="str">
            <v>11/99</v>
          </cell>
          <cell r="U85" t="str">
            <v>11/101</v>
          </cell>
          <cell r="V85" t="str">
            <v>11/102</v>
          </cell>
          <cell r="W85" t="str">
            <v>11/103</v>
          </cell>
          <cell r="X85" t="str">
            <v>11/104</v>
          </cell>
          <cell r="Y85" t="str">
            <v>11/104</v>
          </cell>
          <cell r="Z85" t="str">
            <v>11/105</v>
          </cell>
          <cell r="AA85" t="str">
            <v>11/106</v>
          </cell>
          <cell r="AB85" t="str">
            <v>11/107</v>
          </cell>
          <cell r="AC85" t="str">
            <v>11/108</v>
          </cell>
          <cell r="AD85" t="str">
            <v>11/109</v>
          </cell>
          <cell r="AE85" t="str">
            <v>11/110</v>
          </cell>
          <cell r="AF85" t="str">
            <v>11/111</v>
          </cell>
          <cell r="AG85" t="str">
            <v>11/112</v>
          </cell>
          <cell r="AH85" t="str">
            <v>11/113</v>
          </cell>
          <cell r="AI85" t="str">
            <v>11/114</v>
          </cell>
          <cell r="AJ85" t="str">
            <v>11/115</v>
          </cell>
          <cell r="AK85" t="str">
            <v>11/116</v>
          </cell>
          <cell r="AL85" t="str">
            <v>11/117</v>
          </cell>
          <cell r="AM85" t="str">
            <v>11/118</v>
          </cell>
          <cell r="AN85" t="str">
            <v>11/119</v>
          </cell>
          <cell r="AO85" t="str">
            <v>11/120</v>
          </cell>
          <cell r="AP85" t="str">
            <v>11/121</v>
          </cell>
          <cell r="AQ85" t="str">
            <v>11/122</v>
          </cell>
        </row>
        <row r="86">
          <cell r="A86" t="str">
            <v>||</v>
          </cell>
          <cell r="C86" t="str">
            <v>||</v>
          </cell>
          <cell r="D86" t="str">
            <v>||</v>
          </cell>
          <cell r="J86" t="str">
            <v>Rév.</v>
          </cell>
          <cell r="K86" t="str">
            <v>Rév.</v>
          </cell>
          <cell r="L86" t="str">
            <v>Rév.</v>
          </cell>
          <cell r="M86" t="str">
            <v>Rév.</v>
          </cell>
          <cell r="N86" t="str">
            <v>Rév.</v>
          </cell>
          <cell r="O86" t="str">
            <v>Rev.</v>
          </cell>
          <cell r="P86" t="str">
            <v>Rev.</v>
          </cell>
          <cell r="Q86" t="str">
            <v>Proj.</v>
          </cell>
          <cell r="R86" t="str">
            <v>Proj.</v>
          </cell>
          <cell r="S86" t="str">
            <v>Proj.</v>
          </cell>
          <cell r="T86" t="str">
            <v>Proj.</v>
          </cell>
          <cell r="U86" t="str">
            <v>Proj.</v>
          </cell>
          <cell r="V86" t="str">
            <v>Proj.</v>
          </cell>
          <cell r="W86" t="str">
            <v>Proj.</v>
          </cell>
          <cell r="X86" t="str">
            <v>Proj.</v>
          </cell>
          <cell r="Y86" t="str">
            <v>Proj.</v>
          </cell>
          <cell r="Z86" t="str">
            <v>Proj.</v>
          </cell>
          <cell r="AA86" t="str">
            <v>Proj.</v>
          </cell>
          <cell r="AB86" t="str">
            <v>Proj.</v>
          </cell>
          <cell r="AC86" t="str">
            <v>Proj.</v>
          </cell>
          <cell r="AD86" t="str">
            <v>Proj.</v>
          </cell>
          <cell r="AE86" t="str">
            <v>Proj.</v>
          </cell>
          <cell r="AF86" t="str">
            <v>Proj.</v>
          </cell>
          <cell r="AG86" t="str">
            <v>Proj.</v>
          </cell>
          <cell r="AH86" t="str">
            <v>Proj.</v>
          </cell>
          <cell r="AI86" t="str">
            <v>Proj.</v>
          </cell>
          <cell r="AJ86" t="str">
            <v>Proj.</v>
          </cell>
          <cell r="AK86" t="str">
            <v>Proj.</v>
          </cell>
          <cell r="AL86" t="str">
            <v>Proj.</v>
          </cell>
          <cell r="AM86" t="str">
            <v>Proj.</v>
          </cell>
          <cell r="AN86" t="str">
            <v>Proj.</v>
          </cell>
          <cell r="AO86" t="str">
            <v>Proj.</v>
          </cell>
          <cell r="AP86" t="str">
            <v>Proj.</v>
          </cell>
          <cell r="AQ86" t="str">
            <v>Proj.</v>
          </cell>
        </row>
        <row r="87">
          <cell r="A87" t="str">
            <v>||</v>
          </cell>
          <cell r="C87" t="str">
            <v>||</v>
          </cell>
          <cell r="D87" t="str">
            <v>||</v>
          </cell>
        </row>
        <row r="88">
          <cell r="A88" t="str">
            <v>||</v>
          </cell>
          <cell r="B88" t="str">
            <v>_</v>
          </cell>
          <cell r="C88" t="str">
            <v>_</v>
          </cell>
          <cell r="D88" t="str">
            <v>||</v>
          </cell>
          <cell r="E88" t="str">
            <v>_</v>
          </cell>
          <cell r="F88" t="str">
            <v>_</v>
          </cell>
          <cell r="G88" t="str">
            <v>_</v>
          </cell>
          <cell r="H88" t="str">
            <v>_</v>
          </cell>
          <cell r="I88" t="str">
            <v>_</v>
          </cell>
          <cell r="J88" t="str">
            <v>_</v>
          </cell>
          <cell r="K88" t="str">
            <v>_</v>
          </cell>
          <cell r="L88" t="str">
            <v>_</v>
          </cell>
          <cell r="M88" t="str">
            <v>_</v>
          </cell>
          <cell r="N88" t="str">
            <v>_</v>
          </cell>
          <cell r="O88" t="str">
            <v>_</v>
          </cell>
          <cell r="P88" t="str">
            <v>_</v>
          </cell>
          <cell r="Q88" t="str">
            <v>_</v>
          </cell>
          <cell r="R88" t="str">
            <v>_</v>
          </cell>
          <cell r="S88" t="str">
            <v>_</v>
          </cell>
          <cell r="T88" t="str">
            <v>_</v>
          </cell>
          <cell r="U88" t="str">
            <v>_</v>
          </cell>
          <cell r="V88" t="str">
            <v>_</v>
          </cell>
          <cell r="W88" t="str">
            <v>_</v>
          </cell>
          <cell r="X88" t="str">
            <v>_</v>
          </cell>
          <cell r="Y88" t="str">
            <v>_</v>
          </cell>
          <cell r="Z88" t="str">
            <v>_</v>
          </cell>
          <cell r="AA88" t="str">
            <v>_</v>
          </cell>
          <cell r="AB88" t="str">
            <v>_</v>
          </cell>
          <cell r="AC88" t="str">
            <v>_</v>
          </cell>
          <cell r="AD88" t="str">
            <v>_</v>
          </cell>
          <cell r="AE88" t="str">
            <v>_</v>
          </cell>
          <cell r="AF88" t="str">
            <v>_</v>
          </cell>
          <cell r="AG88" t="str">
            <v>_</v>
          </cell>
          <cell r="AH88" t="str">
            <v>_</v>
          </cell>
          <cell r="AI88" t="str">
            <v>_</v>
          </cell>
          <cell r="AJ88" t="str">
            <v>_</v>
          </cell>
          <cell r="AK88" t="str">
            <v>_</v>
          </cell>
          <cell r="AL88" t="str">
            <v>_</v>
          </cell>
          <cell r="AM88" t="str">
            <v>_</v>
          </cell>
          <cell r="AN88" t="str">
            <v>_</v>
          </cell>
          <cell r="AO88" t="str">
            <v>_</v>
          </cell>
          <cell r="AP88" t="str">
            <v>_</v>
          </cell>
          <cell r="AQ88" t="str">
            <v>_</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row r="5">
          <cell r="AV5" t="str">
            <v>I80</v>
          </cell>
        </row>
        <row r="6">
          <cell r="AV6" t="str">
            <v>II</v>
          </cell>
        </row>
        <row r="7">
          <cell r="AV7" t="str">
            <v>III</v>
          </cell>
        </row>
        <row r="8">
          <cell r="AV8" t="str">
            <v>IV</v>
          </cell>
        </row>
        <row r="9">
          <cell r="AV9" t="str">
            <v>I81</v>
          </cell>
        </row>
        <row r="10">
          <cell r="AV10" t="str">
            <v>II</v>
          </cell>
        </row>
        <row r="11">
          <cell r="AV11" t="str">
            <v>III</v>
          </cell>
        </row>
        <row r="12">
          <cell r="AV12" t="str">
            <v>IV</v>
          </cell>
        </row>
        <row r="13">
          <cell r="AV13" t="str">
            <v>I82</v>
          </cell>
        </row>
        <row r="14">
          <cell r="AV14" t="str">
            <v>II</v>
          </cell>
        </row>
        <row r="15">
          <cell r="AV15" t="str">
            <v>III</v>
          </cell>
        </row>
        <row r="16">
          <cell r="AV16" t="str">
            <v>IV</v>
          </cell>
        </row>
        <row r="17">
          <cell r="AV17" t="str">
            <v>I83</v>
          </cell>
        </row>
        <row r="18">
          <cell r="AV18" t="str">
            <v>II</v>
          </cell>
        </row>
        <row r="19">
          <cell r="AV19" t="str">
            <v>III</v>
          </cell>
        </row>
        <row r="20">
          <cell r="AV20" t="str">
            <v>IV</v>
          </cell>
        </row>
        <row r="21">
          <cell r="AV21" t="str">
            <v>I84</v>
          </cell>
        </row>
        <row r="22">
          <cell r="AV22" t="str">
            <v>II</v>
          </cell>
        </row>
        <row r="23">
          <cell r="AV23" t="str">
            <v>III</v>
          </cell>
        </row>
        <row r="24">
          <cell r="AV24" t="str">
            <v>IV</v>
          </cell>
        </row>
        <row r="25">
          <cell r="AV25" t="str">
            <v>I85</v>
          </cell>
        </row>
        <row r="26">
          <cell r="AV26" t="str">
            <v>II</v>
          </cell>
        </row>
        <row r="27">
          <cell r="AV27" t="str">
            <v>III</v>
          </cell>
        </row>
        <row r="28">
          <cell r="AV28" t="str">
            <v>IV</v>
          </cell>
        </row>
        <row r="29">
          <cell r="AV29" t="str">
            <v>I86</v>
          </cell>
        </row>
        <row r="30">
          <cell r="AV30" t="str">
            <v>II</v>
          </cell>
        </row>
        <row r="31">
          <cell r="AV31" t="str">
            <v>III</v>
          </cell>
        </row>
        <row r="32">
          <cell r="AV32" t="str">
            <v>IV</v>
          </cell>
        </row>
        <row r="33">
          <cell r="AV33" t="str">
            <v>I87</v>
          </cell>
        </row>
        <row r="34">
          <cell r="AV34" t="str">
            <v>II</v>
          </cell>
        </row>
        <row r="35">
          <cell r="AV35" t="str">
            <v>III</v>
          </cell>
        </row>
        <row r="36">
          <cell r="AV36" t="str">
            <v>IV</v>
          </cell>
        </row>
        <row r="37">
          <cell r="AV37" t="str">
            <v>I88</v>
          </cell>
        </row>
        <row r="38">
          <cell r="AV38" t="str">
            <v>II</v>
          </cell>
        </row>
        <row r="39">
          <cell r="AV39" t="str">
            <v>III</v>
          </cell>
        </row>
        <row r="40">
          <cell r="AV40" t="str">
            <v>IV</v>
          </cell>
        </row>
        <row r="41">
          <cell r="AV41" t="str">
            <v>I89</v>
          </cell>
        </row>
        <row r="42">
          <cell r="AV42" t="str">
            <v>II</v>
          </cell>
        </row>
        <row r="43">
          <cell r="AV43" t="str">
            <v>III</v>
          </cell>
        </row>
        <row r="44">
          <cell r="AV44" t="str">
            <v>IV</v>
          </cell>
        </row>
        <row r="45">
          <cell r="AV45" t="str">
            <v>I90</v>
          </cell>
        </row>
        <row r="46">
          <cell r="AV46" t="str">
            <v>II</v>
          </cell>
        </row>
        <row r="47">
          <cell r="AV47" t="str">
            <v>III</v>
          </cell>
        </row>
        <row r="48">
          <cell r="AV48" t="str">
            <v>IV</v>
          </cell>
        </row>
        <row r="49">
          <cell r="AV49" t="str">
            <v>I91</v>
          </cell>
        </row>
        <row r="50">
          <cell r="AV50" t="str">
            <v>II</v>
          </cell>
        </row>
        <row r="51">
          <cell r="AV51" t="str">
            <v>III</v>
          </cell>
        </row>
        <row r="52">
          <cell r="AV52" t="str">
            <v>IV</v>
          </cell>
        </row>
        <row r="53">
          <cell r="AV53" t="str">
            <v>I92</v>
          </cell>
        </row>
        <row r="54">
          <cell r="AV54" t="str">
            <v>II</v>
          </cell>
        </row>
        <row r="55">
          <cell r="AV55" t="str">
            <v>III</v>
          </cell>
        </row>
        <row r="56">
          <cell r="AV56" t="str">
            <v>IV</v>
          </cell>
        </row>
        <row r="57">
          <cell r="AV57" t="str">
            <v>I93</v>
          </cell>
        </row>
        <row r="58">
          <cell r="AV58" t="str">
            <v>II</v>
          </cell>
        </row>
        <row r="59">
          <cell r="AV59" t="str">
            <v>III</v>
          </cell>
        </row>
        <row r="60">
          <cell r="AV60" t="str">
            <v>IV</v>
          </cell>
        </row>
        <row r="61">
          <cell r="AV61" t="str">
            <v>I94</v>
          </cell>
        </row>
        <row r="62">
          <cell r="AV62" t="str">
            <v>II</v>
          </cell>
        </row>
        <row r="63">
          <cell r="AV63" t="str">
            <v>III</v>
          </cell>
        </row>
        <row r="64">
          <cell r="AV64" t="str">
            <v>IV</v>
          </cell>
        </row>
        <row r="65">
          <cell r="AV65" t="str">
            <v>I95</v>
          </cell>
        </row>
        <row r="66">
          <cell r="AV66" t="str">
            <v>II</v>
          </cell>
        </row>
        <row r="67">
          <cell r="AV67" t="str">
            <v>III</v>
          </cell>
        </row>
        <row r="68">
          <cell r="AV68" t="str">
            <v>IV</v>
          </cell>
        </row>
        <row r="69">
          <cell r="AV69" t="str">
            <v>I96</v>
          </cell>
        </row>
        <row r="70">
          <cell r="AV70" t="str">
            <v>II</v>
          </cell>
        </row>
        <row r="71">
          <cell r="AV71" t="str">
            <v>III</v>
          </cell>
        </row>
        <row r="72">
          <cell r="AV72" t="str">
            <v>IV</v>
          </cell>
        </row>
        <row r="75">
          <cell r="AV75" t="str">
            <v>El nivel del 93 y 94 se particion¢ utilizando una estructura</v>
          </cell>
        </row>
        <row r="76">
          <cell r="AV76" t="str">
            <v>media de los datos hist¢ricos en vista de que la partici¢n</v>
          </cell>
        </row>
      </sheetData>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put_external"/>
      <sheetName val="Table"/>
      <sheetName val="Table_SR"/>
      <sheetName val="PanelChart"/>
      <sheetName val="Chartdata"/>
      <sheetName val="Table_GEF"/>
      <sheetName val="A1_historical"/>
      <sheetName val="B1_irate"/>
      <sheetName val="B2_GDP"/>
      <sheetName val="B3_CAB"/>
      <sheetName val="B4_Combined"/>
      <sheetName val="B5_Depreciation"/>
      <sheetName val="NPV_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Q"/>
      <sheetName val="QC"/>
      <sheetName val="WDQP"/>
      <sheetName val="QQ1"/>
      <sheetName val="QQ2"/>
      <sheetName val="QQ3"/>
      <sheetName val="WRSTAB"/>
    </sheetNames>
    <sheetDataSet>
      <sheetData sheetId="0" refreshError="1">
        <row r="18">
          <cell r="G18" t="str">
            <v>Last sent to WEO:</v>
          </cell>
        </row>
        <row r="19">
          <cell r="G19" t="str">
            <v xml:space="preserve">       Last updated:</v>
          </cell>
        </row>
        <row r="25">
          <cell r="AB25" t="b">
            <v>0</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row r="3">
          <cell r="A3" t="str">
            <v>Import of services must be neagtive</v>
          </cell>
        </row>
      </sheetData>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s"/>
      <sheetName val="Compare"/>
      <sheetName val="Annual"/>
      <sheetName val="Quarterly"/>
      <sheetName val="Weights"/>
      <sheetName val="A Current Data"/>
      <sheetName val="A Previous Data"/>
      <sheetName val="Q Current Data"/>
      <sheetName val="Q Previous Data"/>
      <sheetName val="Weights Data"/>
      <sheetName val="Compare (Non-Euro)"/>
      <sheetName val="Annual (Non-Euro)"/>
      <sheetName val="Quarterly (Non-Euro)"/>
      <sheetName val="Weights (Non-Euro)"/>
      <sheetName val="A Current Data (Non-Euro)"/>
      <sheetName val="A Previous Data (Non-Euro)"/>
      <sheetName val="Q Current Data (Non-Euro)"/>
      <sheetName val="Q Previous Data (Non-Euro)"/>
      <sheetName val="Weights Data (Non-Euro)"/>
      <sheetName val="ControlSheet"/>
    </sheetNames>
    <sheetDataSet>
      <sheetData sheetId="0" refreshError="1">
        <row r="2">
          <cell r="A2">
            <v>176</v>
          </cell>
        </row>
      </sheetData>
      <sheetData sheetId="1" refreshError="1"/>
      <sheetData sheetId="2" refreshError="1"/>
      <sheetData sheetId="3" refreshError="1"/>
      <sheetData sheetId="4" refreshError="1"/>
      <sheetData sheetId="5" refreshError="1">
        <row r="4">
          <cell r="F4" t="str">
            <v>1994A1</v>
          </cell>
        </row>
        <row r="61">
          <cell r="D61">
            <v>39542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s>
    <sheetDataSet>
      <sheetData sheetId="0" refreshError="1">
        <row r="24">
          <cell r="B24">
            <v>1971</v>
          </cell>
        </row>
        <row r="25">
          <cell r="B25">
            <v>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5"/>
      <sheetName val="OMC"/>
      <sheetName val="CN"/>
      <sheetName val="CEntidades"/>
      <sheetName val="TP$ y BEM$"/>
      <sheetName val="RIN"/>
      <sheetName val="CIERRE"/>
      <sheetName val="IDMC"/>
      <sheetName val="SALIDA"/>
      <sheetName val="SEMAL"/>
      <sheetName val="INFPRE"/>
      <sheetName val="Gráfico2"/>
      <sheetName val="Gráfico3"/>
      <sheetName val="Gráfico1"/>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CIENDA"/>
    </sheetNames>
    <sheetDataSet>
      <sheetData sheetId="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s>
    <sheetDataSet>
      <sheetData sheetId="0" refreshError="1"/>
      <sheetData sheetId="1" refreshError="1"/>
      <sheetData sheetId="2" refreshError="1"/>
      <sheetData sheetId="3" refreshError="1"/>
      <sheetData sheetId="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DEBT"/>
      <sheetName val="DIS"/>
      <sheetName val="AMO"/>
      <sheetName val="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rmal"/>
    </sheetNames>
    <sheetDataSet>
      <sheetData sheetId="0" refreshError="1">
        <row r="1">
          <cell r="A1" t="str">
            <v>DEPARTAMENTO MONETARIO</v>
          </cell>
          <cell r="O1">
            <v>35164</v>
          </cell>
        </row>
        <row r="2">
          <cell r="A2" t="str">
            <v>Mercado de Capitales y Fin. Públicas</v>
          </cell>
          <cell r="B2" t="str">
            <v>GOBIERNO CENTRAL</v>
          </cell>
          <cell r="O2" t="str">
            <v>GFA</v>
          </cell>
        </row>
        <row r="3">
          <cell r="A3" t="str">
            <v>MERCAP\TENENCIA\TENENCIA (NORMAL)</v>
          </cell>
          <cell r="B3" t="str">
            <v xml:space="preserve">                          TENENCIA DE LA DEUDA BONIFICADA</v>
          </cell>
        </row>
        <row r="4">
          <cell r="B4" t="str">
            <v xml:space="preserve">                                                              cifras en millones de colones</v>
          </cell>
        </row>
        <row r="6">
          <cell r="B6">
            <v>1994</v>
          </cell>
          <cell r="C6" t="str">
            <v xml:space="preserve">      1995</v>
          </cell>
          <cell r="D6">
            <v>1995</v>
          </cell>
          <cell r="G6">
            <v>1995</v>
          </cell>
          <cell r="H6">
            <v>1995</v>
          </cell>
          <cell r="J6">
            <v>1995</v>
          </cell>
          <cell r="M6">
            <v>1996</v>
          </cell>
        </row>
        <row r="7">
          <cell r="A7" t="str">
            <v>DETALLE</v>
          </cell>
          <cell r="B7" t="str">
            <v>Dic.</v>
          </cell>
          <cell r="C7" t="str">
            <v>Marzo</v>
          </cell>
          <cell r="D7" t="str">
            <v>Abril</v>
          </cell>
          <cell r="E7" t="str">
            <v>Mayo</v>
          </cell>
          <cell r="F7" t="str">
            <v>Junio</v>
          </cell>
          <cell r="G7" t="str">
            <v>Julio</v>
          </cell>
          <cell r="H7" t="str">
            <v>Ago.</v>
          </cell>
          <cell r="I7" t="str">
            <v>Set.</v>
          </cell>
          <cell r="J7" t="str">
            <v>Oct.</v>
          </cell>
          <cell r="K7" t="str">
            <v>Nov.</v>
          </cell>
          <cell r="L7" t="str">
            <v xml:space="preserve">  Dic.</v>
          </cell>
          <cell r="M7" t="str">
            <v xml:space="preserve">   Enero</v>
          </cell>
          <cell r="N7" t="str">
            <v xml:space="preserve">   Febrero</v>
          </cell>
          <cell r="O7" t="str">
            <v xml:space="preserve">   Marzo</v>
          </cell>
        </row>
        <row r="8">
          <cell r="A8" t="str">
            <v>TOTAL EN CIRCULACION</v>
          </cell>
          <cell r="B8">
            <v>265642.59999999998</v>
          </cell>
          <cell r="C8">
            <v>253349.59999999998</v>
          </cell>
          <cell r="D8">
            <v>259217.59999999998</v>
          </cell>
          <cell r="E8">
            <v>265873.59999999998</v>
          </cell>
          <cell r="F8">
            <v>272630.59999999998</v>
          </cell>
          <cell r="G8">
            <v>284434.59999999998</v>
          </cell>
          <cell r="H8">
            <v>295120.59999999998</v>
          </cell>
          <cell r="I8">
            <v>326277.59999999998</v>
          </cell>
          <cell r="J8">
            <v>339614.6</v>
          </cell>
          <cell r="K8">
            <v>356498.6</v>
          </cell>
          <cell r="L8">
            <v>380937.10349645966</v>
          </cell>
          <cell r="M8">
            <v>399247.277915743</v>
          </cell>
          <cell r="N8">
            <v>410143.29006694857</v>
          </cell>
          <cell r="O8">
            <v>414364.48710247088</v>
          </cell>
        </row>
        <row r="10">
          <cell r="A10" t="str">
            <v>I.   SISTEMA BANCARIO NACIONAL</v>
          </cell>
          <cell r="B10">
            <v>54572.73</v>
          </cell>
          <cell r="C10">
            <v>36751.756000000008</v>
          </cell>
          <cell r="D10">
            <v>37516.135000000002</v>
          </cell>
          <cell r="E10">
            <v>31365.316000000006</v>
          </cell>
          <cell r="F10">
            <v>34500.730000000003</v>
          </cell>
          <cell r="G10">
            <v>32634.122000000003</v>
          </cell>
          <cell r="H10">
            <v>30509.967999999997</v>
          </cell>
          <cell r="I10">
            <v>55643.898000000001</v>
          </cell>
          <cell r="J10">
            <v>56327.673000000003</v>
          </cell>
          <cell r="K10">
            <v>54154.128700000001</v>
          </cell>
          <cell r="L10">
            <v>62754.093400000005</v>
          </cell>
          <cell r="M10">
            <v>65797.700000000012</v>
          </cell>
          <cell r="N10">
            <v>65620.23000000001</v>
          </cell>
          <cell r="O10">
            <v>66328.33</v>
          </cell>
        </row>
        <row r="12">
          <cell r="A12" t="str">
            <v>Banco Central de Costa Rica</v>
          </cell>
          <cell r="B12">
            <v>8410.33</v>
          </cell>
          <cell r="C12">
            <v>8368</v>
          </cell>
          <cell r="D12">
            <v>8355</v>
          </cell>
          <cell r="E12">
            <v>7926</v>
          </cell>
          <cell r="F12">
            <v>7912.9</v>
          </cell>
          <cell r="G12">
            <v>7911.88</v>
          </cell>
          <cell r="H12">
            <v>7911.8739999999998</v>
          </cell>
          <cell r="I12">
            <v>31875</v>
          </cell>
          <cell r="J12">
            <v>32665.3</v>
          </cell>
          <cell r="K12">
            <v>32235</v>
          </cell>
          <cell r="L12">
            <v>32220.800000000003</v>
          </cell>
          <cell r="M12">
            <v>32219.699999999997</v>
          </cell>
          <cell r="N12">
            <v>32160.9</v>
          </cell>
          <cell r="O12">
            <v>32146</v>
          </cell>
        </row>
        <row r="13">
          <cell r="A13" t="str">
            <v>Bco Nacional de Costa Rica</v>
          </cell>
          <cell r="B13">
            <v>19693.900000000001</v>
          </cell>
          <cell r="C13">
            <v>19937.361000000001</v>
          </cell>
          <cell r="D13">
            <v>19339.29</v>
          </cell>
          <cell r="E13">
            <v>14424.666000000001</v>
          </cell>
          <cell r="F13">
            <v>18871.362000000001</v>
          </cell>
          <cell r="G13">
            <v>16827.906999999999</v>
          </cell>
          <cell r="H13">
            <v>14426.521000000001</v>
          </cell>
          <cell r="I13">
            <v>12615.96</v>
          </cell>
          <cell r="J13">
            <v>12289.665000000001</v>
          </cell>
          <cell r="K13">
            <v>14947.768100000001</v>
          </cell>
          <cell r="L13">
            <v>21222.518599999999</v>
          </cell>
          <cell r="M13">
            <v>21237.3</v>
          </cell>
          <cell r="N13">
            <v>22748</v>
          </cell>
          <cell r="O13">
            <v>22639</v>
          </cell>
        </row>
        <row r="14">
          <cell r="A14" t="str">
            <v>Bco de Costa Rica</v>
          </cell>
          <cell r="B14">
            <v>6290.7</v>
          </cell>
          <cell r="C14">
            <v>2967.2739999999999</v>
          </cell>
          <cell r="D14">
            <v>4886</v>
          </cell>
          <cell r="E14">
            <v>2917.42</v>
          </cell>
          <cell r="F14">
            <v>2190.1999999999998</v>
          </cell>
          <cell r="G14">
            <v>2127.88</v>
          </cell>
          <cell r="H14">
            <v>1962.68</v>
          </cell>
          <cell r="I14">
            <v>4526</v>
          </cell>
          <cell r="J14">
            <v>3499.3</v>
          </cell>
          <cell r="K14">
            <v>2439.1</v>
          </cell>
          <cell r="L14">
            <v>4729</v>
          </cell>
          <cell r="M14">
            <v>5002.5</v>
          </cell>
          <cell r="N14">
            <v>2917</v>
          </cell>
          <cell r="O14">
            <v>1602</v>
          </cell>
        </row>
        <row r="15">
          <cell r="A15" t="str">
            <v>Bco Anglo Cost. (Jta. Liq.)</v>
          </cell>
          <cell r="B15">
            <v>16940</v>
          </cell>
          <cell r="C15">
            <v>2572.2199999999998</v>
          </cell>
          <cell r="D15">
            <v>2407</v>
          </cell>
          <cell r="E15">
            <v>2407.33</v>
          </cell>
          <cell r="F15">
            <v>2407.3000000000002</v>
          </cell>
          <cell r="G15">
            <v>2407.33</v>
          </cell>
          <cell r="H15">
            <v>2407.33</v>
          </cell>
          <cell r="I15">
            <v>2407</v>
          </cell>
          <cell r="J15">
            <v>2407.3000000000002</v>
          </cell>
          <cell r="K15">
            <v>2407.33</v>
          </cell>
          <cell r="L15">
            <v>2407.3000000000002</v>
          </cell>
          <cell r="M15">
            <v>2407.3000000000002</v>
          </cell>
          <cell r="N15">
            <v>2407.33</v>
          </cell>
          <cell r="O15">
            <v>2407.33</v>
          </cell>
        </row>
        <row r="16">
          <cell r="A16" t="str">
            <v>Bco Créd. Agrícola Cartago</v>
          </cell>
          <cell r="B16">
            <v>1372.5</v>
          </cell>
          <cell r="C16">
            <v>1055.5900000000001</v>
          </cell>
          <cell r="D16">
            <v>1225.9450000000002</v>
          </cell>
          <cell r="E16">
            <v>1146</v>
          </cell>
          <cell r="F16">
            <v>957.96799999999996</v>
          </cell>
          <cell r="G16">
            <v>973.24199999999996</v>
          </cell>
          <cell r="H16">
            <v>738.51599999999996</v>
          </cell>
          <cell r="I16">
            <v>1171.172</v>
          </cell>
          <cell r="J16">
            <v>2155.5680000000002</v>
          </cell>
          <cell r="K16">
            <v>464.21</v>
          </cell>
          <cell r="L16">
            <v>454.83</v>
          </cell>
          <cell r="M16">
            <v>3470.9</v>
          </cell>
          <cell r="N16">
            <v>3406</v>
          </cell>
          <cell r="O16">
            <v>4758</v>
          </cell>
        </row>
        <row r="17">
          <cell r="A17" t="str">
            <v>Bcos Privados</v>
          </cell>
          <cell r="B17">
            <v>1865.3</v>
          </cell>
          <cell r="C17">
            <v>1851.3109999999999</v>
          </cell>
          <cell r="D17">
            <v>1302.9000000000001</v>
          </cell>
          <cell r="E17">
            <v>2543.9</v>
          </cell>
          <cell r="F17">
            <v>2161</v>
          </cell>
          <cell r="G17">
            <v>2385.8829999999998</v>
          </cell>
          <cell r="H17">
            <v>3063.047</v>
          </cell>
          <cell r="I17">
            <v>3048.7660000000001</v>
          </cell>
          <cell r="J17">
            <v>3310.54</v>
          </cell>
          <cell r="K17">
            <v>1660.7205999999999</v>
          </cell>
          <cell r="L17">
            <v>1719.6448</v>
          </cell>
          <cell r="M17">
            <v>1460</v>
          </cell>
          <cell r="N17">
            <v>1981</v>
          </cell>
          <cell r="O17">
            <v>2776</v>
          </cell>
        </row>
        <row r="19">
          <cell r="A19" t="str">
            <v>II.   SECTOR FINAN. NO BANCARIO</v>
          </cell>
          <cell r="B19">
            <v>44287.5</v>
          </cell>
          <cell r="C19">
            <v>45208</v>
          </cell>
          <cell r="D19">
            <v>43346</v>
          </cell>
          <cell r="E19">
            <v>47010</v>
          </cell>
          <cell r="F19">
            <v>46601.599999999999</v>
          </cell>
          <cell r="G19">
            <v>46334.6</v>
          </cell>
          <cell r="H19">
            <v>47177.599999999999</v>
          </cell>
          <cell r="I19">
            <v>46666</v>
          </cell>
          <cell r="J19">
            <v>49405</v>
          </cell>
          <cell r="K19">
            <v>49491.270000000004</v>
          </cell>
          <cell r="L19">
            <v>51760.1</v>
          </cell>
          <cell r="M19">
            <v>59829</v>
          </cell>
          <cell r="N19">
            <v>59829</v>
          </cell>
          <cell r="O19">
            <v>59829</v>
          </cell>
        </row>
        <row r="21">
          <cell r="A21" t="str">
            <v>Bco Hipot Vivienda (BANHVI)</v>
          </cell>
          <cell r="B21">
            <v>1849</v>
          </cell>
          <cell r="C21">
            <v>1434</v>
          </cell>
          <cell r="D21">
            <v>1339</v>
          </cell>
          <cell r="E21">
            <v>1344</v>
          </cell>
          <cell r="F21">
            <v>1371</v>
          </cell>
          <cell r="G21">
            <v>1374</v>
          </cell>
          <cell r="H21">
            <v>1217</v>
          </cell>
          <cell r="I21">
            <v>992</v>
          </cell>
          <cell r="J21">
            <v>798</v>
          </cell>
          <cell r="K21">
            <v>602.97</v>
          </cell>
          <cell r="L21">
            <v>408</v>
          </cell>
          <cell r="M21">
            <v>708</v>
          </cell>
          <cell r="N21">
            <v>708</v>
          </cell>
          <cell r="O21">
            <v>708</v>
          </cell>
        </row>
        <row r="22">
          <cell r="A22" t="str">
            <v>Bco Popular Desarr Comunal</v>
          </cell>
          <cell r="B22">
            <v>16953</v>
          </cell>
          <cell r="C22">
            <v>14804</v>
          </cell>
          <cell r="D22">
            <v>14425</v>
          </cell>
          <cell r="E22">
            <v>14581</v>
          </cell>
          <cell r="F22">
            <v>14230</v>
          </cell>
          <cell r="G22">
            <v>12510</v>
          </cell>
          <cell r="H22">
            <v>11313</v>
          </cell>
          <cell r="I22">
            <v>11313</v>
          </cell>
          <cell r="J22">
            <v>11483</v>
          </cell>
          <cell r="K22">
            <v>9008</v>
          </cell>
          <cell r="L22">
            <v>9845.2000000000007</v>
          </cell>
          <cell r="M22">
            <v>14900</v>
          </cell>
          <cell r="N22">
            <v>14900</v>
          </cell>
          <cell r="O22">
            <v>14900</v>
          </cell>
        </row>
        <row r="23">
          <cell r="A23" t="str">
            <v>Inst. Fomento Ases. Munic.</v>
          </cell>
          <cell r="B23">
            <v>1016</v>
          </cell>
          <cell r="C23">
            <v>779</v>
          </cell>
          <cell r="D23">
            <v>1023</v>
          </cell>
          <cell r="E23">
            <v>1024</v>
          </cell>
          <cell r="F23">
            <v>1010.6</v>
          </cell>
          <cell r="G23">
            <v>1010.6</v>
          </cell>
          <cell r="H23">
            <v>1010.6</v>
          </cell>
          <cell r="I23">
            <v>1011</v>
          </cell>
          <cell r="J23">
            <v>240</v>
          </cell>
          <cell r="K23">
            <v>902</v>
          </cell>
          <cell r="L23">
            <v>1124</v>
          </cell>
          <cell r="M23">
            <v>1182</v>
          </cell>
          <cell r="N23">
            <v>1182</v>
          </cell>
          <cell r="O23">
            <v>1182</v>
          </cell>
        </row>
        <row r="24">
          <cell r="A24" t="str">
            <v>Inst. Nal Fomento Cooperat.</v>
          </cell>
          <cell r="B24">
            <v>1134</v>
          </cell>
          <cell r="C24">
            <v>1531</v>
          </cell>
          <cell r="D24">
            <v>1525</v>
          </cell>
          <cell r="E24">
            <v>1537</v>
          </cell>
          <cell r="F24">
            <v>1607</v>
          </cell>
          <cell r="G24">
            <v>1391</v>
          </cell>
          <cell r="H24">
            <v>1628</v>
          </cell>
          <cell r="I24">
            <v>1630</v>
          </cell>
          <cell r="J24">
            <v>1630</v>
          </cell>
          <cell r="K24">
            <v>1931</v>
          </cell>
          <cell r="L24">
            <v>2096.9</v>
          </cell>
          <cell r="M24">
            <v>2099</v>
          </cell>
          <cell r="N24">
            <v>2099</v>
          </cell>
          <cell r="O24">
            <v>2099</v>
          </cell>
        </row>
        <row r="25">
          <cell r="A25" t="str">
            <v>Inst. Nal Vivienda Urban.</v>
          </cell>
          <cell r="B25">
            <v>2</v>
          </cell>
          <cell r="C25">
            <v>2</v>
          </cell>
          <cell r="D25">
            <v>2</v>
          </cell>
          <cell r="E25">
            <v>2</v>
          </cell>
          <cell r="F25">
            <v>2</v>
          </cell>
          <cell r="G25">
            <v>2</v>
          </cell>
          <cell r="H25">
            <v>2</v>
          </cell>
          <cell r="I25">
            <v>2</v>
          </cell>
          <cell r="J25">
            <v>2</v>
          </cell>
          <cell r="K25">
            <v>2</v>
          </cell>
          <cell r="L25">
            <v>2</v>
          </cell>
          <cell r="M25">
            <v>2</v>
          </cell>
          <cell r="N25">
            <v>2</v>
          </cell>
          <cell r="O25">
            <v>2</v>
          </cell>
        </row>
        <row r="26">
          <cell r="A26" t="str">
            <v>Inst. Nal Seguros (INS)</v>
          </cell>
          <cell r="B26">
            <v>18920.5</v>
          </cell>
          <cell r="C26">
            <v>19257</v>
          </cell>
          <cell r="D26">
            <v>17527</v>
          </cell>
          <cell r="E26">
            <v>20690</v>
          </cell>
          <cell r="F26">
            <v>20549</v>
          </cell>
          <cell r="G26">
            <v>21681</v>
          </cell>
          <cell r="H26">
            <v>23362</v>
          </cell>
          <cell r="I26">
            <v>22609</v>
          </cell>
          <cell r="J26">
            <v>26481</v>
          </cell>
          <cell r="K26">
            <v>26429</v>
          </cell>
          <cell r="L26">
            <v>27265</v>
          </cell>
          <cell r="M26">
            <v>30526</v>
          </cell>
          <cell r="N26">
            <v>30526</v>
          </cell>
          <cell r="O26">
            <v>30526</v>
          </cell>
        </row>
        <row r="27">
          <cell r="A27" t="str">
            <v>Poder Judicial (Jta Pens.)</v>
          </cell>
          <cell r="B27">
            <v>4413</v>
          </cell>
          <cell r="C27">
            <v>7401</v>
          </cell>
          <cell r="D27">
            <v>7505</v>
          </cell>
          <cell r="E27">
            <v>7832</v>
          </cell>
          <cell r="F27">
            <v>7832</v>
          </cell>
          <cell r="G27">
            <v>8366</v>
          </cell>
          <cell r="H27">
            <v>8645</v>
          </cell>
          <cell r="I27">
            <v>9109</v>
          </cell>
          <cell r="J27">
            <v>8771</v>
          </cell>
          <cell r="K27">
            <v>10616.3</v>
          </cell>
          <cell r="L27">
            <v>11019</v>
          </cell>
          <cell r="M27">
            <v>10412</v>
          </cell>
          <cell r="N27">
            <v>10412</v>
          </cell>
          <cell r="O27">
            <v>10412</v>
          </cell>
        </row>
        <row r="29">
          <cell r="A29" t="str">
            <v>III.    SECTOR PUBLICO NO FINAN.</v>
          </cell>
          <cell r="B29">
            <v>83342.299999999988</v>
          </cell>
          <cell r="C29">
            <v>81648.10000000002</v>
          </cell>
          <cell r="D29">
            <v>83347.500000000015</v>
          </cell>
          <cell r="E29">
            <v>81332.700000000041</v>
          </cell>
          <cell r="F29">
            <v>80323.700000000012</v>
          </cell>
          <cell r="G29">
            <v>85523.9</v>
          </cell>
          <cell r="H29">
            <v>87715.60000000002</v>
          </cell>
          <cell r="I29">
            <v>90485.9</v>
          </cell>
          <cell r="J29">
            <v>91369.199999999983</v>
          </cell>
          <cell r="K29">
            <v>95046.399999999994</v>
          </cell>
          <cell r="L29">
            <v>95522.5</v>
          </cell>
          <cell r="M29">
            <v>96002.099999999991</v>
          </cell>
          <cell r="N29">
            <v>93827.4</v>
          </cell>
          <cell r="O29">
            <v>97943.299999999988</v>
          </cell>
        </row>
        <row r="31">
          <cell r="A31" t="str">
            <v>Caja Cost de Seguro Social</v>
          </cell>
          <cell r="B31">
            <v>52147.4</v>
          </cell>
          <cell r="C31">
            <v>51921.80000000001</v>
          </cell>
          <cell r="D31">
            <v>53118.200000000004</v>
          </cell>
          <cell r="E31">
            <v>51471.000000000007</v>
          </cell>
          <cell r="F31">
            <v>51016.9</v>
          </cell>
          <cell r="G31">
            <v>56648.000000000007</v>
          </cell>
          <cell r="H31">
            <v>59033.200000000004</v>
          </cell>
          <cell r="I31">
            <v>59226.9</v>
          </cell>
          <cell r="J31">
            <v>58988</v>
          </cell>
          <cell r="K31">
            <v>61994.5</v>
          </cell>
          <cell r="L31">
            <v>62680.9</v>
          </cell>
          <cell r="M31">
            <v>62693.7</v>
          </cell>
          <cell r="N31">
            <v>60519</v>
          </cell>
          <cell r="O31">
            <v>64634.9</v>
          </cell>
        </row>
        <row r="32">
          <cell r="A32" t="str">
            <v>Consejo Nacional Producc.</v>
          </cell>
          <cell r="B32">
            <v>545.70000000000005</v>
          </cell>
          <cell r="C32">
            <v>572.29999999999995</v>
          </cell>
          <cell r="D32">
            <v>572.29999999999995</v>
          </cell>
          <cell r="E32">
            <v>572.29999999999995</v>
          </cell>
          <cell r="F32">
            <v>572.29999999999995</v>
          </cell>
          <cell r="G32">
            <v>35</v>
          </cell>
          <cell r="H32">
            <v>35.5</v>
          </cell>
          <cell r="I32">
            <v>35.5</v>
          </cell>
          <cell r="J32">
            <v>8.5</v>
          </cell>
          <cell r="K32">
            <v>8.5</v>
          </cell>
          <cell r="L32">
            <v>8.5</v>
          </cell>
          <cell r="M32">
            <v>8.5</v>
          </cell>
          <cell r="N32">
            <v>8.5</v>
          </cell>
          <cell r="O32">
            <v>8.5</v>
          </cell>
        </row>
        <row r="33">
          <cell r="A33" t="str">
            <v>Consejo Téc. Asist. Méd-Soc.</v>
          </cell>
          <cell r="B33">
            <v>2210</v>
          </cell>
          <cell r="C33">
            <v>3520.7</v>
          </cell>
          <cell r="D33">
            <v>3520.7</v>
          </cell>
          <cell r="E33">
            <v>2265.4</v>
          </cell>
          <cell r="F33">
            <v>2510.4</v>
          </cell>
          <cell r="G33">
            <v>2430.4</v>
          </cell>
          <cell r="H33">
            <v>2430.4</v>
          </cell>
          <cell r="I33">
            <v>3630.1</v>
          </cell>
          <cell r="J33">
            <v>3621.6</v>
          </cell>
          <cell r="K33">
            <v>3246.1</v>
          </cell>
          <cell r="L33">
            <v>3092.2</v>
          </cell>
          <cell r="M33">
            <v>3246</v>
          </cell>
          <cell r="N33">
            <v>3246</v>
          </cell>
          <cell r="O33">
            <v>3246</v>
          </cell>
        </row>
        <row r="34">
          <cell r="A34" t="str">
            <v>Corp. Costarric. Desarrollo</v>
          </cell>
          <cell r="B34">
            <v>1034</v>
          </cell>
          <cell r="C34">
            <v>1064.4000000000001</v>
          </cell>
          <cell r="D34">
            <v>1155</v>
          </cell>
          <cell r="E34">
            <v>1732.4</v>
          </cell>
          <cell r="F34">
            <v>1809.8</v>
          </cell>
          <cell r="G34">
            <v>1884.6</v>
          </cell>
          <cell r="H34">
            <v>1965.8</v>
          </cell>
          <cell r="I34">
            <v>2194</v>
          </cell>
          <cell r="J34">
            <v>2171.3000000000002</v>
          </cell>
          <cell r="K34">
            <v>1727.4</v>
          </cell>
          <cell r="L34">
            <v>2067</v>
          </cell>
          <cell r="M34">
            <v>2210</v>
          </cell>
          <cell r="N34">
            <v>2210</v>
          </cell>
          <cell r="O34">
            <v>2210</v>
          </cell>
        </row>
        <row r="35">
          <cell r="A35" t="str">
            <v>Direc. Gral de Asig Famil.</v>
          </cell>
          <cell r="B35">
            <v>4682</v>
          </cell>
          <cell r="C35">
            <v>4322</v>
          </cell>
          <cell r="D35">
            <v>4322</v>
          </cell>
          <cell r="E35">
            <v>4407</v>
          </cell>
          <cell r="F35">
            <v>3652</v>
          </cell>
          <cell r="G35">
            <v>3302</v>
          </cell>
          <cell r="H35">
            <v>3302</v>
          </cell>
          <cell r="I35">
            <v>3602</v>
          </cell>
          <cell r="J35">
            <v>3987</v>
          </cell>
          <cell r="K35">
            <v>3902</v>
          </cell>
          <cell r="L35">
            <v>4402</v>
          </cell>
          <cell r="M35">
            <v>4402</v>
          </cell>
          <cell r="N35">
            <v>4402</v>
          </cell>
          <cell r="O35">
            <v>4402</v>
          </cell>
        </row>
        <row r="36">
          <cell r="A36" t="str">
            <v>Empresa Servic Púb Heredia</v>
          </cell>
          <cell r="B36">
            <v>205</v>
          </cell>
          <cell r="C36">
            <v>255</v>
          </cell>
          <cell r="D36">
            <v>255</v>
          </cell>
          <cell r="E36">
            <v>255</v>
          </cell>
          <cell r="F36">
            <v>255</v>
          </cell>
          <cell r="G36">
            <v>255</v>
          </cell>
          <cell r="H36">
            <v>335</v>
          </cell>
          <cell r="I36">
            <v>345.1</v>
          </cell>
          <cell r="J36">
            <v>380.1</v>
          </cell>
          <cell r="K36">
            <v>385.1</v>
          </cell>
          <cell r="L36">
            <v>335</v>
          </cell>
          <cell r="M36">
            <v>335</v>
          </cell>
          <cell r="N36">
            <v>335</v>
          </cell>
          <cell r="O36">
            <v>335</v>
          </cell>
        </row>
        <row r="37">
          <cell r="A37" t="str">
            <v>Fábrica  Nacional  Licores</v>
          </cell>
          <cell r="B37">
            <v>41.5</v>
          </cell>
          <cell r="C37">
            <v>41.1</v>
          </cell>
          <cell r="D37">
            <v>15.9</v>
          </cell>
          <cell r="E37">
            <v>15.8</v>
          </cell>
          <cell r="F37">
            <v>7.8</v>
          </cell>
          <cell r="G37">
            <v>7.8</v>
          </cell>
          <cell r="H37">
            <v>7.8</v>
          </cell>
          <cell r="I37">
            <v>7.6</v>
          </cell>
          <cell r="J37">
            <v>7.4</v>
          </cell>
          <cell r="K37">
            <v>7.3</v>
          </cell>
          <cell r="L37">
            <v>7.3</v>
          </cell>
          <cell r="M37">
            <v>7.3</v>
          </cell>
          <cell r="N37">
            <v>7.3</v>
          </cell>
          <cell r="O37">
            <v>7.3</v>
          </cell>
        </row>
        <row r="38">
          <cell r="A38" t="str">
            <v>Inst. Costar. Acued Alcant</v>
          </cell>
          <cell r="B38">
            <v>467.5</v>
          </cell>
          <cell r="C38">
            <v>844.8</v>
          </cell>
          <cell r="D38">
            <v>694.8</v>
          </cell>
          <cell r="E38">
            <v>868</v>
          </cell>
          <cell r="F38">
            <v>1093.7</v>
          </cell>
          <cell r="G38">
            <v>791</v>
          </cell>
          <cell r="H38">
            <v>810.8</v>
          </cell>
          <cell r="I38">
            <v>1137.2</v>
          </cell>
          <cell r="J38">
            <v>990.7</v>
          </cell>
          <cell r="K38">
            <v>1047.7</v>
          </cell>
          <cell r="L38">
            <v>1091</v>
          </cell>
          <cell r="M38">
            <v>1233</v>
          </cell>
          <cell r="N38">
            <v>1233</v>
          </cell>
          <cell r="O38">
            <v>1233</v>
          </cell>
        </row>
        <row r="39">
          <cell r="A39" t="str">
            <v>Inst. Costar. Electricidad</v>
          </cell>
          <cell r="B39">
            <v>6922.1</v>
          </cell>
          <cell r="C39">
            <v>2719</v>
          </cell>
          <cell r="D39">
            <v>2616.5</v>
          </cell>
          <cell r="E39">
            <v>2557.8000000000002</v>
          </cell>
          <cell r="F39">
            <v>2557.8000000000002</v>
          </cell>
          <cell r="G39">
            <v>2557.8000000000002</v>
          </cell>
          <cell r="H39">
            <v>2557.8000000000002</v>
          </cell>
          <cell r="I39">
            <v>2458</v>
          </cell>
          <cell r="J39">
            <v>2440.4</v>
          </cell>
          <cell r="K39">
            <v>2425.4</v>
          </cell>
          <cell r="L39">
            <v>2430</v>
          </cell>
          <cell r="M39">
            <v>2440</v>
          </cell>
          <cell r="N39">
            <v>2440</v>
          </cell>
          <cell r="O39">
            <v>2440</v>
          </cell>
        </row>
        <row r="40">
          <cell r="A40" t="str">
            <v>Inst. Costar. Ferrocarriles</v>
          </cell>
          <cell r="B40">
            <v>0</v>
          </cell>
          <cell r="C40">
            <v>0</v>
          </cell>
          <cell r="D40">
            <v>0</v>
          </cell>
          <cell r="E40">
            <v>0</v>
          </cell>
          <cell r="F40">
            <v>0</v>
          </cell>
          <cell r="G40">
            <v>0</v>
          </cell>
          <cell r="H40">
            <v>0</v>
          </cell>
          <cell r="I40">
            <v>0</v>
          </cell>
          <cell r="J40">
            <v>0</v>
          </cell>
          <cell r="K40">
            <v>0</v>
          </cell>
          <cell r="L40">
            <v>0</v>
          </cell>
          <cell r="M40">
            <v>0</v>
          </cell>
          <cell r="N40">
            <v>0</v>
          </cell>
          <cell r="O40">
            <v>0</v>
          </cell>
        </row>
        <row r="41">
          <cell r="A41" t="str">
            <v>Inst. Costar. Puertos Pacífico</v>
          </cell>
          <cell r="B41">
            <v>561.70000000000005</v>
          </cell>
          <cell r="C41">
            <v>643.79999999999995</v>
          </cell>
          <cell r="D41">
            <v>643.79999999999995</v>
          </cell>
          <cell r="E41">
            <v>643.79999999999995</v>
          </cell>
          <cell r="F41">
            <v>643.79999999999995</v>
          </cell>
          <cell r="G41">
            <v>764.8</v>
          </cell>
          <cell r="H41">
            <v>764.8</v>
          </cell>
          <cell r="I41">
            <v>897.2</v>
          </cell>
          <cell r="J41">
            <v>910.2</v>
          </cell>
          <cell r="K41">
            <v>818.2</v>
          </cell>
          <cell r="L41">
            <v>760.9</v>
          </cell>
          <cell r="M41">
            <v>760.9</v>
          </cell>
          <cell r="N41">
            <v>760.9</v>
          </cell>
          <cell r="O41">
            <v>760.9</v>
          </cell>
        </row>
        <row r="42">
          <cell r="A42" t="str">
            <v>Inst. Costar. de Turismo</v>
          </cell>
          <cell r="B42">
            <v>2625</v>
          </cell>
          <cell r="C42">
            <v>2760.6</v>
          </cell>
          <cell r="D42">
            <v>2925.5</v>
          </cell>
          <cell r="E42">
            <v>2995</v>
          </cell>
          <cell r="F42">
            <v>3015</v>
          </cell>
          <cell r="G42">
            <v>3104.3</v>
          </cell>
          <cell r="H42">
            <v>3224.3</v>
          </cell>
          <cell r="I42">
            <v>3225.5</v>
          </cell>
          <cell r="J42">
            <v>3152.3</v>
          </cell>
          <cell r="K42">
            <v>3246</v>
          </cell>
          <cell r="L42">
            <v>3235</v>
          </cell>
          <cell r="M42">
            <v>3361</v>
          </cell>
          <cell r="N42">
            <v>3361</v>
          </cell>
          <cell r="O42">
            <v>3361</v>
          </cell>
        </row>
        <row r="43">
          <cell r="A43" t="str">
            <v>Inst. Desarrollo Agrario</v>
          </cell>
          <cell r="B43">
            <v>380</v>
          </cell>
          <cell r="C43">
            <v>445.8</v>
          </cell>
          <cell r="D43">
            <v>445.8</v>
          </cell>
          <cell r="E43">
            <v>350.6</v>
          </cell>
          <cell r="F43">
            <v>350.6</v>
          </cell>
          <cell r="G43">
            <v>702.4</v>
          </cell>
          <cell r="H43">
            <v>583.4</v>
          </cell>
          <cell r="I43">
            <v>485.3</v>
          </cell>
          <cell r="J43">
            <v>694.1</v>
          </cell>
          <cell r="K43">
            <v>694</v>
          </cell>
          <cell r="L43">
            <v>894</v>
          </cell>
          <cell r="M43">
            <v>679</v>
          </cell>
          <cell r="N43">
            <v>679</v>
          </cell>
          <cell r="O43">
            <v>679</v>
          </cell>
        </row>
        <row r="44">
          <cell r="A44" t="str">
            <v>Inst. Nacional Aprendizaje</v>
          </cell>
          <cell r="B44">
            <v>7304.9</v>
          </cell>
          <cell r="C44">
            <v>8404.4</v>
          </cell>
          <cell r="D44">
            <v>8404.4</v>
          </cell>
          <cell r="E44">
            <v>8400</v>
          </cell>
          <cell r="F44">
            <v>9008.5</v>
          </cell>
          <cell r="G44">
            <v>9008.5</v>
          </cell>
          <cell r="H44">
            <v>9165.2999999999993</v>
          </cell>
          <cell r="I44">
            <v>9398.9</v>
          </cell>
          <cell r="J44">
            <v>9678.9</v>
          </cell>
          <cell r="K44">
            <v>9794.9</v>
          </cell>
          <cell r="L44">
            <v>9794.9</v>
          </cell>
          <cell r="M44">
            <v>9794.9</v>
          </cell>
          <cell r="N44">
            <v>9794.9</v>
          </cell>
          <cell r="O44">
            <v>9794.9</v>
          </cell>
        </row>
        <row r="45">
          <cell r="A45" t="str">
            <v>Inst. del Café (ICAFE)</v>
          </cell>
          <cell r="B45">
            <v>698.5</v>
          </cell>
          <cell r="C45">
            <v>789.6</v>
          </cell>
          <cell r="D45">
            <v>906.3</v>
          </cell>
          <cell r="E45">
            <v>956.3</v>
          </cell>
          <cell r="F45">
            <v>972.4</v>
          </cell>
          <cell r="G45">
            <v>979.4</v>
          </cell>
          <cell r="H45">
            <v>1048.3</v>
          </cell>
          <cell r="I45">
            <v>1086.3</v>
          </cell>
          <cell r="J45">
            <v>1186</v>
          </cell>
          <cell r="K45">
            <v>1235.3</v>
          </cell>
          <cell r="L45">
            <v>1254</v>
          </cell>
          <cell r="M45">
            <v>1361</v>
          </cell>
          <cell r="N45">
            <v>1361</v>
          </cell>
          <cell r="O45">
            <v>1361</v>
          </cell>
        </row>
        <row r="46">
          <cell r="A46" t="str">
            <v>Jta de Protec. Social S.J.</v>
          </cell>
          <cell r="B46">
            <v>2823</v>
          </cell>
          <cell r="C46">
            <v>2938.8</v>
          </cell>
          <cell r="D46">
            <v>2922.3</v>
          </cell>
          <cell r="E46">
            <v>3008</v>
          </cell>
          <cell r="F46">
            <v>2023.4</v>
          </cell>
          <cell r="G46">
            <v>3038</v>
          </cell>
          <cell r="H46">
            <v>2436.3000000000002</v>
          </cell>
          <cell r="I46">
            <v>2741.4</v>
          </cell>
          <cell r="J46">
            <v>3086.7</v>
          </cell>
          <cell r="K46">
            <v>4448</v>
          </cell>
          <cell r="L46">
            <v>3384</v>
          </cell>
          <cell r="M46">
            <v>3384</v>
          </cell>
          <cell r="N46">
            <v>3384</v>
          </cell>
          <cell r="O46">
            <v>3384</v>
          </cell>
        </row>
        <row r="47">
          <cell r="A47" t="str">
            <v>OCIS</v>
          </cell>
          <cell r="B47">
            <v>9</v>
          </cell>
          <cell r="C47">
            <v>9</v>
          </cell>
          <cell r="D47">
            <v>9</v>
          </cell>
          <cell r="E47">
            <v>14.3</v>
          </cell>
          <cell r="F47">
            <v>14.3</v>
          </cell>
          <cell r="G47">
            <v>14.9</v>
          </cell>
          <cell r="H47">
            <v>14.9</v>
          </cell>
          <cell r="I47">
            <v>14.9</v>
          </cell>
          <cell r="J47">
            <v>66</v>
          </cell>
          <cell r="K47">
            <v>66</v>
          </cell>
          <cell r="L47">
            <v>85.8</v>
          </cell>
          <cell r="M47">
            <v>85.8</v>
          </cell>
          <cell r="N47">
            <v>85.8</v>
          </cell>
          <cell r="O47">
            <v>85.8</v>
          </cell>
        </row>
        <row r="48">
          <cell r="A48" t="str">
            <v>Refinadora Costar Petróleo</v>
          </cell>
          <cell r="B48">
            <v>685</v>
          </cell>
          <cell r="C48">
            <v>395</v>
          </cell>
          <cell r="D48">
            <v>820</v>
          </cell>
          <cell r="E48">
            <v>820</v>
          </cell>
          <cell r="F48">
            <v>820</v>
          </cell>
          <cell r="G48">
            <v>0</v>
          </cell>
          <cell r="H48">
            <v>0</v>
          </cell>
          <cell r="I48">
            <v>0</v>
          </cell>
          <cell r="J48">
            <v>0</v>
          </cell>
          <cell r="K48">
            <v>0</v>
          </cell>
          <cell r="L48">
            <v>0</v>
          </cell>
          <cell r="M48">
            <v>0</v>
          </cell>
          <cell r="N48">
            <v>0</v>
          </cell>
          <cell r="O48">
            <v>0</v>
          </cell>
        </row>
        <row r="50">
          <cell r="A50" t="str">
            <v>IV.   RESTO DEL SECTOR PUBLICO</v>
          </cell>
          <cell r="B50">
            <v>9481.2000000000007</v>
          </cell>
          <cell r="C50">
            <v>11535.99999999998</v>
          </cell>
          <cell r="D50">
            <v>10129.999999999985</v>
          </cell>
          <cell r="E50">
            <v>11516.99999999996</v>
          </cell>
          <cell r="F50">
            <v>12853.399999999983</v>
          </cell>
          <cell r="G50">
            <v>12164.200000000012</v>
          </cell>
          <cell r="H50">
            <v>12431.599999999962</v>
          </cell>
          <cell r="I50">
            <v>13437.300000000017</v>
          </cell>
          <cell r="J50">
            <v>11983.800000000017</v>
          </cell>
          <cell r="K50">
            <v>13347.62999999999</v>
          </cell>
          <cell r="L50">
            <v>12100.399999999994</v>
          </cell>
          <cell r="M50">
            <v>13067.699999999997</v>
          </cell>
          <cell r="N50">
            <v>13067.600000000006</v>
          </cell>
          <cell r="O50">
            <v>13067.600000000011</v>
          </cell>
        </row>
        <row r="52">
          <cell r="A52" t="str">
            <v>V.    SECTOR PRIVADO AJUSTADO</v>
          </cell>
          <cell r="B52">
            <v>73958.869999999981</v>
          </cell>
          <cell r="C52">
            <v>78120.743999999977</v>
          </cell>
          <cell r="D52">
            <v>84877.964999999967</v>
          </cell>
          <cell r="E52">
            <v>94648.583999999988</v>
          </cell>
          <cell r="F52">
            <v>98351.169999999969</v>
          </cell>
          <cell r="G52">
            <v>107777.77799999996</v>
          </cell>
          <cell r="H52">
            <v>117285.83199999999</v>
          </cell>
          <cell r="I52">
            <v>120044.50199999998</v>
          </cell>
          <cell r="J52">
            <v>130528.92699999997</v>
          </cell>
          <cell r="K52">
            <v>144459.17129999999</v>
          </cell>
          <cell r="L52">
            <v>158800.01009645968</v>
          </cell>
          <cell r="M52">
            <v>164550.777915743</v>
          </cell>
          <cell r="N52">
            <v>177799.06006694853</v>
          </cell>
          <cell r="O52">
            <v>177196.25710247087</v>
          </cell>
        </row>
        <row r="54">
          <cell r="A54" t="str">
            <v>Sector Externo (BCIE-BICSA)</v>
          </cell>
          <cell r="B54">
            <v>8418.9</v>
          </cell>
          <cell r="C54">
            <v>8418.9</v>
          </cell>
          <cell r="D54">
            <v>8418.9</v>
          </cell>
          <cell r="E54">
            <v>8418.9</v>
          </cell>
          <cell r="F54">
            <v>8418.9</v>
          </cell>
          <cell r="G54">
            <v>8418.9</v>
          </cell>
          <cell r="H54">
            <v>8418.9</v>
          </cell>
          <cell r="I54">
            <v>8418.9</v>
          </cell>
          <cell r="J54">
            <v>9692.1</v>
          </cell>
          <cell r="K54">
            <v>9692.1</v>
          </cell>
          <cell r="L54">
            <v>17458.099999999999</v>
          </cell>
          <cell r="M54">
            <v>17458.099999999999</v>
          </cell>
          <cell r="N54">
            <v>17458.099999999999</v>
          </cell>
          <cell r="O54">
            <v>17458.099999999999</v>
          </cell>
        </row>
        <row r="55">
          <cell r="A55" t="str">
            <v>Sector Privado</v>
          </cell>
          <cell r="B55">
            <v>65539.969999999987</v>
          </cell>
          <cell r="C55">
            <v>69701.843999999983</v>
          </cell>
          <cell r="D55">
            <v>76459.064999999973</v>
          </cell>
          <cell r="E55">
            <v>86229.683999999994</v>
          </cell>
          <cell r="F55">
            <v>89932.269999999975</v>
          </cell>
          <cell r="G55">
            <v>99358.877999999968</v>
          </cell>
          <cell r="H55">
            <v>108866.932</v>
          </cell>
          <cell r="I55">
            <v>111625.60199999998</v>
          </cell>
          <cell r="J55">
            <v>120836.82699999996</v>
          </cell>
          <cell r="K55">
            <v>134767.07129999998</v>
          </cell>
          <cell r="L55">
            <v>141341.91009645967</v>
          </cell>
          <cell r="M55">
            <v>147092.677915743</v>
          </cell>
          <cell r="N55">
            <v>160340.96006694852</v>
          </cell>
          <cell r="O55">
            <v>159738.15710247087</v>
          </cell>
        </row>
        <row r="56">
          <cell r="A56" t="str">
            <v>Notas:</v>
          </cell>
        </row>
        <row r="57">
          <cell r="A57" t="str">
            <v xml:space="preserve"> 1/ Cifras al 29/3/96</v>
          </cell>
        </row>
        <row r="58">
          <cell r="A58" t="str">
            <v xml:space="preserve"> 2/ Cifras del BCCR al 29/3/96 y para el resto de SBN al 22/03/96</v>
          </cell>
        </row>
        <row r="59">
          <cell r="A59" t="str">
            <v xml:space="preserve"> 3/ Incluye ¢24.000 millones, a partir del 19/09/95, para cancelar pérdidas del B.A.C. Al estar denominados en TUDES su valor se ajusta periodicamente, a </v>
          </cell>
        </row>
        <row r="60">
          <cell r="A60" t="str">
            <v xml:space="preserve">      partir del mes de diciembre.</v>
          </cell>
        </row>
        <row r="61">
          <cell r="A61" t="str">
            <v xml:space="preserve"> 4/ A partir de julio comenzó a regir el convenio entre la CCSS y el Gobierno para pagar las contribuciones patronales de 1995</v>
          </cell>
        </row>
        <row r="62">
          <cell r="A62" t="str">
            <v xml:space="preserve"> 5/ El 04/10/95 el BCIE compró TP$A por un total de $6.776.4 miles (¢1.273.1 millones), y por $40 millones ( ¢7.766 millones) el 14/12/95.</v>
          </cell>
        </row>
        <row r="63">
          <cell r="A63" t="str">
            <v>Fuente:  Banco Central de Costa Rica y entidades públicas.</v>
          </cell>
        </row>
        <row r="64">
          <cell r="A64" t="str">
            <v>Fuente:  Banco Central de Costa Rica y entidades públicas.</v>
          </cell>
        </row>
        <row r="72">
          <cell r="A72" t="str">
            <v>DEPARTAMENTO MONETARIO</v>
          </cell>
          <cell r="H72" t="str">
            <v>BANCO CENTRAL:TENENCIA DE LA DEUDA BONIFICADA</v>
          </cell>
          <cell r="J72" t="str">
            <v xml:space="preserve">              BANCO CENTRAL</v>
          </cell>
          <cell r="O72">
            <v>35164</v>
          </cell>
        </row>
        <row r="73">
          <cell r="A73" t="str">
            <v>Mercado de Capitales y Finanzas Publicas</v>
          </cell>
          <cell r="J73" t="str">
            <v xml:space="preserve">                             cifras en millones de colones</v>
          </cell>
          <cell r="O73" t="str">
            <v>GFA</v>
          </cell>
        </row>
        <row r="74">
          <cell r="A74" t="str">
            <v>MERCAP\TENENCIA\TENENCIA (NORMAL)</v>
          </cell>
          <cell r="J74" t="str">
            <v xml:space="preserve">          cifras en millones de colones</v>
          </cell>
        </row>
        <row r="77">
          <cell r="B77">
            <v>1994</v>
          </cell>
          <cell r="C77" t="str">
            <v xml:space="preserve">      1995</v>
          </cell>
          <cell r="D77">
            <v>1995</v>
          </cell>
          <cell r="G77">
            <v>1995</v>
          </cell>
          <cell r="J77">
            <v>1995</v>
          </cell>
          <cell r="M77">
            <v>1996</v>
          </cell>
        </row>
        <row r="78">
          <cell r="A78" t="str">
            <v>DETALLE</v>
          </cell>
          <cell r="B78" t="str">
            <v>Dic.</v>
          </cell>
          <cell r="C78" t="str">
            <v>Marzo</v>
          </cell>
          <cell r="D78" t="str">
            <v>Abril</v>
          </cell>
          <cell r="E78" t="str">
            <v>Mayo</v>
          </cell>
          <cell r="F78" t="str">
            <v>Junio</v>
          </cell>
          <cell r="G78" t="str">
            <v>Julio</v>
          </cell>
          <cell r="H78" t="str">
            <v>Ago.</v>
          </cell>
          <cell r="I78" t="str">
            <v>Set.</v>
          </cell>
          <cell r="J78" t="str">
            <v>Oct.</v>
          </cell>
          <cell r="K78" t="str">
            <v>Nov.</v>
          </cell>
          <cell r="L78" t="str">
            <v xml:space="preserve">  Dic.</v>
          </cell>
          <cell r="M78" t="str">
            <v>Ene.</v>
          </cell>
          <cell r="N78" t="str">
            <v>Feb.</v>
          </cell>
          <cell r="O78" t="str">
            <v>Mar.</v>
          </cell>
        </row>
        <row r="80">
          <cell r="A80" t="str">
            <v>TOTAL EN CIRCULACION</v>
          </cell>
          <cell r="B80">
            <v>75801.899999999994</v>
          </cell>
          <cell r="C80">
            <v>80475.399999999994</v>
          </cell>
          <cell r="D80">
            <v>82074.399999999994</v>
          </cell>
          <cell r="E80">
            <v>86370.726999999999</v>
          </cell>
          <cell r="F80">
            <v>92907.8</v>
          </cell>
          <cell r="G80">
            <v>100098</v>
          </cell>
          <cell r="H80">
            <v>115777</v>
          </cell>
          <cell r="I80">
            <v>126300.2</v>
          </cell>
          <cell r="J80">
            <v>138384.79999999999</v>
          </cell>
          <cell r="K80">
            <v>126996.3</v>
          </cell>
          <cell r="L80">
            <v>124835.6</v>
          </cell>
          <cell r="M80">
            <v>137478</v>
          </cell>
          <cell r="N80">
            <v>144047.5</v>
          </cell>
          <cell r="O80">
            <v>148223.5</v>
          </cell>
        </row>
        <row r="82">
          <cell r="A82" t="str">
            <v>I.   SISTEMA BANCARIO NACIONAL</v>
          </cell>
          <cell r="B82">
            <v>7735.7999999999993</v>
          </cell>
          <cell r="C82">
            <v>10326</v>
          </cell>
          <cell r="D82">
            <v>12984.895</v>
          </cell>
          <cell r="E82">
            <v>14873.769999999999</v>
          </cell>
          <cell r="F82">
            <v>18568.100000000002</v>
          </cell>
          <cell r="G82">
            <v>29363.521999999997</v>
          </cell>
          <cell r="H82">
            <v>31980.228999999996</v>
          </cell>
          <cell r="I82">
            <v>40195.199999999997</v>
          </cell>
          <cell r="J82">
            <v>49585.3</v>
          </cell>
          <cell r="K82">
            <v>41140.199999999997</v>
          </cell>
          <cell r="L82">
            <v>36072.400000000001</v>
          </cell>
          <cell r="M82">
            <v>39020</v>
          </cell>
          <cell r="N82">
            <v>43473</v>
          </cell>
          <cell r="O82">
            <v>39179</v>
          </cell>
        </row>
        <row r="84">
          <cell r="A84" t="str">
            <v>Bco Nacional de Costa Rica</v>
          </cell>
          <cell r="B84">
            <v>4815.3999999999996</v>
          </cell>
          <cell r="C84">
            <v>6015</v>
          </cell>
          <cell r="D84">
            <v>7015</v>
          </cell>
          <cell r="E84">
            <v>6013.41</v>
          </cell>
          <cell r="F84">
            <v>7815.9</v>
          </cell>
          <cell r="G84">
            <v>16719.883999999998</v>
          </cell>
          <cell r="H84">
            <v>17240.082999999999</v>
          </cell>
          <cell r="I84">
            <v>25738.5</v>
          </cell>
          <cell r="J84">
            <v>34134.699999999997</v>
          </cell>
          <cell r="K84">
            <v>28260.7</v>
          </cell>
          <cell r="L84">
            <v>15244</v>
          </cell>
          <cell r="M84">
            <v>16560</v>
          </cell>
          <cell r="N84">
            <v>15560</v>
          </cell>
          <cell r="O84">
            <v>15561</v>
          </cell>
        </row>
        <row r="85">
          <cell r="A85" t="str">
            <v>Bco de Costa Rica</v>
          </cell>
          <cell r="B85">
            <v>2429.9</v>
          </cell>
          <cell r="C85">
            <v>3721</v>
          </cell>
          <cell r="D85">
            <v>5193.8949999999995</v>
          </cell>
          <cell r="E85">
            <v>7974.46</v>
          </cell>
          <cell r="F85">
            <v>9430.5</v>
          </cell>
          <cell r="G85">
            <v>10746.5</v>
          </cell>
          <cell r="H85">
            <v>11004.46</v>
          </cell>
          <cell r="I85">
            <v>11589.5</v>
          </cell>
          <cell r="J85">
            <v>11660.5</v>
          </cell>
          <cell r="K85">
            <v>7135</v>
          </cell>
          <cell r="L85">
            <v>15240</v>
          </cell>
          <cell r="M85">
            <v>20315</v>
          </cell>
          <cell r="N85">
            <v>23190</v>
          </cell>
          <cell r="O85">
            <v>21770</v>
          </cell>
        </row>
        <row r="86">
          <cell r="A86" t="str">
            <v>Bco Anglo Cost. (Jta. Liq.)</v>
          </cell>
          <cell r="B86">
            <v>0</v>
          </cell>
          <cell r="C86">
            <v>0</v>
          </cell>
          <cell r="D86">
            <v>0</v>
          </cell>
          <cell r="E86">
            <v>0</v>
          </cell>
          <cell r="F86">
            <v>0</v>
          </cell>
          <cell r="G86">
            <v>0</v>
          </cell>
          <cell r="H86">
            <v>0</v>
          </cell>
          <cell r="I86">
            <v>0</v>
          </cell>
          <cell r="J86">
            <v>0</v>
          </cell>
          <cell r="K86">
            <v>0</v>
          </cell>
          <cell r="L86">
            <v>0</v>
          </cell>
          <cell r="M86">
            <v>0</v>
          </cell>
          <cell r="N86">
            <v>0</v>
          </cell>
          <cell r="O86">
            <v>0</v>
          </cell>
        </row>
        <row r="87">
          <cell r="A87" t="str">
            <v>Bco Créd. Agrícola Cartago</v>
          </cell>
          <cell r="B87">
            <v>0</v>
          </cell>
          <cell r="C87">
            <v>0</v>
          </cell>
          <cell r="D87">
            <v>0</v>
          </cell>
          <cell r="E87">
            <v>0</v>
          </cell>
          <cell r="F87">
            <v>0</v>
          </cell>
          <cell r="G87">
            <v>201.25</v>
          </cell>
          <cell r="H87">
            <v>2719.69</v>
          </cell>
          <cell r="I87">
            <v>1719.7</v>
          </cell>
          <cell r="J87">
            <v>2707.3</v>
          </cell>
          <cell r="K87">
            <v>3582.4</v>
          </cell>
          <cell r="L87">
            <v>3350</v>
          </cell>
          <cell r="M87">
            <v>0</v>
          </cell>
          <cell r="N87">
            <v>2900</v>
          </cell>
          <cell r="O87">
            <v>1100</v>
          </cell>
        </row>
        <row r="88">
          <cell r="A88" t="str">
            <v>Bcos Privados</v>
          </cell>
          <cell r="B88">
            <v>490.5</v>
          </cell>
          <cell r="C88">
            <v>590</v>
          </cell>
          <cell r="D88">
            <v>776</v>
          </cell>
          <cell r="E88">
            <v>885.9</v>
          </cell>
          <cell r="F88">
            <v>1321.7</v>
          </cell>
          <cell r="G88">
            <v>1695.8879999999999</v>
          </cell>
          <cell r="H88">
            <v>1015.996</v>
          </cell>
          <cell r="I88">
            <v>1147.5</v>
          </cell>
          <cell r="J88">
            <v>1082.8</v>
          </cell>
          <cell r="K88">
            <v>2162.1</v>
          </cell>
          <cell r="L88">
            <v>2238.4</v>
          </cell>
          <cell r="M88">
            <v>2145</v>
          </cell>
          <cell r="N88">
            <v>1823</v>
          </cell>
          <cell r="O88">
            <v>748</v>
          </cell>
        </row>
        <row r="90">
          <cell r="A90" t="str">
            <v>II.   SECTOR FINAN. NO BANCARIO</v>
          </cell>
          <cell r="B90">
            <v>4799</v>
          </cell>
          <cell r="C90">
            <v>2069</v>
          </cell>
          <cell r="D90">
            <v>2069</v>
          </cell>
          <cell r="E90">
            <v>2156</v>
          </cell>
          <cell r="F90">
            <v>2155</v>
          </cell>
          <cell r="G90">
            <v>2253</v>
          </cell>
          <cell r="H90">
            <v>2653</v>
          </cell>
          <cell r="I90">
            <v>2627</v>
          </cell>
          <cell r="J90">
            <v>3222.9</v>
          </cell>
          <cell r="K90">
            <v>2626.6</v>
          </cell>
          <cell r="L90">
            <v>2558.8000000000002</v>
          </cell>
          <cell r="M90">
            <v>3583</v>
          </cell>
          <cell r="N90">
            <v>3583</v>
          </cell>
          <cell r="O90">
            <v>3583</v>
          </cell>
        </row>
        <row r="92">
          <cell r="A92" t="str">
            <v>Bco Hipot Vivienda (BANHVI)</v>
          </cell>
          <cell r="B92">
            <v>0</v>
          </cell>
          <cell r="C92">
            <v>0</v>
          </cell>
          <cell r="D92">
            <v>0</v>
          </cell>
          <cell r="E92">
            <v>0</v>
          </cell>
          <cell r="F92">
            <v>0</v>
          </cell>
          <cell r="G92">
            <v>0</v>
          </cell>
          <cell r="H92">
            <v>0</v>
          </cell>
          <cell r="I92">
            <v>0</v>
          </cell>
          <cell r="J92">
            <v>0</v>
          </cell>
          <cell r="K92">
            <v>0</v>
          </cell>
          <cell r="L92">
            <v>0</v>
          </cell>
          <cell r="M92">
            <v>0</v>
          </cell>
          <cell r="N92">
            <v>0</v>
          </cell>
          <cell r="O92">
            <v>0</v>
          </cell>
        </row>
        <row r="93">
          <cell r="A93" t="str">
            <v>Bco Popular Desarr Comunal</v>
          </cell>
          <cell r="B93">
            <v>150</v>
          </cell>
          <cell r="C93">
            <v>0</v>
          </cell>
          <cell r="D93">
            <v>0</v>
          </cell>
          <cell r="E93">
            <v>0</v>
          </cell>
          <cell r="F93">
            <v>0</v>
          </cell>
          <cell r="G93">
            <v>0</v>
          </cell>
          <cell r="H93">
            <v>0</v>
          </cell>
          <cell r="I93">
            <v>0</v>
          </cell>
          <cell r="J93">
            <v>0</v>
          </cell>
          <cell r="K93">
            <v>0</v>
          </cell>
          <cell r="L93">
            <v>0</v>
          </cell>
          <cell r="M93">
            <v>0</v>
          </cell>
          <cell r="N93">
            <v>0</v>
          </cell>
          <cell r="O93">
            <v>0</v>
          </cell>
        </row>
        <row r="94">
          <cell r="A94" t="str">
            <v>Inst. Fomento Ases. Munic.</v>
          </cell>
          <cell r="B94">
            <v>0</v>
          </cell>
          <cell r="C94">
            <v>0</v>
          </cell>
          <cell r="D94">
            <v>0</v>
          </cell>
          <cell r="E94">
            <v>0</v>
          </cell>
          <cell r="F94">
            <v>0</v>
          </cell>
          <cell r="G94">
            <v>0</v>
          </cell>
          <cell r="H94">
            <v>0</v>
          </cell>
          <cell r="I94">
            <v>0</v>
          </cell>
          <cell r="J94">
            <v>0</v>
          </cell>
          <cell r="K94">
            <v>0</v>
          </cell>
          <cell r="L94">
            <v>0</v>
          </cell>
          <cell r="M94">
            <v>0</v>
          </cell>
          <cell r="N94">
            <v>0</v>
          </cell>
          <cell r="O94">
            <v>0</v>
          </cell>
        </row>
        <row r="95">
          <cell r="A95" t="str">
            <v>Inst. Nal Fomento Cooperat.</v>
          </cell>
          <cell r="B95">
            <v>6</v>
          </cell>
          <cell r="C95">
            <v>6</v>
          </cell>
          <cell r="D95">
            <v>6</v>
          </cell>
          <cell r="E95">
            <v>6</v>
          </cell>
          <cell r="F95">
            <v>6</v>
          </cell>
          <cell r="G95">
            <v>6</v>
          </cell>
          <cell r="H95">
            <v>6</v>
          </cell>
          <cell r="I95">
            <v>6</v>
          </cell>
          <cell r="J95">
            <v>6</v>
          </cell>
          <cell r="K95">
            <v>6</v>
          </cell>
          <cell r="L95">
            <v>6</v>
          </cell>
          <cell r="M95">
            <v>6</v>
          </cell>
          <cell r="N95">
            <v>6</v>
          </cell>
          <cell r="O95">
            <v>6</v>
          </cell>
        </row>
        <row r="96">
          <cell r="A96" t="str">
            <v>Inst. Nal Vivienda Urban.</v>
          </cell>
          <cell r="B96">
            <v>0</v>
          </cell>
          <cell r="C96">
            <v>0</v>
          </cell>
          <cell r="D96">
            <v>0</v>
          </cell>
          <cell r="E96">
            <v>0</v>
          </cell>
          <cell r="F96">
            <v>0</v>
          </cell>
          <cell r="G96">
            <v>0</v>
          </cell>
          <cell r="H96">
            <v>0</v>
          </cell>
          <cell r="I96">
            <v>0</v>
          </cell>
          <cell r="J96">
            <v>0</v>
          </cell>
          <cell r="K96">
            <v>0</v>
          </cell>
          <cell r="L96">
            <v>0</v>
          </cell>
          <cell r="M96">
            <v>0</v>
          </cell>
          <cell r="N96">
            <v>0</v>
          </cell>
          <cell r="O96">
            <v>0</v>
          </cell>
        </row>
        <row r="97">
          <cell r="A97" t="str">
            <v>Inst. Nal Seguros (INS)</v>
          </cell>
          <cell r="B97">
            <v>0</v>
          </cell>
          <cell r="C97">
            <v>0</v>
          </cell>
          <cell r="D97">
            <v>0</v>
          </cell>
          <cell r="E97">
            <v>0</v>
          </cell>
          <cell r="F97">
            <v>0</v>
          </cell>
          <cell r="G97">
            <v>0</v>
          </cell>
          <cell r="H97">
            <v>0</v>
          </cell>
          <cell r="I97">
            <v>0</v>
          </cell>
          <cell r="J97">
            <v>0</v>
          </cell>
          <cell r="K97">
            <v>0</v>
          </cell>
          <cell r="L97">
            <v>0</v>
          </cell>
          <cell r="M97">
            <v>0</v>
          </cell>
          <cell r="N97">
            <v>0</v>
          </cell>
          <cell r="O97">
            <v>0</v>
          </cell>
        </row>
        <row r="98">
          <cell r="A98" t="str">
            <v>Poder Judicial (Jta Pens.)</v>
          </cell>
          <cell r="B98">
            <v>4643</v>
          </cell>
          <cell r="C98">
            <v>2063</v>
          </cell>
          <cell r="D98">
            <v>2063</v>
          </cell>
          <cell r="E98">
            <v>2150</v>
          </cell>
          <cell r="F98">
            <v>2149</v>
          </cell>
          <cell r="G98">
            <v>2247</v>
          </cell>
          <cell r="H98">
            <v>2647</v>
          </cell>
          <cell r="I98">
            <v>2621</v>
          </cell>
          <cell r="J98">
            <v>3216.9</v>
          </cell>
          <cell r="K98">
            <v>2620.6</v>
          </cell>
          <cell r="L98">
            <v>2552.8000000000002</v>
          </cell>
          <cell r="M98">
            <v>3577</v>
          </cell>
          <cell r="N98">
            <v>3577</v>
          </cell>
          <cell r="O98">
            <v>3577</v>
          </cell>
        </row>
        <row r="100">
          <cell r="A100" t="str">
            <v>III.    SECTOR PUBLICO NO FINAN.</v>
          </cell>
          <cell r="B100">
            <v>2</v>
          </cell>
          <cell r="C100">
            <v>3</v>
          </cell>
          <cell r="D100">
            <v>3</v>
          </cell>
          <cell r="E100">
            <v>3</v>
          </cell>
          <cell r="F100">
            <v>2</v>
          </cell>
          <cell r="G100">
            <v>3</v>
          </cell>
          <cell r="H100">
            <v>3</v>
          </cell>
          <cell r="I100">
            <v>3</v>
          </cell>
          <cell r="J100">
            <v>602</v>
          </cell>
          <cell r="K100">
            <v>1703</v>
          </cell>
          <cell r="L100">
            <v>2503</v>
          </cell>
          <cell r="M100">
            <v>2503</v>
          </cell>
          <cell r="N100">
            <v>2503</v>
          </cell>
          <cell r="O100">
            <v>2503</v>
          </cell>
        </row>
        <row r="102">
          <cell r="A102" t="str">
            <v>Caja Cost de Seguro Social</v>
          </cell>
          <cell r="B102">
            <v>0</v>
          </cell>
          <cell r="C102">
            <v>0</v>
          </cell>
          <cell r="D102">
            <v>0</v>
          </cell>
          <cell r="E102">
            <v>0</v>
          </cell>
          <cell r="F102">
            <v>0</v>
          </cell>
          <cell r="G102">
            <v>0</v>
          </cell>
          <cell r="H102">
            <v>0</v>
          </cell>
          <cell r="I102">
            <v>0</v>
          </cell>
          <cell r="J102">
            <v>600</v>
          </cell>
          <cell r="K102">
            <v>1700</v>
          </cell>
          <cell r="L102">
            <v>2500</v>
          </cell>
          <cell r="M102">
            <v>2500</v>
          </cell>
          <cell r="N102">
            <v>2500</v>
          </cell>
          <cell r="O102">
            <v>2500</v>
          </cell>
        </row>
        <row r="103">
          <cell r="A103" t="str">
            <v>Consejo Nacional Producc.</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t="str">
            <v>Consejo Téc. Asist. Méd-Soc.</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t="str">
            <v>Corp. Costarric. Desarrollo</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row>
        <row r="106">
          <cell r="A106" t="str">
            <v>Direc. Gral de Asig Famil.</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t="str">
            <v>Empresa Servic Púb Heredia</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t="str">
            <v>Fábrica  Nacional  Licores</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t="str">
            <v>Inst. Costar. Acued Alcant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Inst. Costar. Electricidad</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Inst. Costar. Ferrocarriles</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Inst. Costar. Puertos Pacífico</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Inst. Costar. de Turismo</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Inst. Desarrollo Agrario</v>
          </cell>
          <cell r="B114">
            <v>0</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t="str">
            <v>Inst. Nacional Aprendizaje</v>
          </cell>
          <cell r="B115">
            <v>2</v>
          </cell>
          <cell r="C115">
            <v>2</v>
          </cell>
          <cell r="D115">
            <v>2</v>
          </cell>
          <cell r="E115">
            <v>2</v>
          </cell>
          <cell r="F115">
            <v>1</v>
          </cell>
          <cell r="G115">
            <v>2</v>
          </cell>
          <cell r="H115">
            <v>2</v>
          </cell>
          <cell r="I115">
            <v>2</v>
          </cell>
          <cell r="J115">
            <v>1</v>
          </cell>
          <cell r="K115">
            <v>2</v>
          </cell>
          <cell r="L115">
            <v>2</v>
          </cell>
          <cell r="M115">
            <v>2</v>
          </cell>
          <cell r="N115">
            <v>2</v>
          </cell>
          <cell r="O115">
            <v>2</v>
          </cell>
        </row>
        <row r="116">
          <cell r="A116" t="str">
            <v>Inst. del Café (ICAFE)</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t="str">
            <v>Jta de Protec. Social S.J.</v>
          </cell>
          <cell r="B117">
            <v>0</v>
          </cell>
          <cell r="C117">
            <v>1</v>
          </cell>
          <cell r="D117">
            <v>1</v>
          </cell>
          <cell r="E117">
            <v>1</v>
          </cell>
          <cell r="F117">
            <v>1</v>
          </cell>
          <cell r="G117">
            <v>1</v>
          </cell>
          <cell r="H117">
            <v>1</v>
          </cell>
          <cell r="I117">
            <v>1</v>
          </cell>
          <cell r="J117">
            <v>1</v>
          </cell>
          <cell r="K117">
            <v>1</v>
          </cell>
          <cell r="L117">
            <v>1</v>
          </cell>
          <cell r="M117">
            <v>1</v>
          </cell>
          <cell r="N117">
            <v>1</v>
          </cell>
          <cell r="O117">
            <v>1</v>
          </cell>
        </row>
        <row r="118">
          <cell r="A118" t="str">
            <v>OCIS</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t="str">
            <v>Refinadora Costar Petróleo</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row>
        <row r="121">
          <cell r="A121" t="str">
            <v>IV.   RESTO DEL SECTOR PUBLICO</v>
          </cell>
          <cell r="B121">
            <v>1554</v>
          </cell>
          <cell r="C121">
            <v>925</v>
          </cell>
          <cell r="D121">
            <v>2522</v>
          </cell>
          <cell r="E121">
            <v>2340</v>
          </cell>
          <cell r="F121">
            <v>2581</v>
          </cell>
          <cell r="G121">
            <v>2368</v>
          </cell>
          <cell r="H121">
            <v>2902</v>
          </cell>
          <cell r="I121">
            <v>2848</v>
          </cell>
          <cell r="J121">
            <v>2536.1</v>
          </cell>
          <cell r="K121">
            <v>2570.4</v>
          </cell>
          <cell r="L121">
            <v>2570.1999999999998</v>
          </cell>
          <cell r="M121">
            <v>2585</v>
          </cell>
          <cell r="N121">
            <v>2585</v>
          </cell>
          <cell r="O121">
            <v>6585</v>
          </cell>
        </row>
        <row r="123">
          <cell r="A123" t="str">
            <v>V.    SECTOR PRIVADO AJUSTADO</v>
          </cell>
          <cell r="B123">
            <v>61711.099999999991</v>
          </cell>
          <cell r="C123">
            <v>67152.399999999994</v>
          </cell>
          <cell r="D123">
            <v>64495.50499999999</v>
          </cell>
          <cell r="E123">
            <v>66997.956999999995</v>
          </cell>
          <cell r="F123">
            <v>69601.7</v>
          </cell>
          <cell r="G123">
            <v>66110.478000000003</v>
          </cell>
          <cell r="H123">
            <v>78238.771000000008</v>
          </cell>
          <cell r="I123">
            <v>80627</v>
          </cell>
          <cell r="J123">
            <v>82438.499999999985</v>
          </cell>
          <cell r="K123">
            <v>78956.100000000006</v>
          </cell>
          <cell r="L123">
            <v>81131.200000000012</v>
          </cell>
          <cell r="M123">
            <v>89787</v>
          </cell>
          <cell r="N123">
            <v>91903.5</v>
          </cell>
          <cell r="O123">
            <v>96373.5</v>
          </cell>
        </row>
        <row r="125">
          <cell r="A125" t="str">
            <v>Sector Externo (BCIE-BICSA)</v>
          </cell>
          <cell r="B125">
            <v>0</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t="str">
            <v>Sector Privado</v>
          </cell>
          <cell r="B126">
            <v>61711.099999999991</v>
          </cell>
          <cell r="C126">
            <v>67152.399999999994</v>
          </cell>
          <cell r="D126">
            <v>64495.50499999999</v>
          </cell>
          <cell r="E126">
            <v>66997.956999999995</v>
          </cell>
          <cell r="F126">
            <v>69601.7</v>
          </cell>
          <cell r="G126">
            <v>66110.478000000003</v>
          </cell>
          <cell r="H126">
            <v>78238.771000000008</v>
          </cell>
          <cell r="I126">
            <v>80627</v>
          </cell>
          <cell r="J126">
            <v>82438.499999999985</v>
          </cell>
          <cell r="K126">
            <v>78956.100000000006</v>
          </cell>
          <cell r="L126">
            <v>81131.200000000012</v>
          </cell>
          <cell r="M126">
            <v>89787</v>
          </cell>
          <cell r="N126">
            <v>91903.5</v>
          </cell>
          <cell r="O126">
            <v>96373.5</v>
          </cell>
        </row>
        <row r="128">
          <cell r="A128" t="str">
            <v>Notas:</v>
          </cell>
        </row>
        <row r="129">
          <cell r="A129" t="str">
            <v xml:space="preserve"> 1/ Cifras al 29/3//96</v>
          </cell>
        </row>
        <row r="130">
          <cell r="A130" t="str">
            <v xml:space="preserve"> 2/ Cifras al 22/3/96</v>
          </cell>
        </row>
        <row r="131">
          <cell r="A131" t="str">
            <v xml:space="preserve"> 3/Entre el 12/03/96 y el 14/03/96 el Gobierno Central adquirió ¢4.000 millones de BEM`s emitidos por el  B.C.C.R </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Presentación-Índice"/>
      <sheetName val="Instrucciones"/>
      <sheetName val="Indicadores"/>
      <sheetName val="TP-1"/>
      <sheetName val="1.1-1.3.SR_PIBGasto"/>
      <sheetName val="1.4.SR_PIBSectorial"/>
      <sheetName val="1.5.SR_SI_CN"/>
      <sheetName val="1.6.SR_S-I_todos"/>
      <sheetName val="1.7-1.8.SR_IPC-TCN-TCE"/>
      <sheetName val="SR_ProyIPC-TCN_Gráficos"/>
      <sheetName val="TP-2"/>
      <sheetName val="2.1-2.2.SF_SPCons."/>
      <sheetName val="2.3-2.4.SF_GC"/>
      <sheetName val="2.5-2.6.SF_Ingresos"/>
      <sheetName val="2.7-2.8.SF_Gastos-ANF"/>
      <sheetName val="2.9.SF_DeudaPública"/>
      <sheetName val="2.10.SF_CNac"/>
      <sheetName val="SF_Gráficos"/>
      <sheetName val="TP-3"/>
      <sheetName val="3.1-3.2.SM_PBC"/>
      <sheetName val="3.3-3.4.SM_PSD"/>
      <sheetName val="3.5.SM_InstrMon"/>
      <sheetName val="3.6.SM_T.Int."/>
      <sheetName val="SM_Gráficos"/>
      <sheetName val="TP-4"/>
      <sheetName val="4.1.SE_BP"/>
      <sheetName val="4.2-4.5.SE_XM"/>
      <sheetName val="4.6.SE_Variables.Ex."/>
      <sheetName val="4.7.SE_PII"/>
      <sheetName val="4.8.SE_DeudaX"/>
      <sheetName val="4.9.SE_BPColones"/>
      <sheetName val="SE_Gráficos"/>
      <sheetName val="PIB_Gasto (Fuente)"/>
      <sheetName val="PIB_Sectores(Fuente)"/>
      <sheetName val="S-I(Fuente)"/>
      <sheetName val="Precios y TC(Fuente)"/>
      <sheetName val="GC-SPCR_MEFP2001(Fuente)"/>
      <sheetName val="GC-SPCR_MEFP1986(Fuente)"/>
      <sheetName val="GC_Ingresos(Fuente)"/>
      <sheetName val="SPC_DeudaPública(Fuente)"/>
      <sheetName val="BP(Fuente)"/>
      <sheetName val="X-M(Fuente)"/>
      <sheetName val="WEO-Abril2014(Fu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col"/>
      <sheetName val="graficos"/>
      <sheetName val="PROMEDIO"/>
      <sheetName val="HISTORICO"/>
      <sheetName val="Módulo1"/>
      <sheetName val="Módulo2"/>
      <sheetName val="tasas activas"/>
      <sheetName val="tasas pasivas"/>
      <sheetName val="TASAS"/>
    </sheetNames>
    <sheetDataSet>
      <sheetData sheetId="0" refreshError="1"/>
      <sheetData sheetId="1" refreshError="1"/>
      <sheetData sheetId="2" refreshError="1">
        <row r="97">
          <cell r="A97" t="str">
            <v xml:space="preserve">TASAS DE INTERES PROMEDIO </v>
          </cell>
        </row>
        <row r="98">
          <cell r="A98">
            <v>36810</v>
          </cell>
        </row>
        <row r="99">
          <cell r="A99" t="str">
            <v>EN COLONES</v>
          </cell>
        </row>
        <row r="102">
          <cell r="B102" t="str">
            <v>BANCOS</v>
          </cell>
          <cell r="C102" t="str">
            <v>BANCOS</v>
          </cell>
          <cell r="D102" t="str">
            <v>FINAN</v>
          </cell>
          <cell r="E102" t="str">
            <v>TOTAL</v>
          </cell>
          <cell r="F102" t="str">
            <v>PONDERADA</v>
          </cell>
        </row>
        <row r="103">
          <cell r="B103" t="str">
            <v>ESTATALES</v>
          </cell>
          <cell r="C103" t="str">
            <v>PRIVADOS</v>
          </cell>
          <cell r="D103" t="str">
            <v>CIERAS</v>
          </cell>
          <cell r="E103" t="str">
            <v>SECTOR</v>
          </cell>
        </row>
        <row r="106">
          <cell r="A106" t="str">
            <v>PASIVAS BRUTAS</v>
          </cell>
          <cell r="G106" t="str">
            <v>TASA PASIVA</v>
          </cell>
        </row>
        <row r="107">
          <cell r="G107" t="str">
            <v>PONDERADA</v>
          </cell>
        </row>
        <row r="108">
          <cell r="A108" t="str">
            <v>1 MES</v>
          </cell>
          <cell r="B108">
            <v>13.259155523430911</v>
          </cell>
          <cell r="C108">
            <v>14.847005849809282</v>
          </cell>
          <cell r="D108">
            <v>16.024395794700464</v>
          </cell>
          <cell r="E108">
            <v>14.710185722646884</v>
          </cell>
          <cell r="F108">
            <v>13.752902502728857</v>
          </cell>
          <cell r="G108">
            <v>15.047518144864814</v>
          </cell>
        </row>
        <row r="109">
          <cell r="A109" t="str">
            <v>3 MESES</v>
          </cell>
          <cell r="B109">
            <v>13.918061308646781</v>
          </cell>
          <cell r="C109">
            <v>16.449986019957521</v>
          </cell>
          <cell r="D109">
            <v>18.924487432780754</v>
          </cell>
          <cell r="E109">
            <v>16.430844920461684</v>
          </cell>
          <cell r="F109">
            <v>14.793641653563283</v>
          </cell>
        </row>
        <row r="110">
          <cell r="A110" t="str">
            <v>6 MESES</v>
          </cell>
          <cell r="B110">
            <v>14.273998498790693</v>
          </cell>
          <cell r="C110">
            <v>17.8799518493025</v>
          </cell>
          <cell r="D110">
            <v>20.102359306354089</v>
          </cell>
          <cell r="E110">
            <v>17.418769884815759</v>
          </cell>
          <cell r="F110">
            <v>15.546222197996054</v>
          </cell>
        </row>
        <row r="111">
          <cell r="A111" t="str">
            <v>12 MESES</v>
          </cell>
          <cell r="B111">
            <v>14.566701880218325</v>
          </cell>
          <cell r="C111">
            <v>18.83711347660979</v>
          </cell>
          <cell r="D111">
            <v>20.190122817018192</v>
          </cell>
          <cell r="E111">
            <v>17.864646057948772</v>
          </cell>
          <cell r="F111">
            <v>16.028568849022676</v>
          </cell>
        </row>
        <row r="113">
          <cell r="A113" t="str">
            <v>ACTIVAS</v>
          </cell>
          <cell r="G113" t="str">
            <v>TASA ACTIVA</v>
          </cell>
        </row>
        <row r="114">
          <cell r="G114" t="str">
            <v>PONDERADA</v>
          </cell>
        </row>
        <row r="115">
          <cell r="A115" t="str">
            <v>AGRICULTURA</v>
          </cell>
          <cell r="B115">
            <v>24.067956553916812</v>
          </cell>
          <cell r="C115">
            <v>28.461226250465682</v>
          </cell>
          <cell r="D115">
            <v>37.16209476309227</v>
          </cell>
          <cell r="E115">
            <v>29.89709252249159</v>
          </cell>
          <cell r="F115">
            <v>26.194089397542545</v>
          </cell>
          <cell r="G115">
            <v>27.892730292122156</v>
          </cell>
        </row>
        <row r="116">
          <cell r="A116" t="str">
            <v>GANADERIA</v>
          </cell>
          <cell r="B116">
            <v>24.125106518960372</v>
          </cell>
          <cell r="C116">
            <v>28.502039069580096</v>
          </cell>
          <cell r="D116">
            <v>39</v>
          </cell>
          <cell r="E116">
            <v>30.542381862846824</v>
          </cell>
          <cell r="F116">
            <v>24.896612478031635</v>
          </cell>
        </row>
        <row r="117">
          <cell r="A117" t="str">
            <v>INDUSTRIA</v>
          </cell>
          <cell r="B117">
            <v>24.049684313556771</v>
          </cell>
          <cell r="C117">
            <v>28.42638030086588</v>
          </cell>
          <cell r="D117">
            <v>33.131092094539525</v>
          </cell>
          <cell r="E117">
            <v>28.535718902987394</v>
          </cell>
          <cell r="F117">
            <v>26.349624477227454</v>
          </cell>
        </row>
        <row r="118">
          <cell r="A118" t="str">
            <v>VIVIENDA</v>
          </cell>
          <cell r="B118">
            <v>23.061301671824484</v>
          </cell>
          <cell r="C118">
            <v>31.266746038081529</v>
          </cell>
          <cell r="D118">
            <v>34.799999999999997</v>
          </cell>
          <cell r="E118">
            <v>29.709349236635337</v>
          </cell>
          <cell r="F118">
            <v>23.339248582326409</v>
          </cell>
        </row>
        <row r="119">
          <cell r="A119" t="str">
            <v>CONSTRUCCION</v>
          </cell>
          <cell r="B119">
            <v>24.642881105743424</v>
          </cell>
          <cell r="C119">
            <v>28.794522723335451</v>
          </cell>
          <cell r="D119">
            <v>34.257534246575347</v>
          </cell>
          <cell r="E119">
            <v>29.231646025218073</v>
          </cell>
          <cell r="F119">
            <v>28.155049202469772</v>
          </cell>
        </row>
        <row r="120">
          <cell r="A120" t="str">
            <v>OTRAS ACTIVIDADES</v>
          </cell>
          <cell r="B120">
            <v>26.061490687609318</v>
          </cell>
          <cell r="C120">
            <v>29.822449145761045</v>
          </cell>
          <cell r="D120">
            <v>45.346104908982959</v>
          </cell>
          <cell r="E120">
            <v>33.74334824745111</v>
          </cell>
          <cell r="F120">
            <v>28.746654810292934</v>
          </cell>
        </row>
        <row r="248">
          <cell r="A248" t="str">
            <v>TASAS DE INTERES PROMEDIO</v>
          </cell>
        </row>
        <row r="249">
          <cell r="A249">
            <v>36810</v>
          </cell>
        </row>
        <row r="250">
          <cell r="A250" t="str">
            <v>EN DOLARES</v>
          </cell>
        </row>
        <row r="253">
          <cell r="B253" t="str">
            <v>BANCOS</v>
          </cell>
          <cell r="C253" t="str">
            <v>BANCOS</v>
          </cell>
          <cell r="D253" t="str">
            <v>FINAN</v>
          </cell>
          <cell r="E253" t="str">
            <v>TOTAL</v>
          </cell>
          <cell r="F253" t="str">
            <v>PONDERADA</v>
          </cell>
        </row>
        <row r="254">
          <cell r="B254" t="str">
            <v>ESTATALES</v>
          </cell>
          <cell r="C254" t="str">
            <v>PRIVADOS</v>
          </cell>
          <cell r="D254" t="str">
            <v>CIERAS</v>
          </cell>
          <cell r="E254" t="str">
            <v>SECTOR</v>
          </cell>
        </row>
        <row r="257">
          <cell r="A257" t="str">
            <v>PASIVAS BRUTAS</v>
          </cell>
          <cell r="G257" t="str">
            <v>tasa pasiva</v>
          </cell>
        </row>
        <row r="258">
          <cell r="G258" t="str">
            <v>ponderada</v>
          </cell>
        </row>
        <row r="259">
          <cell r="A259" t="str">
            <v>1 MES</v>
          </cell>
          <cell r="B259">
            <v>5.7108340888485944</v>
          </cell>
          <cell r="C259">
            <v>5.9199158116103652</v>
          </cell>
          <cell r="D259">
            <v>5.5623456672710621</v>
          </cell>
          <cell r="E259">
            <v>5.7310318559100066</v>
          </cell>
          <cell r="F259">
            <v>5.7407804008139234</v>
          </cell>
          <cell r="G259">
            <v>6.3825960570564853</v>
          </cell>
        </row>
        <row r="260">
          <cell r="A260" t="str">
            <v>3 MESES</v>
          </cell>
          <cell r="B260">
            <v>6.1466455122393464</v>
          </cell>
          <cell r="C260">
            <v>6.5860100833181825</v>
          </cell>
          <cell r="D260">
            <v>6.3649180471771265</v>
          </cell>
          <cell r="E260">
            <v>6.3658578809115518</v>
          </cell>
          <cell r="F260">
            <v>6.2154182474746262</v>
          </cell>
        </row>
        <row r="261">
          <cell r="A261" t="str">
            <v>6 MESES</v>
          </cell>
          <cell r="B261">
            <v>6.5797370806890294</v>
          </cell>
          <cell r="C261">
            <v>7.1006289371820559</v>
          </cell>
          <cell r="D261">
            <v>6.5531190825895376</v>
          </cell>
          <cell r="E261">
            <v>6.7444950334868743</v>
          </cell>
          <cell r="F261">
            <v>6.6621830696193118</v>
          </cell>
        </row>
        <row r="262">
          <cell r="A262" t="str">
            <v>12 MESES</v>
          </cell>
          <cell r="B262">
            <v>6.7816863100634635</v>
          </cell>
          <cell r="C262">
            <v>7.5983396912872312</v>
          </cell>
          <cell r="D262">
            <v>6.8700113931933169</v>
          </cell>
          <cell r="E262">
            <v>7.0833457981813375</v>
          </cell>
          <cell r="F262">
            <v>6.9056883850412181</v>
          </cell>
        </row>
        <row r="264">
          <cell r="A264" t="str">
            <v>ACTIVAS</v>
          </cell>
          <cell r="G264" t="str">
            <v>tasa activa</v>
          </cell>
        </row>
        <row r="265">
          <cell r="G265" t="str">
            <v>ponderada</v>
          </cell>
        </row>
        <row r="266">
          <cell r="A266" t="str">
            <v>AGRICULTURA</v>
          </cell>
          <cell r="B266">
            <v>11.357368218882346</v>
          </cell>
          <cell r="C266">
            <v>12.711222242427915</v>
          </cell>
          <cell r="D266">
            <v>0</v>
          </cell>
          <cell r="E266">
            <v>12.034295230655131</v>
          </cell>
          <cell r="F266">
            <v>12.096729593615791</v>
          </cell>
          <cell r="G266">
            <v>12.324044052557273</v>
          </cell>
        </row>
        <row r="267">
          <cell r="A267" t="str">
            <v>GANADERIA</v>
          </cell>
          <cell r="B267">
            <v>11.387666752180607</v>
          </cell>
          <cell r="C267">
            <v>12.5</v>
          </cell>
          <cell r="D267">
            <v>0</v>
          </cell>
          <cell r="E267">
            <v>11.943833376090303</v>
          </cell>
          <cell r="F267">
            <v>11.454707087753134</v>
          </cell>
        </row>
        <row r="268">
          <cell r="A268" t="str">
            <v>INDUSTRIA</v>
          </cell>
          <cell r="B268">
            <v>11.398680559502711</v>
          </cell>
          <cell r="C268">
            <v>12.150366146458582</v>
          </cell>
          <cell r="D268">
            <v>15.746240601503761</v>
          </cell>
          <cell r="E268">
            <v>13.098429102488353</v>
          </cell>
          <cell r="F268">
            <v>12.288797302111218</v>
          </cell>
        </row>
        <row r="269">
          <cell r="A269" t="str">
            <v>VIVIENDA</v>
          </cell>
          <cell r="B269">
            <v>10.867334885001377</v>
          </cell>
          <cell r="C269">
            <v>11.387976878612717</v>
          </cell>
          <cell r="D269">
            <v>0</v>
          </cell>
          <cell r="E269">
            <v>11.127655881807048</v>
          </cell>
          <cell r="F269">
            <v>11.174880066650505</v>
          </cell>
        </row>
        <row r="270">
          <cell r="A270" t="str">
            <v>CONSTRUCCION</v>
          </cell>
          <cell r="B270">
            <v>11.524810708491076</v>
          </cell>
          <cell r="C270">
            <v>12.395879732739422</v>
          </cell>
          <cell r="D270">
            <v>0</v>
          </cell>
          <cell r="E270">
            <v>11.960345220615249</v>
          </cell>
          <cell r="F270">
            <v>12.361427517166144</v>
          </cell>
        </row>
        <row r="271">
          <cell r="A271" t="str">
            <v>OTRAS ACTIVIDADES</v>
          </cell>
          <cell r="B271">
            <v>11.704436821136872</v>
          </cell>
          <cell r="C271">
            <v>12.538556839497023</v>
          </cell>
          <cell r="D271">
            <v>15.680354267310786</v>
          </cell>
          <cell r="E271">
            <v>13.307782642648226</v>
          </cell>
          <cell r="F271">
            <v>12.408627277401751</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SEC -- CSO"/>
      <sheetName val="Documents"/>
      <sheetName val="real gdp"/>
      <sheetName val="GROWTH"/>
      <sheetName val="Prices"/>
      <sheetName val="Monthly RPI"/>
      <sheetName val="Labo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ssumptions"/>
      <sheetName val="BOP"/>
      <sheetName val="Quarterly"/>
      <sheetName val="Trade"/>
      <sheetName val="Energy"/>
      <sheetName val="Capital and NIR"/>
      <sheetName val="FDI"/>
      <sheetName val="RED"/>
      <sheetName val="ControlSheet"/>
      <sheetName val="Output data"/>
      <sheetName val="Out_WEO_Q5 Q6 Q7(Aremos)"/>
      <sheetName val="Datachart"/>
      <sheetName val="Chart4"/>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ssumptions"/>
      <sheetName val="BoP"/>
      <sheetName val="Quarterly"/>
      <sheetName val="Trade"/>
      <sheetName val="DoT"/>
      <sheetName val="Services"/>
      <sheetName val="Capital and NIR"/>
      <sheetName val="Debt"/>
      <sheetName val="Documents"/>
      <sheetName val="Output data"/>
      <sheetName val="ControlSheet"/>
      <sheetName val="REER data"/>
      <sheetName val="REER chart"/>
      <sheetName val="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table"/>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ATA"/>
      <sheetName val="IMAE TC Y ACELERACION"/>
      <sheetName val="ACELERACION"/>
      <sheetName val="DATOS"/>
      <sheetName val="LIB-NEG"/>
    </sheetNames>
    <sheetDataSet>
      <sheetData sheetId="0" refreshError="1">
        <row r="45">
          <cell r="B45" t="str">
            <v>E</v>
          </cell>
        </row>
        <row r="46">
          <cell r="B46" t="str">
            <v>F</v>
          </cell>
        </row>
        <row r="47">
          <cell r="B47" t="str">
            <v>M</v>
          </cell>
        </row>
        <row r="48">
          <cell r="B48" t="str">
            <v>A</v>
          </cell>
        </row>
        <row r="49">
          <cell r="B49" t="str">
            <v>M</v>
          </cell>
        </row>
        <row r="50">
          <cell r="B50" t="str">
            <v>J</v>
          </cell>
        </row>
        <row r="51">
          <cell r="B51" t="str">
            <v>J</v>
          </cell>
        </row>
        <row r="52">
          <cell r="B52" t="str">
            <v>A</v>
          </cell>
        </row>
        <row r="53">
          <cell r="B53" t="str">
            <v>S</v>
          </cell>
        </row>
        <row r="54">
          <cell r="B54" t="str">
            <v>O</v>
          </cell>
        </row>
        <row r="55">
          <cell r="B55" t="str">
            <v>N</v>
          </cell>
        </row>
        <row r="56">
          <cell r="B56" t="str">
            <v>D</v>
          </cell>
        </row>
        <row r="57">
          <cell r="B57" t="str">
            <v>E</v>
          </cell>
        </row>
        <row r="58">
          <cell r="B58" t="str">
            <v>F</v>
          </cell>
        </row>
        <row r="59">
          <cell r="B59" t="str">
            <v>M</v>
          </cell>
        </row>
        <row r="60">
          <cell r="B60" t="str">
            <v>A</v>
          </cell>
        </row>
        <row r="61">
          <cell r="B61" t="str">
            <v>M</v>
          </cell>
        </row>
        <row r="62">
          <cell r="B62" t="str">
            <v>J</v>
          </cell>
        </row>
        <row r="63">
          <cell r="B63" t="str">
            <v>J</v>
          </cell>
        </row>
        <row r="64">
          <cell r="B64" t="str">
            <v>A</v>
          </cell>
        </row>
        <row r="65">
          <cell r="B65" t="str">
            <v>S</v>
          </cell>
        </row>
        <row r="66">
          <cell r="B66" t="str">
            <v>O</v>
          </cell>
        </row>
        <row r="67">
          <cell r="B67" t="str">
            <v>N</v>
          </cell>
        </row>
        <row r="68">
          <cell r="B68" t="str">
            <v>D</v>
          </cell>
        </row>
        <row r="69">
          <cell r="B69" t="str">
            <v>E</v>
          </cell>
        </row>
        <row r="70">
          <cell r="B70" t="str">
            <v>F</v>
          </cell>
        </row>
        <row r="71">
          <cell r="B71" t="str">
            <v>M</v>
          </cell>
        </row>
        <row r="72">
          <cell r="B72" t="str">
            <v>A</v>
          </cell>
        </row>
        <row r="73">
          <cell r="B73" t="str">
            <v>M</v>
          </cell>
        </row>
        <row r="74">
          <cell r="B74" t="str">
            <v>J</v>
          </cell>
        </row>
        <row r="75">
          <cell r="B75" t="str">
            <v>J</v>
          </cell>
        </row>
        <row r="76">
          <cell r="B76" t="str">
            <v>A</v>
          </cell>
        </row>
        <row r="77">
          <cell r="B77" t="str">
            <v>S</v>
          </cell>
        </row>
        <row r="78">
          <cell r="B78" t="str">
            <v>O</v>
          </cell>
        </row>
        <row r="79">
          <cell r="B79" t="str">
            <v>N</v>
          </cell>
        </row>
        <row r="80">
          <cell r="B80" t="str">
            <v>D</v>
          </cell>
        </row>
        <row r="81">
          <cell r="B81" t="str">
            <v>E</v>
          </cell>
        </row>
        <row r="82">
          <cell r="B82" t="str">
            <v>F</v>
          </cell>
        </row>
        <row r="83">
          <cell r="B83" t="str">
            <v>M</v>
          </cell>
        </row>
        <row r="84">
          <cell r="B84" t="str">
            <v>A</v>
          </cell>
        </row>
        <row r="85">
          <cell r="B85" t="str">
            <v>M</v>
          </cell>
        </row>
        <row r="86">
          <cell r="B86" t="str">
            <v>J</v>
          </cell>
        </row>
        <row r="87">
          <cell r="B87" t="str">
            <v>J</v>
          </cell>
        </row>
        <row r="88">
          <cell r="B88" t="str">
            <v>A</v>
          </cell>
        </row>
        <row r="89">
          <cell r="B89" t="str">
            <v>S</v>
          </cell>
        </row>
        <row r="90">
          <cell r="B90" t="str">
            <v>O</v>
          </cell>
        </row>
        <row r="91">
          <cell r="B91" t="str">
            <v>N</v>
          </cell>
        </row>
        <row r="92">
          <cell r="B92" t="str">
            <v>D</v>
          </cell>
        </row>
        <row r="93">
          <cell r="B93" t="str">
            <v>E</v>
          </cell>
        </row>
        <row r="94">
          <cell r="B94" t="str">
            <v>F</v>
          </cell>
        </row>
        <row r="95">
          <cell r="B95" t="str">
            <v>M</v>
          </cell>
        </row>
        <row r="96">
          <cell r="B96" t="str">
            <v>A</v>
          </cell>
        </row>
        <row r="97">
          <cell r="B97" t="str">
            <v>M</v>
          </cell>
        </row>
        <row r="98">
          <cell r="B98" t="str">
            <v>J</v>
          </cell>
        </row>
        <row r="99">
          <cell r="B99" t="str">
            <v>J</v>
          </cell>
        </row>
        <row r="100">
          <cell r="B100" t="str">
            <v>A</v>
          </cell>
        </row>
        <row r="101">
          <cell r="B101" t="str">
            <v>S</v>
          </cell>
        </row>
        <row r="102">
          <cell r="B102" t="str">
            <v>O</v>
          </cell>
        </row>
        <row r="103">
          <cell r="B103" t="str">
            <v>N</v>
          </cell>
        </row>
        <row r="104">
          <cell r="B104" t="str">
            <v>D</v>
          </cell>
        </row>
        <row r="105">
          <cell r="B105" t="str">
            <v>E</v>
          </cell>
        </row>
        <row r="106">
          <cell r="B106" t="str">
            <v>F</v>
          </cell>
        </row>
        <row r="107">
          <cell r="B107" t="str">
            <v>M</v>
          </cell>
        </row>
        <row r="108">
          <cell r="B108" t="str">
            <v>A</v>
          </cell>
        </row>
      </sheetData>
      <sheetData sheetId="1" refreshError="1"/>
      <sheetData sheetId="2" refreshError="1"/>
      <sheetData sheetId="3" refreshError="1"/>
      <sheetData sheetId="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Data"/>
      <sheetName val="Quarterly Projection"/>
      <sheetName val="GDPSEC -- CSO"/>
      <sheetName val="GDPSEC"/>
      <sheetName val="GDPEXP"/>
      <sheetName val="Savings"/>
      <sheetName val="Prices"/>
      <sheetName val="Monthly RPI"/>
      <sheetName val=" CPI-for-INS"/>
      <sheetName val="REER data"/>
      <sheetName val="REER chart"/>
      <sheetName val="Labor"/>
      <sheetName val="Oil"/>
      <sheetName val="Documents"/>
      <sheetName val="Output Data"/>
      <sheetName val="2001 inflation"/>
      <sheetName val="CPI Index"/>
      <sheetName val="Module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put_external"/>
      <sheetName val="Table"/>
      <sheetName val="Table_SR"/>
      <sheetName val="Table_GEF"/>
      <sheetName val="A1_historical"/>
      <sheetName val="A2_alternative"/>
      <sheetName val="A3_market"/>
      <sheetName val="B1_irate"/>
      <sheetName val="B2_GDP"/>
      <sheetName val="B3_deflator"/>
      <sheetName val="B4_CAB"/>
      <sheetName val="B5_Combined"/>
      <sheetName val="B6_Depreciation"/>
      <sheetName val="Data_chart"/>
      <sheetName val="Figure"/>
      <sheetName val="External Sustainability-Arg"/>
      <sheetName val="ExtSust-Arg"/>
      <sheetName val="ControlSheet"/>
      <sheetName val="PanelChart"/>
      <sheetName val="Chartdata"/>
      <sheetName val="B3_CAB"/>
      <sheetName val="B4_Combined"/>
      <sheetName val="B5_Depreciation"/>
      <sheetName val="DSA"/>
      <sheetName val="150dp"/>
      <sheetName val="RED47"/>
      <sheetName val="External_Sustainability-Arg"/>
      <sheetName val="Table3"/>
      <sheetName val="Commercial Banks"/>
      <sheetName val="T7"/>
      <sheetName val="Table 37"/>
      <sheetName val="SR_Table_Baseline"/>
      <sheetName val="SR_Table_Stress"/>
      <sheetName val="Gin"/>
      <sheetName val="Oin"/>
      <sheetName val="A"/>
      <sheetName val="Annual BiH summary data"/>
      <sheetName val="Q"/>
      <sheetName val="UCPI"/>
    </sheetNames>
    <sheetDataSet>
      <sheetData sheetId="0" refreshError="1"/>
      <sheetData sheetId="1" refreshError="1"/>
      <sheetData sheetId="2" refreshError="1">
        <row r="3">
          <cell r="B3" t="str">
            <v>External Debt Sustainability Framework, 1999-2009</v>
          </cell>
        </row>
        <row r="4">
          <cell r="B4" t="str">
            <v>(In percent of GDP, unless otherwise indicated)</v>
          </cell>
        </row>
        <row r="7">
          <cell r="F7" t="str">
            <v xml:space="preserve">Actual </v>
          </cell>
          <cell r="S7" t="str">
            <v>Projections</v>
          </cell>
        </row>
        <row r="8">
          <cell r="C8">
            <v>1993</v>
          </cell>
          <cell r="D8">
            <v>1994</v>
          </cell>
          <cell r="E8">
            <v>1995</v>
          </cell>
          <cell r="F8">
            <v>1996</v>
          </cell>
          <cell r="G8">
            <v>1997</v>
          </cell>
          <cell r="H8">
            <v>1998</v>
          </cell>
          <cell r="I8">
            <v>1999</v>
          </cell>
          <cell r="J8">
            <v>2000</v>
          </cell>
          <cell r="K8">
            <v>2001</v>
          </cell>
          <cell r="L8">
            <v>2002</v>
          </cell>
          <cell r="M8">
            <v>2003</v>
          </cell>
          <cell r="S8">
            <v>2004</v>
          </cell>
          <cell r="T8">
            <v>2005</v>
          </cell>
          <cell r="U8">
            <v>2006</v>
          </cell>
          <cell r="V8">
            <v>2007</v>
          </cell>
          <cell r="W8">
            <v>2008</v>
          </cell>
          <cell r="X8">
            <v>2009</v>
          </cell>
        </row>
        <row r="9">
          <cell r="AA9" t="str">
            <v>Debt-stabilizing</v>
          </cell>
        </row>
        <row r="10">
          <cell r="S10" t="str">
            <v xml:space="preserve">I.  Baseline  Projections </v>
          </cell>
          <cell r="AA10" t="str">
            <v xml:space="preserve">non-interest </v>
          </cell>
        </row>
        <row r="11">
          <cell r="AA11" t="str">
            <v>current account 6/</v>
          </cell>
        </row>
        <row r="12">
          <cell r="A12">
            <v>1</v>
          </cell>
          <cell r="B12" t="str">
            <v>External debt</v>
          </cell>
          <cell r="C12">
            <v>31.340704666677361</v>
          </cell>
          <cell r="D12">
            <v>32.662319300879389</v>
          </cell>
          <cell r="E12">
            <v>33.794637100239534</v>
          </cell>
          <cell r="F12">
            <v>58.968961161927339</v>
          </cell>
          <cell r="G12">
            <v>49.653987388290879</v>
          </cell>
          <cell r="H12">
            <v>38.526718061664901</v>
          </cell>
          <cell r="I12">
            <v>39.389845348447629</v>
          </cell>
          <cell r="J12">
            <v>36.932704431049835</v>
          </cell>
          <cell r="K12">
            <v>28.377240510095753</v>
          </cell>
          <cell r="L12">
            <v>26.374189292239969</v>
          </cell>
          <cell r="M12">
            <v>26.506294623465958</v>
          </cell>
          <cell r="S12">
            <v>29.253363303090886</v>
          </cell>
          <cell r="T12">
            <v>29.133352418114235</v>
          </cell>
          <cell r="U12">
            <v>28.948315023972814</v>
          </cell>
          <cell r="V12">
            <v>28.884108648373026</v>
          </cell>
          <cell r="W12">
            <v>28.717607837977237</v>
          </cell>
          <cell r="X12">
            <v>27.408414314203611</v>
          </cell>
          <cell r="AA12">
            <v>-0.91617544321247113</v>
          </cell>
        </row>
        <row r="14">
          <cell r="A14">
            <v>2</v>
          </cell>
          <cell r="B14" t="str">
            <v>Change in external debt</v>
          </cell>
          <cell r="D14">
            <v>1.3216146342020281</v>
          </cell>
          <cell r="E14">
            <v>1.1323177993601448</v>
          </cell>
          <cell r="F14">
            <v>25.174324061687805</v>
          </cell>
          <cell r="G14">
            <v>-9.31497377363646</v>
          </cell>
          <cell r="H14">
            <v>-11.127269326625978</v>
          </cell>
          <cell r="I14">
            <v>0.86312728678272777</v>
          </cell>
          <cell r="J14">
            <v>-2.4571409173977941</v>
          </cell>
          <cell r="K14">
            <v>-8.5554639209540824</v>
          </cell>
          <cell r="L14">
            <v>-2.0030512178557842</v>
          </cell>
          <cell r="M14">
            <v>0.13210533122598989</v>
          </cell>
          <cell r="S14">
            <v>2.7470686796249275</v>
          </cell>
          <cell r="T14">
            <v>-0.1200108849766508</v>
          </cell>
          <cell r="U14">
            <v>-0.18503739414142117</v>
          </cell>
          <cell r="V14">
            <v>-6.4206375599788146E-2</v>
          </cell>
          <cell r="W14">
            <v>-0.16650081039578879</v>
          </cell>
          <cell r="X14">
            <v>-1.3091935237736259</v>
          </cell>
          <cell r="Y14">
            <v>0</v>
          </cell>
        </row>
        <row r="15">
          <cell r="A15">
            <v>3</v>
          </cell>
          <cell r="B15" t="str">
            <v>Identified external debt-creating flows (4+8+9)</v>
          </cell>
          <cell r="D15">
            <v>-1.0567449307229433</v>
          </cell>
          <cell r="E15">
            <v>2.5803363856952037</v>
          </cell>
          <cell r="F15">
            <v>10.933211205897058</v>
          </cell>
          <cell r="G15">
            <v>-11.491050832340868</v>
          </cell>
          <cell r="H15">
            <v>-10.425565626597214</v>
          </cell>
          <cell r="I15">
            <v>-0.32006549815371532</v>
          </cell>
          <cell r="J15">
            <v>-4.4121284142804775</v>
          </cell>
          <cell r="K15">
            <v>-5.0404163788465421</v>
          </cell>
          <cell r="L15">
            <v>-2.2813757587304222</v>
          </cell>
          <cell r="M15">
            <v>-7.6702642728973314E-2</v>
          </cell>
          <cell r="S15">
            <v>1.6341037203788824</v>
          </cell>
          <cell r="T15">
            <v>0.11756703849557903</v>
          </cell>
          <cell r="U15">
            <v>-3.4430735801422196E-2</v>
          </cell>
          <cell r="V15">
            <v>6.033213749066435E-2</v>
          </cell>
          <cell r="W15">
            <v>6.2416713289692227E-2</v>
          </cell>
          <cell r="X15">
            <v>-6.8565049627570818E-2</v>
          </cell>
          <cell r="Y15">
            <v>0</v>
          </cell>
        </row>
        <row r="16">
          <cell r="A16">
            <v>4</v>
          </cell>
          <cell r="B16" t="str">
            <v>Current account deficit, excluding interest payments</v>
          </cell>
          <cell r="D16">
            <v>3.0911403405228386</v>
          </cell>
          <cell r="E16">
            <v>4.2433900009100416</v>
          </cell>
          <cell r="F16">
            <v>-4.1925967455261368</v>
          </cell>
          <cell r="G16">
            <v>-3.319142366718844</v>
          </cell>
          <cell r="H16">
            <v>-1.244114132943114</v>
          </cell>
          <cell r="I16">
            <v>0.8531017839225522</v>
          </cell>
          <cell r="J16">
            <v>0.21794015361399607</v>
          </cell>
          <cell r="K16">
            <v>0.78657133100194698</v>
          </cell>
          <cell r="L16">
            <v>0.82781349110010505</v>
          </cell>
          <cell r="M16">
            <v>0.56915382870300568</v>
          </cell>
          <cell r="S16">
            <v>0.26758260073971502</v>
          </cell>
          <cell r="T16">
            <v>0.87109282685465672</v>
          </cell>
          <cell r="U16">
            <v>0.78304582404535927</v>
          </cell>
          <cell r="V16">
            <v>0.78826652733512448</v>
          </cell>
          <cell r="W16">
            <v>0.86394676288675132</v>
          </cell>
          <cell r="X16">
            <v>0.81438624000576743</v>
          </cell>
          <cell r="Y16">
            <v>0.91617544321247113</v>
          </cell>
        </row>
        <row r="17">
          <cell r="A17">
            <v>5</v>
          </cell>
          <cell r="B17" t="str">
            <v>Deficit in balance of goods and services</v>
          </cell>
          <cell r="D17">
            <v>3.8712429116613869</v>
          </cell>
          <cell r="E17">
            <v>4.855824299790557</v>
          </cell>
          <cell r="F17">
            <v>-2.7089379343370439</v>
          </cell>
          <cell r="G17">
            <v>-2.1299883524274925</v>
          </cell>
          <cell r="H17">
            <v>-2.3271113465511917E-2</v>
          </cell>
          <cell r="I17">
            <v>2.0952923493050264</v>
          </cell>
          <cell r="J17">
            <v>1.5344954075776656</v>
          </cell>
          <cell r="K17">
            <v>1.7761369791457433</v>
          </cell>
          <cell r="L17">
            <v>2.1649046954161051</v>
          </cell>
          <cell r="M17">
            <v>1.8794207904020794</v>
          </cell>
          <cell r="S17">
            <v>1.7442748243373174</v>
          </cell>
          <cell r="T17">
            <v>2.7038975020237288</v>
          </cell>
          <cell r="U17">
            <v>2.9393212535192745</v>
          </cell>
          <cell r="V17">
            <v>3.014477807572888</v>
          </cell>
          <cell r="W17">
            <v>3.1107570315603361</v>
          </cell>
          <cell r="X17">
            <v>3.0954775872624865</v>
          </cell>
        </row>
        <row r="18">
          <cell r="A18">
            <v>6</v>
          </cell>
          <cell r="B18" t="str">
            <v>Exports</v>
          </cell>
          <cell r="C18">
            <v>13.122053146898471</v>
          </cell>
          <cell r="D18">
            <v>11.125352493649149</v>
          </cell>
          <cell r="E18">
            <v>12.053370427838681</v>
          </cell>
          <cell r="F18">
            <v>22.023486842881145</v>
          </cell>
          <cell r="G18">
            <v>22.950755403710836</v>
          </cell>
          <cell r="H18">
            <v>21.29595728582208</v>
          </cell>
          <cell r="I18">
            <v>20.535082075780675</v>
          </cell>
          <cell r="J18">
            <v>20.302749966192845</v>
          </cell>
          <cell r="K18">
            <v>20.374771830224532</v>
          </cell>
          <cell r="L18">
            <v>18.186888584228008</v>
          </cell>
          <cell r="M18">
            <v>17.780339184669394</v>
          </cell>
          <cell r="S18">
            <v>19.769185125932268</v>
          </cell>
          <cell r="T18">
            <v>19.620018823937652</v>
          </cell>
          <cell r="U18">
            <v>19.979670421595848</v>
          </cell>
          <cell r="V18">
            <v>20.546608156393063</v>
          </cell>
          <cell r="W18">
            <v>21.091089050990988</v>
          </cell>
          <cell r="X18">
            <v>21.74571520901403</v>
          </cell>
        </row>
        <row r="19">
          <cell r="A19">
            <v>7</v>
          </cell>
          <cell r="B19" t="str">
            <v xml:space="preserve">Imports </v>
          </cell>
          <cell r="D19">
            <v>14.996595405310536</v>
          </cell>
          <cell r="E19">
            <v>16.909194727629238</v>
          </cell>
          <cell r="F19">
            <v>19.314548908544101</v>
          </cell>
          <cell r="G19">
            <v>20.820767051283344</v>
          </cell>
          <cell r="H19">
            <v>21.272686172356568</v>
          </cell>
          <cell r="I19">
            <v>22.630374425085702</v>
          </cell>
          <cell r="J19">
            <v>21.837245373770511</v>
          </cell>
          <cell r="K19">
            <v>22.150908809370275</v>
          </cell>
          <cell r="L19">
            <v>20.351793279644113</v>
          </cell>
          <cell r="M19">
            <v>19.659759975071474</v>
          </cell>
          <cell r="S19">
            <v>21.513459950269585</v>
          </cell>
          <cell r="T19">
            <v>22.323916325961381</v>
          </cell>
          <cell r="U19">
            <v>22.918991675115123</v>
          </cell>
          <cell r="V19">
            <v>23.561085963965951</v>
          </cell>
          <cell r="W19">
            <v>24.201846082551324</v>
          </cell>
          <cell r="X19">
            <v>24.841192796276516</v>
          </cell>
        </row>
        <row r="20">
          <cell r="A20">
            <v>8</v>
          </cell>
          <cell r="B20" t="str">
            <v>Net non-debt creating capital inflows (negative)</v>
          </cell>
          <cell r="D20">
            <v>-3.7587261409853001</v>
          </cell>
          <cell r="E20">
            <v>-2.8810277034106733</v>
          </cell>
          <cell r="F20">
            <v>-3.1201576139771774</v>
          </cell>
          <cell r="G20">
            <v>-3.2857756269976317</v>
          </cell>
          <cell r="H20">
            <v>-3.612389658732003</v>
          </cell>
          <cell r="I20">
            <v>-1.7478112652211142</v>
          </cell>
          <cell r="J20">
            <v>-2.2370170941375536</v>
          </cell>
          <cell r="K20">
            <v>-1.8175004527825667</v>
          </cell>
          <cell r="L20">
            <v>-3.2475449867511399</v>
          </cell>
          <cell r="M20">
            <v>-1.4628376604759876</v>
          </cell>
          <cell r="S20">
            <v>-1.4794794838447756</v>
          </cell>
          <cell r="T20">
            <v>-1.5791153331554699</v>
          </cell>
          <cell r="U20">
            <v>-1.6177970590720876</v>
          </cell>
          <cell r="V20">
            <v>-1.6160687581681108</v>
          </cell>
          <cell r="W20">
            <v>-1.6140124019239743</v>
          </cell>
          <cell r="X20">
            <v>-1.6117344648541607</v>
          </cell>
          <cell r="Y20">
            <v>-1.6117344648541607</v>
          </cell>
        </row>
        <row r="21">
          <cell r="A21" t="str">
            <v>hide</v>
          </cell>
          <cell r="B21" t="str">
            <v>Net foreign direct investment, equity</v>
          </cell>
          <cell r="D21">
            <v>1.1011226519583903</v>
          </cell>
          <cell r="E21">
            <v>1.9105054695319534</v>
          </cell>
          <cell r="F21">
            <v>2.9388059216289619</v>
          </cell>
          <cell r="G21">
            <v>2.44295627485472</v>
          </cell>
          <cell r="H21">
            <v>2.8103847728247184</v>
          </cell>
          <cell r="I21">
            <v>1.9060551889075283</v>
          </cell>
          <cell r="J21">
            <v>1.4535830272536621</v>
          </cell>
          <cell r="K21">
            <v>1.7406510404283986</v>
          </cell>
          <cell r="L21">
            <v>3.223350192553176</v>
          </cell>
          <cell r="M21">
            <v>1.3786169841157567</v>
          </cell>
          <cell r="S21">
            <v>1.3784146722124986</v>
          </cell>
          <cell r="T21">
            <v>1.3769857098909168</v>
          </cell>
          <cell r="U21">
            <v>1.3752415111546239</v>
          </cell>
          <cell r="V21">
            <v>1.3735132102506464</v>
          </cell>
          <cell r="W21">
            <v>1.3714568540065086</v>
          </cell>
          <cell r="X21">
            <v>1.369178916936697</v>
          </cell>
        </row>
        <row r="22">
          <cell r="A22" t="str">
            <v>hide</v>
          </cell>
          <cell r="B22" t="str">
            <v>Net portfolio investment,equity</v>
          </cell>
          <cell r="D22">
            <v>2.65760348902691</v>
          </cell>
          <cell r="E22">
            <v>0.97052223387871972</v>
          </cell>
          <cell r="F22">
            <v>0.18135169234821547</v>
          </cell>
          <cell r="G22">
            <v>0.8428193521429117</v>
          </cell>
          <cell r="H22">
            <v>0.80200488590728458</v>
          </cell>
          <cell r="I22">
            <v>-0.1582439236864141</v>
          </cell>
          <cell r="J22">
            <v>0.78343406688389139</v>
          </cell>
          <cell r="K22">
            <v>7.6849412354168117E-2</v>
          </cell>
          <cell r="L22">
            <v>2.4194794197963842E-2</v>
          </cell>
          <cell r="M22">
            <v>8.4220676360230839E-2</v>
          </cell>
          <cell r="S22">
            <v>0.10106481163227699</v>
          </cell>
          <cell r="T22">
            <v>0.20212962326455311</v>
          </cell>
          <cell r="U22">
            <v>0.24255554791746373</v>
          </cell>
          <cell r="V22">
            <v>0.24255554791746428</v>
          </cell>
          <cell r="W22">
            <v>0.24255554791746572</v>
          </cell>
          <cell r="X22">
            <v>0.2425555479174637</v>
          </cell>
        </row>
        <row r="23">
          <cell r="A23">
            <v>9</v>
          </cell>
          <cell r="B23" t="str">
            <v>Automatic debt dynamics 1/</v>
          </cell>
          <cell r="D23">
            <v>-0.38915913026048177</v>
          </cell>
          <cell r="E23">
            <v>1.2179740881958352</v>
          </cell>
          <cell r="F23">
            <v>18.245965565400372</v>
          </cell>
          <cell r="G23">
            <v>-4.8861328386243912</v>
          </cell>
          <cell r="H23">
            <v>-5.5690618349220973</v>
          </cell>
          <cell r="I23">
            <v>0.57464398314484666</v>
          </cell>
          <cell r="J23">
            <v>-2.3930514737569206</v>
          </cell>
          <cell r="K23">
            <v>-4.0094872570659223</v>
          </cell>
          <cell r="L23">
            <v>0.13835573692061276</v>
          </cell>
          <cell r="M23">
            <v>0.81698118904400863</v>
          </cell>
          <cell r="S23">
            <v>2.8460006034839429</v>
          </cell>
          <cell r="T23">
            <v>0.82558954479639224</v>
          </cell>
          <cell r="U23">
            <v>0.80032049922530613</v>
          </cell>
          <cell r="V23">
            <v>0.88813436832365067</v>
          </cell>
          <cell r="W23">
            <v>0.81248235232691524</v>
          </cell>
          <cell r="X23">
            <v>0.72878317522082248</v>
          </cell>
          <cell r="Y23">
            <v>0.69555902164168959</v>
          </cell>
        </row>
        <row r="24">
          <cell r="A24" t="str">
            <v>hide</v>
          </cell>
          <cell r="B24" t="str">
            <v>Denominator: 1+g+r+gr</v>
          </cell>
          <cell r="D24">
            <v>1.1090008476352009</v>
          </cell>
          <cell r="E24">
            <v>1.0434736949102459</v>
          </cell>
          <cell r="F24">
            <v>0.68013857038512504</v>
          </cell>
          <cell r="G24">
            <v>1.1612690855164858</v>
          </cell>
          <cell r="H24">
            <v>1.2062167455108586</v>
          </cell>
          <cell r="I24">
            <v>1.0498886075662297</v>
          </cell>
          <cell r="J24">
            <v>1.1430796642188585</v>
          </cell>
          <cell r="K24">
            <v>1.2085063273547045</v>
          </cell>
          <cell r="L24">
            <v>1.0734514363268328</v>
          </cell>
          <cell r="M24">
            <v>1.0279245246069721</v>
          </cell>
          <cell r="S24">
            <v>0.95609731868811043</v>
          </cell>
          <cell r="T24">
            <v>1.0492581884106229</v>
          </cell>
          <cell r="U24">
            <v>1.0578192085759333</v>
          </cell>
          <cell r="V24">
            <v>1.0552603556416997</v>
          </cell>
          <cell r="W24">
            <v>1.0562149319344867</v>
          </cell>
          <cell r="X24">
            <v>1.056881260658489</v>
          </cell>
          <cell r="Y24">
            <v>1.056881260658489</v>
          </cell>
        </row>
        <row r="25">
          <cell r="A25">
            <v>10</v>
          </cell>
          <cell r="B25" t="str">
            <v>Contribution from nominal interest rate</v>
          </cell>
          <cell r="D25">
            <v>2.7116155861388718</v>
          </cell>
          <cell r="E25">
            <v>2.8059992073812121</v>
          </cell>
          <cell r="F25">
            <v>4.7434474443680612</v>
          </cell>
          <cell r="G25">
            <v>4.0203175165945888</v>
          </cell>
          <cell r="H25">
            <v>3.1022496924239471</v>
          </cell>
          <cell r="I25">
            <v>2.9700436127329986</v>
          </cell>
          <cell r="J25">
            <v>2.6911968330978349</v>
          </cell>
          <cell r="K25">
            <v>2.3285303143480918</v>
          </cell>
          <cell r="L25">
            <v>2.0426724188745227</v>
          </cell>
          <cell r="M25">
            <v>1.6230384861969329</v>
          </cell>
          <cell r="S25">
            <v>1.9148050655380271</v>
          </cell>
          <cell r="T25">
            <v>2.2488808130056559</v>
          </cell>
          <cell r="U25">
            <v>2.4365974603964378</v>
          </cell>
          <cell r="V25">
            <v>2.4483834990106428</v>
          </cell>
          <cell r="W25">
            <v>2.3941659578164276</v>
          </cell>
          <cell r="X25">
            <v>2.3185109090593672</v>
          </cell>
          <cell r="Y25">
            <v>2.2128134051424526</v>
          </cell>
        </row>
        <row r="26">
          <cell r="A26">
            <v>11</v>
          </cell>
          <cell r="B26" t="str">
            <v xml:space="preserve">Contribution from real GDP growth </v>
          </cell>
          <cell r="D26">
            <v>-0.55121896166263407</v>
          </cell>
          <cell r="E26">
            <v>-1.382064371191583</v>
          </cell>
          <cell r="F26">
            <v>3.0642480462382928</v>
          </cell>
          <cell r="G26">
            <v>-2.6168408298249051</v>
          </cell>
          <cell r="H26">
            <v>-2.7876866530839228</v>
          </cell>
          <cell r="I26">
            <v>-1.8459472030033095</v>
          </cell>
          <cell r="J26">
            <v>-1.2381656016870823</v>
          </cell>
          <cell r="K26">
            <v>-2.0072546232961468</v>
          </cell>
          <cell r="L26">
            <v>8.2789218109836235E-2</v>
          </cell>
          <cell r="M26">
            <v>-0.23185649595264501</v>
          </cell>
          <cell r="S26">
            <v>-0.63183163279552357</v>
          </cell>
          <cell r="T26">
            <v>-1.0315615871951969</v>
          </cell>
          <cell r="U26">
            <v>-1.1704906355753957</v>
          </cell>
          <cell r="V26">
            <v>-1.0972956529337303</v>
          </cell>
          <cell r="W26">
            <v>-1.0938723843060105</v>
          </cell>
          <cell r="X26">
            <v>-1.0868811438699364</v>
          </cell>
          <cell r="Y26">
            <v>-1.0373318303374754</v>
          </cell>
        </row>
        <row r="27">
          <cell r="A27">
            <v>12</v>
          </cell>
          <cell r="B27" t="str">
            <v xml:space="preserve">Contribution from price and exchange rate changes 2/ </v>
          </cell>
          <cell r="D27">
            <v>-2.5495557547367196</v>
          </cell>
          <cell r="E27">
            <v>-0.20596074799379385</v>
          </cell>
          <cell r="F27">
            <v>10.438270074794017</v>
          </cell>
          <cell r="G27">
            <v>-6.2896095253940754</v>
          </cell>
          <cell r="H27">
            <v>-5.8836248742621216</v>
          </cell>
          <cell r="I27">
            <v>-0.54945242658484239</v>
          </cell>
          <cell r="J27">
            <v>-3.8460827051676731</v>
          </cell>
          <cell r="K27">
            <v>-4.3307629481178678</v>
          </cell>
          <cell r="L27">
            <v>-1.9871059000637463</v>
          </cell>
          <cell r="M27">
            <v>-0.57420080120027928</v>
          </cell>
          <cell r="S27">
            <v>1.5630271707414392</v>
          </cell>
          <cell r="T27">
            <v>-0.3917296810140668</v>
          </cell>
          <cell r="U27">
            <v>-0.46578632559573602</v>
          </cell>
          <cell r="V27">
            <v>-0.46295347775326173</v>
          </cell>
          <cell r="W27">
            <v>-0.48781122118350184</v>
          </cell>
          <cell r="X27">
            <v>-0.50284658996860832</v>
          </cell>
          <cell r="Y27">
            <v>-0.47992255316328764</v>
          </cell>
        </row>
        <row r="28">
          <cell r="A28">
            <v>13</v>
          </cell>
          <cell r="B28" t="str">
            <v>Residual, incl. change in gross foreign assets (2-3)</v>
          </cell>
          <cell r="D28">
            <v>2.3783595649249714</v>
          </cell>
          <cell r="E28">
            <v>-1.448018586335059</v>
          </cell>
          <cell r="F28">
            <v>14.241112855790748</v>
          </cell>
          <cell r="G28">
            <v>2.1760770587044078</v>
          </cell>
          <cell r="H28">
            <v>-0.70170370002876403</v>
          </cell>
          <cell r="I28">
            <v>1.183192784936443</v>
          </cell>
          <cell r="J28">
            <v>1.9549874968826835</v>
          </cell>
          <cell r="K28">
            <v>-3.5150475421075402</v>
          </cell>
          <cell r="L28">
            <v>0.27832454087463798</v>
          </cell>
          <cell r="M28">
            <v>0.2088079739549632</v>
          </cell>
          <cell r="S28">
            <v>1.1129649592460451</v>
          </cell>
          <cell r="T28">
            <v>-0.23757792347222983</v>
          </cell>
          <cell r="U28">
            <v>-0.15060665833999898</v>
          </cell>
          <cell r="V28">
            <v>-0.1245385130904525</v>
          </cell>
          <cell r="W28">
            <v>-0.22891752368548102</v>
          </cell>
          <cell r="X28">
            <v>-1.2406284741460549</v>
          </cell>
          <cell r="Y28">
            <v>0</v>
          </cell>
        </row>
        <row r="30">
          <cell r="B30" t="str">
            <v>External debt-to-exports ratio (in percent)</v>
          </cell>
          <cell r="C30">
            <v>238.83994612599975</v>
          </cell>
          <cell r="D30">
            <v>293.58457918096985</v>
          </cell>
          <cell r="E30">
            <v>280.37499803529499</v>
          </cell>
          <cell r="F30">
            <v>267.7548817887955</v>
          </cell>
          <cell r="G30">
            <v>216.35012231563618</v>
          </cell>
          <cell r="H30">
            <v>180.91094729662288</v>
          </cell>
          <cell r="I30">
            <v>191.81732609145251</v>
          </cell>
          <cell r="J30">
            <v>181.90986192780969</v>
          </cell>
          <cell r="K30">
            <v>139.27635973817448</v>
          </cell>
          <cell r="L30">
            <v>145.01759974002445</v>
          </cell>
          <cell r="M30">
            <v>149.07642845373994</v>
          </cell>
          <cell r="S30">
            <v>147.97455290515606</v>
          </cell>
          <cell r="T30">
            <v>148.48789228769607</v>
          </cell>
          <cell r="U30">
            <v>144.88885158327153</v>
          </cell>
          <cell r="V30">
            <v>140.57847615780688</v>
          </cell>
          <cell r="W30">
            <v>136.1599098488843</v>
          </cell>
          <cell r="X30">
            <v>126.0405282179097</v>
          </cell>
        </row>
        <row r="32">
          <cell r="B32" t="str">
            <v>Gross external financing need (in billions of US dollars) 3/</v>
          </cell>
          <cell r="D32">
            <v>49.809402258051044</v>
          </cell>
          <cell r="E32">
            <v>56.037830081692292</v>
          </cell>
          <cell r="F32">
            <v>36.7023598165907</v>
          </cell>
          <cell r="G32">
            <v>56.411010005177815</v>
          </cell>
          <cell r="H32">
            <v>66.614535826162111</v>
          </cell>
          <cell r="I32">
            <v>61.194110095710101</v>
          </cell>
          <cell r="J32">
            <v>59.862534310445099</v>
          </cell>
          <cell r="K32">
            <v>70.750282676462206</v>
          </cell>
          <cell r="L32">
            <v>68.878287470992504</v>
          </cell>
          <cell r="M32">
            <v>51.2728470236246</v>
          </cell>
          <cell r="S32">
            <v>50.321172660215296</v>
          </cell>
          <cell r="T32">
            <v>59.613123117101296</v>
          </cell>
          <cell r="U32">
            <v>58.859856831764588</v>
          </cell>
          <cell r="V32">
            <v>63.627538241590493</v>
          </cell>
          <cell r="W32">
            <v>69.432686897588894</v>
          </cell>
          <cell r="X32">
            <v>71.815156457356608</v>
          </cell>
        </row>
        <row r="33">
          <cell r="B33" t="str">
            <v>in percent of GDP</v>
          </cell>
          <cell r="D33">
            <v>12.352205104915861</v>
          </cell>
          <cell r="E33">
            <v>13.317814734823841</v>
          </cell>
          <cell r="F33">
            <v>12.824730377479504</v>
          </cell>
          <cell r="G33">
            <v>16.974041737340691</v>
          </cell>
          <cell r="H33">
            <v>16.617475335934021</v>
          </cell>
          <cell r="I33">
            <v>14.53993406613149</v>
          </cell>
          <cell r="J33">
            <v>12.44318087259445</v>
          </cell>
          <cell r="K33">
            <v>12.169018906842885</v>
          </cell>
          <cell r="L33">
            <v>11.036397285224206</v>
          </cell>
          <cell r="M33">
            <v>7.9922892008963773</v>
          </cell>
          <cell r="O33" t="str">
            <v>10-Year</v>
          </cell>
          <cell r="Q33" t="str">
            <v>10-Year</v>
          </cell>
          <cell r="S33">
            <v>8.2041276717685676</v>
          </cell>
          <cell r="T33">
            <v>9.2627760685273088</v>
          </cell>
          <cell r="U33">
            <v>8.6458369770439347</v>
          </cell>
          <cell r="V33">
            <v>8.8567286456715255</v>
          </cell>
          <cell r="W33">
            <v>9.1503959540788422</v>
          </cell>
          <cell r="X33">
            <v>8.9550049182362361</v>
          </cell>
        </row>
        <row r="34">
          <cell r="O34" t="str">
            <v>Historical</v>
          </cell>
          <cell r="Q34" t="str">
            <v xml:space="preserve">Standard </v>
          </cell>
          <cell r="Y34" t="str">
            <v>For debt</v>
          </cell>
          <cell r="AA34" t="str">
            <v>Projected</v>
          </cell>
        </row>
        <row r="35">
          <cell r="B35" t="str">
            <v>Key Macroeconomic Assumptions</v>
          </cell>
          <cell r="O35" t="str">
            <v>Average</v>
          </cell>
          <cell r="Q35" t="str">
            <v>Deviation</v>
          </cell>
          <cell r="Y35" t="str">
            <v>stabilization</v>
          </cell>
          <cell r="AA35" t="str">
            <v>Average</v>
          </cell>
        </row>
        <row r="37">
          <cell r="A37" t="str">
            <v>hide</v>
          </cell>
          <cell r="B37" t="str">
            <v xml:space="preserve">Nominal GDP (US dollars)  </v>
          </cell>
          <cell r="C37">
            <v>363.60927898113795</v>
          </cell>
          <cell r="D37">
            <v>403.24299859810606</v>
          </cell>
          <cell r="E37">
            <v>420.77346169385294</v>
          </cell>
          <cell r="F37">
            <v>286.18426069245726</v>
          </cell>
          <cell r="G37">
            <v>332.33693470354149</v>
          </cell>
          <cell r="H37">
            <v>400.87037579116048</v>
          </cell>
          <cell r="I37">
            <v>420.86924065393282</v>
          </cell>
          <cell r="J37">
            <v>481.0870702867436</v>
          </cell>
          <cell r="K37">
            <v>581.39676845006704</v>
          </cell>
          <cell r="L37">
            <v>624.10119616850341</v>
          </cell>
          <cell r="M37">
            <v>641.52892537815171</v>
          </cell>
          <cell r="S37">
            <v>613.36408541491573</v>
          </cell>
          <cell r="T37">
            <v>643.57728909859304</v>
          </cell>
          <cell r="U37">
            <v>680.78841861171827</v>
          </cell>
          <cell r="V37">
            <v>718.40902874095218</v>
          </cell>
          <cell r="W37">
            <v>758.79434339274542</v>
          </cell>
          <cell r="X37">
            <v>801.95552222545518</v>
          </cell>
          <cell r="Y37">
            <v>847.57176332167592</v>
          </cell>
        </row>
        <row r="38">
          <cell r="B38" t="str">
            <v>Real GDP growth (in percent)</v>
          </cell>
          <cell r="D38">
            <v>1.9505059066729169</v>
          </cell>
          <cell r="E38">
            <v>4.4153258154336239</v>
          </cell>
          <cell r="F38">
            <v>-6.1669941277728739</v>
          </cell>
          <cell r="G38">
            <v>5.1533150618820356</v>
          </cell>
          <cell r="H38">
            <v>6.7719724015153027</v>
          </cell>
          <cell r="I38">
            <v>5.0303764143624807</v>
          </cell>
          <cell r="J38">
            <v>3.5931136761357951</v>
          </cell>
          <cell r="K38">
            <v>6.5681079959744038</v>
          </cell>
          <cell r="L38">
            <v>-0.3131742322188158</v>
          </cell>
          <cell r="M38">
            <v>0.90365233880111973</v>
          </cell>
          <cell r="O38">
            <v>2.7906201250785987</v>
          </cell>
          <cell r="Q38">
            <v>3.917792922964717</v>
          </cell>
          <cell r="S38">
            <v>2.2790531025159932</v>
          </cell>
          <cell r="T38">
            <v>3.700000000000192</v>
          </cell>
          <cell r="U38">
            <v>4.2500000000001759</v>
          </cell>
          <cell r="V38">
            <v>4.0000000000000924</v>
          </cell>
          <cell r="W38">
            <v>3.9999999999995373</v>
          </cell>
          <cell r="X38">
            <v>4.000000000000381</v>
          </cell>
          <cell r="Y38">
            <v>4.000000000000381</v>
          </cell>
          <cell r="AA38">
            <v>3.7048421837527283</v>
          </cell>
        </row>
        <row r="39">
          <cell r="B39" t="str">
            <v>Exchange rate appreciation (US dollar value of local currency, change in percent)</v>
          </cell>
          <cell r="D39">
            <v>-0.65271003326620169</v>
          </cell>
          <cell r="E39">
            <v>-7.6999807414066641</v>
          </cell>
          <cell r="F39">
            <v>-47.419967518347114</v>
          </cell>
          <cell r="G39">
            <v>-15.533158686000048</v>
          </cell>
          <cell r="H39">
            <v>-4.0287724357118133</v>
          </cell>
          <cell r="I39">
            <v>-13.323615612449036</v>
          </cell>
          <cell r="J39">
            <v>-4.44405123842464</v>
          </cell>
          <cell r="K39">
            <v>1.1101044534612026</v>
          </cell>
          <cell r="L39">
            <v>1.2197784760976882</v>
          </cell>
          <cell r="M39">
            <v>-3.2759417558727022</v>
          </cell>
          <cell r="O39">
            <v>-9.4048315091919328</v>
          </cell>
          <cell r="Q39">
            <v>14.499390149632067</v>
          </cell>
          <cell r="S39">
            <v>-10.074391091011181</v>
          </cell>
          <cell r="T39">
            <v>-1.6949152542372503</v>
          </cell>
          <cell r="U39">
            <v>-1.4563106796113501</v>
          </cell>
          <cell r="V39">
            <v>-1.4563106796115832</v>
          </cell>
          <cell r="W39">
            <v>-1.4563106796123826</v>
          </cell>
          <cell r="X39">
            <v>-1.456310679611128</v>
          </cell>
          <cell r="Y39">
            <v>-1.456310679611128</v>
          </cell>
          <cell r="AA39">
            <v>-2.9324248439491463</v>
          </cell>
        </row>
        <row r="40">
          <cell r="A40" t="str">
            <v>hide</v>
          </cell>
          <cell r="B40" t="str">
            <v>GDP deflator (change in domestic currency)</v>
          </cell>
          <cell r="D40">
            <v>9.4930284775049287</v>
          </cell>
          <cell r="E40">
            <v>8.27182712642065</v>
          </cell>
          <cell r="F40">
            <v>37.854492984192412</v>
          </cell>
          <cell r="G40">
            <v>30.744564293556454</v>
          </cell>
          <cell r="H40">
            <v>17.713707368008347</v>
          </cell>
          <cell r="I40">
            <v>15.326075747008261</v>
          </cell>
          <cell r="J40">
            <v>15.474976599303968</v>
          </cell>
          <cell r="K40">
            <v>12.157188511137251</v>
          </cell>
          <cell r="L40">
            <v>6.3847191839087492</v>
          </cell>
          <cell r="M40">
            <v>5.3221779984464312</v>
          </cell>
          <cell r="O40">
            <v>15.874275828948743</v>
          </cell>
          <cell r="Q40">
            <v>10.655367103070978</v>
          </cell>
          <cell r="S40">
            <v>3.9518001174397632</v>
          </cell>
          <cell r="T40">
            <v>2.9266004659106448</v>
          </cell>
          <cell r="U40">
            <v>2.9690172433361584</v>
          </cell>
          <cell r="V40">
            <v>2.9668592564369822</v>
          </cell>
          <cell r="W40">
            <v>3.0600018844765264</v>
          </cell>
          <cell r="X40">
            <v>3.1250188024094294</v>
          </cell>
          <cell r="Y40">
            <v>3.1250188024094294</v>
          </cell>
          <cell r="AA40">
            <v>3.1665496283349177</v>
          </cell>
        </row>
        <row r="41">
          <cell r="B41" t="str">
            <v>GDP deflator in US dollars (change in percent)</v>
          </cell>
          <cell r="D41">
            <v>8.7783564949052373</v>
          </cell>
          <cell r="E41">
            <v>-6.5082710682862199E-2</v>
          </cell>
          <cell r="F41">
            <v>-27.516062811493736</v>
          </cell>
          <cell r="G41">
            <v>10.43580364851897</v>
          </cell>
          <cell r="H41">
            <v>12.971289972511556</v>
          </cell>
          <cell r="I41">
            <v>-3.9527286444929199E-2</v>
          </cell>
          <cell r="J41">
            <v>10.343209471672044</v>
          </cell>
          <cell r="K41">
            <v>13.402250455676267</v>
          </cell>
          <cell r="L41">
            <v>7.6823770903710287</v>
          </cell>
          <cell r="M41">
            <v>1.8718847912007508</v>
          </cell>
          <cell r="O41">
            <v>3.7864499116234329</v>
          </cell>
          <cell r="Q41">
            <v>12.097348448933181</v>
          </cell>
          <cell r="S41">
            <v>-6.5207107725373419</v>
          </cell>
          <cell r="T41">
            <v>1.1820818139461009</v>
          </cell>
          <cell r="U41">
            <v>1.4694684485305975</v>
          </cell>
          <cell r="V41">
            <v>1.4673418886248735</v>
          </cell>
          <cell r="W41">
            <v>1.5591280706241717</v>
          </cell>
          <cell r="X41">
            <v>1.6231981402389462</v>
          </cell>
          <cell r="Y41">
            <v>1.6231981402389462</v>
          </cell>
          <cell r="AA41">
            <v>0.13008459823789131</v>
          </cell>
        </row>
        <row r="42">
          <cell r="B42" t="str">
            <v>Nominal external interest rate (in percent)</v>
          </cell>
          <cell r="D42">
            <v>9.5951383846393998</v>
          </cell>
          <cell r="E42">
            <v>8.9644165616936533</v>
          </cell>
          <cell r="F42">
            <v>9.546489740191948</v>
          </cell>
          <cell r="G42">
            <v>7.9171658343474149</v>
          </cell>
          <cell r="H42">
            <v>7.536122927038261</v>
          </cell>
          <cell r="I42">
            <v>8.0936428272771259</v>
          </cell>
          <cell r="J42">
            <v>7.8097599650656289</v>
          </cell>
          <cell r="K42">
            <v>7.6193814173031509</v>
          </cell>
          <cell r="L42">
            <v>7.7270009436117055</v>
          </cell>
          <cell r="M42">
            <v>6.3257340191824616</v>
          </cell>
          <cell r="O42">
            <v>8.1134852620350735</v>
          </cell>
          <cell r="Q42">
            <v>1.0014975726804585</v>
          </cell>
          <cell r="S42">
            <v>6.9068121930198778</v>
          </cell>
          <cell r="T42">
            <v>8.0662745796357846</v>
          </cell>
          <cell r="U42">
            <v>8.8471781763505177</v>
          </cell>
          <cell r="V42">
            <v>8.9251551939158773</v>
          </cell>
          <cell r="W42">
            <v>8.754827316844974</v>
          </cell>
          <cell r="X42">
            <v>8.5327118687672705</v>
          </cell>
          <cell r="Y42">
            <v>8.5327118687672705</v>
          </cell>
          <cell r="AA42">
            <v>8.3388265547557179</v>
          </cell>
        </row>
        <row r="43">
          <cell r="B43" t="str">
            <v>Growth of exports (US dollar terms, in percent)</v>
          </cell>
          <cell r="D43">
            <v>-5.974886646351429</v>
          </cell>
          <cell r="E43">
            <v>13.051473952294579</v>
          </cell>
          <cell r="F43">
            <v>24.272484164404062</v>
          </cell>
          <cell r="G43">
            <v>21.01627199053091</v>
          </cell>
          <cell r="H43">
            <v>11.924596110196983</v>
          </cell>
          <cell r="I43">
            <v>1.2377534263417589</v>
          </cell>
          <cell r="J43">
            <v>13.014696159634841</v>
          </cell>
          <cell r="K43">
            <v>21.279337608135982</v>
          </cell>
          <cell r="L43">
            <v>-4.1817899325133574</v>
          </cell>
          <cell r="M43">
            <v>0.49463171837988984</v>
          </cell>
          <cell r="O43">
            <v>9.6134568551054222</v>
          </cell>
          <cell r="Q43">
            <v>11.037030952845093</v>
          </cell>
          <cell r="S43">
            <v>6.3042987832864661</v>
          </cell>
          <cell r="T43">
            <v>4.1341121378989154</v>
          </cell>
          <cell r="U43">
            <v>7.7209932499892719</v>
          </cell>
          <cell r="V43">
            <v>8.5204138648357741</v>
          </cell>
          <cell r="W43">
            <v>8.4204410618754721</v>
          </cell>
          <cell r="X43">
            <v>8.9684788132994075</v>
          </cell>
          <cell r="AA43">
            <v>7.3447896518642173</v>
          </cell>
        </row>
        <row r="44">
          <cell r="B44" t="str">
            <v>Growth of imports  (US dollar terms, in percent)</v>
          </cell>
          <cell r="D44">
            <v>-16.186702425684775</v>
          </cell>
          <cell r="E44">
            <v>17.655370592634668</v>
          </cell>
          <cell r="F44">
            <v>-22.311086400667534</v>
          </cell>
          <cell r="G44">
            <v>25.182903457299165</v>
          </cell>
          <cell r="H44">
            <v>23.239793326981161</v>
          </cell>
          <cell r="I44">
            <v>11.689572728856778</v>
          </cell>
          <cell r="J44">
            <v>10.301803410041877</v>
          </cell>
          <cell r="K44">
            <v>22.586493830100252</v>
          </cell>
          <cell r="L44">
            <v>-1.3735196335638356</v>
          </cell>
          <cell r="M44">
            <v>-0.70285626144138691</v>
          </cell>
          <cell r="O44">
            <v>7.0081772624556375</v>
          </cell>
          <cell r="Q44">
            <v>16.699736153228454</v>
          </cell>
          <cell r="S44">
            <v>4.6246820929563226</v>
          </cell>
          <cell r="T44">
            <v>8.8785906895234135</v>
          </cell>
          <cell r="U44">
            <v>8.6016865550341706</v>
          </cell>
          <cell r="V44">
            <v>8.4824337217028969</v>
          </cell>
          <cell r="W44">
            <v>8.4939431563792347</v>
          </cell>
          <cell r="X44">
            <v>8.4801178771137131</v>
          </cell>
          <cell r="AA44">
            <v>7.9269090154516251</v>
          </cell>
        </row>
        <row r="45">
          <cell r="B45" t="str">
            <v xml:space="preserve">Current account balance, excluding interest payments </v>
          </cell>
          <cell r="D45">
            <v>-3.0911403405228386</v>
          </cell>
          <cell r="E45">
            <v>-4.2433900009100416</v>
          </cell>
          <cell r="F45">
            <v>4.1925967455261368</v>
          </cell>
          <cell r="G45">
            <v>3.319142366718844</v>
          </cell>
          <cell r="H45">
            <v>1.244114132943114</v>
          </cell>
          <cell r="I45">
            <v>-0.8531017839225522</v>
          </cell>
          <cell r="J45">
            <v>-0.21794015361399607</v>
          </cell>
          <cell r="K45">
            <v>-0.78657133100194698</v>
          </cell>
          <cell r="L45">
            <v>-0.82781349110010505</v>
          </cell>
          <cell r="M45">
            <v>-0.56915382870300568</v>
          </cell>
          <cell r="O45">
            <v>-0.18332576845863913</v>
          </cell>
          <cell r="Q45">
            <v>2.5770569714646832</v>
          </cell>
          <cell r="S45">
            <v>-0.26758260073971502</v>
          </cell>
          <cell r="T45">
            <v>-0.87109282685465672</v>
          </cell>
          <cell r="U45">
            <v>-0.78304582404535927</v>
          </cell>
          <cell r="V45">
            <v>-0.78826652733512448</v>
          </cell>
          <cell r="W45">
            <v>-0.86394676288675132</v>
          </cell>
          <cell r="X45">
            <v>-0.81438624000576743</v>
          </cell>
          <cell r="AA45">
            <v>-0.73138679697789577</v>
          </cell>
        </row>
        <row r="46">
          <cell r="B46" t="str">
            <v xml:space="preserve">Net non-debt creating capital inflows </v>
          </cell>
          <cell r="D46">
            <v>3.7587261409853001</v>
          </cell>
          <cell r="E46">
            <v>2.8810277034106733</v>
          </cell>
          <cell r="F46">
            <v>3.1201576139771774</v>
          </cell>
          <cell r="G46">
            <v>3.2857756269976317</v>
          </cell>
          <cell r="H46">
            <v>3.612389658732003</v>
          </cell>
          <cell r="I46">
            <v>1.7478112652211142</v>
          </cell>
          <cell r="J46">
            <v>2.2370170941375536</v>
          </cell>
          <cell r="K46">
            <v>1.8175004527825667</v>
          </cell>
          <cell r="L46">
            <v>3.2475449867511399</v>
          </cell>
          <cell r="M46">
            <v>1.4628376604759876</v>
          </cell>
          <cell r="O46">
            <v>2.7170788203471146</v>
          </cell>
          <cell r="Q46">
            <v>0.83220415367493195</v>
          </cell>
          <cell r="S46">
            <v>1.4794794838447756</v>
          </cell>
          <cell r="T46">
            <v>1.5791153331554699</v>
          </cell>
          <cell r="U46">
            <v>1.6177970590720876</v>
          </cell>
          <cell r="V46">
            <v>1.6160687581681108</v>
          </cell>
          <cell r="W46">
            <v>1.6140124019239743</v>
          </cell>
          <cell r="X46">
            <v>1.6117344648541607</v>
          </cell>
          <cell r="AA46">
            <v>1.58636791683643</v>
          </cell>
        </row>
        <row r="48">
          <cell r="AA48" t="str">
            <v>Debt-stabilizing</v>
          </cell>
        </row>
        <row r="49">
          <cell r="S49" t="str">
            <v xml:space="preserve">II. Stress Tests for External Debt Ratio </v>
          </cell>
          <cell r="AA49" t="str">
            <v xml:space="preserve">non-interest </v>
          </cell>
        </row>
        <row r="50">
          <cell r="B50" t="str">
            <v>A. Alternative Scenarios</v>
          </cell>
          <cell r="AA50" t="str">
            <v>current account 6/</v>
          </cell>
        </row>
        <row r="52">
          <cell r="B52" t="str">
            <v>A1. Key variables are at their historical averages in 2005-09 4/</v>
          </cell>
          <cell r="S52">
            <v>29.253363303090886</v>
          </cell>
          <cell r="T52">
            <v>26.829099954567639</v>
          </cell>
          <cell r="U52">
            <v>24.468484589107014</v>
          </cell>
          <cell r="V52">
            <v>22.105964728381007</v>
          </cell>
          <cell r="W52">
            <v>19.616618533535686</v>
          </cell>
          <cell r="X52">
            <v>16.142364382922707</v>
          </cell>
          <cell r="AA52">
            <v>-2.5250792361965031</v>
          </cell>
        </row>
        <row r="53">
          <cell r="B53" t="str">
            <v>A2. Country-specific shock in 2005, with reduction in GDP growth (relative to baseline) of one standard deviation 5/</v>
          </cell>
          <cell r="S53">
            <v>29.253363303090886</v>
          </cell>
          <cell r="T53">
            <v>29.133352418114235</v>
          </cell>
          <cell r="U53">
            <v>28.948315023972814</v>
          </cell>
          <cell r="V53">
            <v>28.884108648373026</v>
          </cell>
          <cell r="W53">
            <v>28.717607837977237</v>
          </cell>
          <cell r="X53">
            <v>27.408414314203611</v>
          </cell>
          <cell r="AA53">
            <v>-0.91617544321247113</v>
          </cell>
        </row>
        <row r="54">
          <cell r="B54" t="str">
            <v>A3. Selected variables are consistent with market forecast in 2005-09</v>
          </cell>
          <cell r="S54">
            <v>29.253363303090886</v>
          </cell>
          <cell r="T54">
            <v>29.133352418114235</v>
          </cell>
          <cell r="U54">
            <v>28.948315023972814</v>
          </cell>
          <cell r="V54">
            <v>28.884108648373026</v>
          </cell>
          <cell r="W54">
            <v>28.717607837977237</v>
          </cell>
          <cell r="X54">
            <v>27.408414314203611</v>
          </cell>
          <cell r="AA54">
            <v>-0.91617544321247113</v>
          </cell>
        </row>
        <row r="56">
          <cell r="B56" t="str">
            <v>B. Bound Tests</v>
          </cell>
          <cell r="S56">
            <v>38.362436203717643</v>
          </cell>
          <cell r="T56">
            <v>38.527900116837472</v>
          </cell>
          <cell r="U56">
            <v>38.387419038301594</v>
          </cell>
          <cell r="V56">
            <v>37.16681898699688</v>
          </cell>
          <cell r="W56">
            <v>36.032126332955464</v>
          </cell>
          <cell r="X56">
            <v>35.114974340195531</v>
          </cell>
          <cell r="AA56">
            <v>-1.6813520341400905</v>
          </cell>
        </row>
        <row r="57">
          <cell r="B57" t="str">
            <v>B2. Real GDP growth is at baseline minus one-half standard deviations</v>
          </cell>
          <cell r="S57">
            <v>38.362436203717643</v>
          </cell>
          <cell r="T57">
            <v>38.883882918112946</v>
          </cell>
          <cell r="U57">
            <v>39.092278481420763</v>
          </cell>
          <cell r="V57">
            <v>38.185953657929879</v>
          </cell>
          <cell r="W57">
            <v>37.340634172405345</v>
          </cell>
          <cell r="X57">
            <v>36.698769476919189</v>
          </cell>
          <cell r="AA57">
            <v>-1.4406636974909182</v>
          </cell>
        </row>
        <row r="58">
          <cell r="B58" t="str">
            <v>B1. Nominal interest rate is at historical average plus two standard deviations in 2005 and 2006</v>
          </cell>
          <cell r="S58">
            <v>29.253363303090886</v>
          </cell>
          <cell r="T58">
            <v>29.704002647906499</v>
          </cell>
          <cell r="U58">
            <v>29.890545158038439</v>
          </cell>
          <cell r="V58">
            <v>29.855246405014988</v>
          </cell>
          <cell r="W58">
            <v>29.71606277094461</v>
          </cell>
          <cell r="X58">
            <v>28.432207609630289</v>
          </cell>
          <cell r="AA58">
            <v>-0.8901940546225714</v>
          </cell>
        </row>
        <row r="59">
          <cell r="B59" t="str">
            <v>B2. Real GDP growth is at historical average minus two standard deviations in 2005 and 2006</v>
          </cell>
          <cell r="S59">
            <v>29.253363303090886</v>
          </cell>
          <cell r="T59">
            <v>31.736189573570137</v>
          </cell>
          <cell r="U59">
            <v>34.462679576988535</v>
          </cell>
          <cell r="V59">
            <v>34.221274766587449</v>
          </cell>
          <cell r="W59">
            <v>33.838162074880437</v>
          </cell>
          <cell r="X59">
            <v>32.091298341321917</v>
          </cell>
          <cell r="AA59">
            <v>-1.118068802688537</v>
          </cell>
        </row>
        <row r="60">
          <cell r="B60" t="str">
            <v>B3. Change in US dollar GDP deflator is at historical average minus two standard deviations in 2005 and 2006</v>
          </cell>
          <cell r="S60">
            <v>29.253363303090886</v>
          </cell>
          <cell r="T60">
            <v>36.013663384280235</v>
          </cell>
          <cell r="U60">
            <v>44.082226176980647</v>
          </cell>
          <cell r="V60">
            <v>43.401931843078515</v>
          </cell>
          <cell r="W60">
            <v>42.499895372162698</v>
          </cell>
          <cell r="X60">
            <v>39.769998793420612</v>
          </cell>
          <cell r="AA60">
            <v>-1.6028733639031496</v>
          </cell>
        </row>
        <row r="61">
          <cell r="B61" t="str">
            <v xml:space="preserve">B4. Non-interest current account is at historical average minus two standard deviations in 2005 and 2006 </v>
          </cell>
          <cell r="S61">
            <v>29.253363303090886</v>
          </cell>
          <cell r="T61">
            <v>33.599699302647579</v>
          </cell>
          <cell r="U61">
            <v>38.091750531320457</v>
          </cell>
          <cell r="V61">
            <v>38.308064777107489</v>
          </cell>
          <cell r="W61">
            <v>38.406650839805536</v>
          </cell>
          <cell r="X61">
            <v>37.343341707362917</v>
          </cell>
          <cell r="AA61">
            <v>-0.66405110291139724</v>
          </cell>
        </row>
        <row r="62">
          <cell r="B62" t="str">
            <v>B5. Combination of 2-5 using one standard deviation shocks</v>
          </cell>
          <cell r="S62">
            <v>29.253363303090886</v>
          </cell>
          <cell r="T62">
            <v>35.809282808825124</v>
          </cell>
          <cell r="U62">
            <v>43.409809955313449</v>
          </cell>
          <cell r="V62">
            <v>43.455457560019831</v>
          </cell>
          <cell r="W62">
            <v>43.35567115596416</v>
          </cell>
          <cell r="X62">
            <v>41.703582643317446</v>
          </cell>
          <cell r="AA62">
            <v>-1.1183612642318437</v>
          </cell>
        </row>
        <row r="63">
          <cell r="B63" t="str">
            <v>B6. One time 30 percent nominal depreciation in 2005</v>
          </cell>
          <cell r="S63">
            <v>29.253363303090886</v>
          </cell>
          <cell r="T63">
            <v>39.3894773083166</v>
          </cell>
          <cell r="U63">
            <v>38.771116463025848</v>
          </cell>
          <cell r="V63">
            <v>38.304444566770002</v>
          </cell>
          <cell r="W63">
            <v>37.657724686058124</v>
          </cell>
          <cell r="X63">
            <v>35.422032844214542</v>
          </cell>
          <cell r="AA63">
            <v>-1.3645275524051657</v>
          </cell>
        </row>
        <row r="64">
          <cell r="B64" t="str">
            <v>g = real GDP growth rate, e = nominal appreciation (increase in dollar value of domestic currency), and a = share of domestic-currency denominated debt in total external debt.</v>
          </cell>
        </row>
        <row r="65">
          <cell r="B65" t="str">
            <v xml:space="preserve">2/ The contribution from price and exchange rate changes is defined as [-r(1+g) + ea(1+r)]/(1+g+r+gr) times previous period debt stock. r increases with an appreciating domestic currency (e &gt; 0) </v>
          </cell>
        </row>
        <row r="66">
          <cell r="B66" t="str">
            <v xml:space="preserve">1/ Derived as [r - g - r(1+g) + ea(1+r)]/(1+g+r+gr) times previous period debt stock, with r = nominal effective interest rate on external debt; r = change in domestic GDP deflator in US dollar terms, </v>
          </cell>
        </row>
        <row r="67">
          <cell r="B67" t="str">
            <v>g = real GDP growth rate, e = nominal appreciation (increase in dollar value of domestic currency), and a = share of domestic-currency denominated debt in total external debt.</v>
          </cell>
        </row>
        <row r="68">
          <cell r="B68" t="str">
            <v xml:space="preserve">2/ The contribution from price and exchange rate changes is defined as [-r(1+g) + ea(1+r)]/(1+g+r+gr) times previous period debt stock. r increases with an appreciating domestic currency (e &gt; 0) </v>
          </cell>
        </row>
        <row r="69">
          <cell r="B69" t="str">
            <v xml:space="preserve">and rising inflation (based on GDP deflator). </v>
          </cell>
        </row>
        <row r="70">
          <cell r="B70" t="str">
            <v xml:space="preserve">3/ Defined as current account deficit, plus amortization on medium- and long-term debt, plus short-term debt at end of previous period. </v>
          </cell>
        </row>
        <row r="71">
          <cell r="B71" t="str">
            <v>4/ The key variables include real GDP growth; nominal interest rate; dollar deflator growth; and both non-interest current account and non-debt inflows in percent of GDP.</v>
          </cell>
        </row>
        <row r="72">
          <cell r="B72" t="str">
            <v xml:space="preserve">5/ The implied change in other key variables under this scenario is discussed in the text. </v>
          </cell>
        </row>
        <row r="73">
          <cell r="B73" t="str">
            <v xml:space="preserve">6/ Long-run, constant balance that stabilizes the debt ratio assuming that key variables (real GDP growth, nominal interest rate, dollar deflator growth, and both non-interest current account and non-debt inflows in percent of GDP) remain </v>
          </cell>
        </row>
      </sheetData>
      <sheetData sheetId="3" refreshError="1"/>
      <sheetData sheetId="4" refreshError="1">
        <row r="2">
          <cell r="B2" t="str">
            <v xml:space="preserve">Table --. Country: External Sustainability Framework--Gross External Financing Need, 1999-2009 </v>
          </cell>
        </row>
        <row r="7">
          <cell r="F7" t="str">
            <v xml:space="preserve">Actual </v>
          </cell>
          <cell r="O7" t="str">
            <v>Projections</v>
          </cell>
        </row>
        <row r="8">
          <cell r="C8">
            <v>1993</v>
          </cell>
          <cell r="D8">
            <v>1994</v>
          </cell>
          <cell r="E8">
            <v>1995</v>
          </cell>
          <cell r="F8">
            <v>1996</v>
          </cell>
          <cell r="G8">
            <v>1997</v>
          </cell>
          <cell r="H8">
            <v>1998</v>
          </cell>
          <cell r="I8">
            <v>1999</v>
          </cell>
          <cell r="J8">
            <v>2000</v>
          </cell>
          <cell r="K8">
            <v>2001</v>
          </cell>
          <cell r="L8">
            <v>2002</v>
          </cell>
          <cell r="M8">
            <v>2003</v>
          </cell>
          <cell r="O8">
            <v>2004</v>
          </cell>
          <cell r="P8">
            <v>2005</v>
          </cell>
          <cell r="Q8">
            <v>2006</v>
          </cell>
          <cell r="R8">
            <v>2007</v>
          </cell>
          <cell r="S8">
            <v>2008</v>
          </cell>
          <cell r="T8">
            <v>2009</v>
          </cell>
        </row>
        <row r="10">
          <cell r="C10" t="str">
            <v>I. Baseline Projections</v>
          </cell>
        </row>
        <row r="12">
          <cell r="B12" t="str">
            <v>Gross external financing need in billions of U.S. dollars 1/</v>
          </cell>
          <cell r="D12">
            <v>49.809402258051044</v>
          </cell>
          <cell r="E12">
            <v>56.037830081692292</v>
          </cell>
          <cell r="F12">
            <v>36.7023598165907</v>
          </cell>
          <cell r="G12">
            <v>56.411010005177815</v>
          </cell>
          <cell r="H12">
            <v>66.614535826162111</v>
          </cell>
          <cell r="I12">
            <v>61.194110095710101</v>
          </cell>
          <cell r="J12">
            <v>59.862534310445099</v>
          </cell>
          <cell r="K12">
            <v>70.750282676462206</v>
          </cell>
          <cell r="L12">
            <v>68.878287470992504</v>
          </cell>
          <cell r="M12">
            <v>51.2728470236246</v>
          </cell>
          <cell r="O12">
            <v>50.321172660215296</v>
          </cell>
          <cell r="P12">
            <v>59.613123117101296</v>
          </cell>
          <cell r="Q12">
            <v>58.859856831764588</v>
          </cell>
          <cell r="R12">
            <v>63.627538241590493</v>
          </cell>
          <cell r="S12">
            <v>69.432686897588894</v>
          </cell>
          <cell r="T12">
            <v>71.815156457356608</v>
          </cell>
        </row>
        <row r="13">
          <cell r="B13" t="str">
            <v>in percent of GDP</v>
          </cell>
          <cell r="D13">
            <v>12.352205104915861</v>
          </cell>
          <cell r="E13">
            <v>13.317814734823841</v>
          </cell>
          <cell r="F13">
            <v>12.824730377479504</v>
          </cell>
          <cell r="G13">
            <v>16.974041737340691</v>
          </cell>
          <cell r="H13">
            <v>16.617475335934021</v>
          </cell>
          <cell r="I13">
            <v>14.53993406613149</v>
          </cell>
          <cell r="J13">
            <v>12.44318087259445</v>
          </cell>
          <cell r="K13">
            <v>12.169018906842885</v>
          </cell>
          <cell r="L13">
            <v>11.036397285224206</v>
          </cell>
          <cell r="M13">
            <v>7.9922892008963773</v>
          </cell>
          <cell r="O13">
            <v>8.2041276717685676</v>
          </cell>
          <cell r="P13">
            <v>9.2627760685273088</v>
          </cell>
          <cell r="Q13">
            <v>8.6458369770439347</v>
          </cell>
          <cell r="R13">
            <v>8.8567286456715255</v>
          </cell>
          <cell r="S13">
            <v>9.1503959540788422</v>
          </cell>
          <cell r="T13">
            <v>8.9550049182362361</v>
          </cell>
        </row>
        <row r="15">
          <cell r="C15" t="str">
            <v>II. Stress Tests</v>
          </cell>
        </row>
        <row r="16">
          <cell r="B16" t="str">
            <v>Gross external financing need in billions of U.S. dollars 2/</v>
          </cell>
        </row>
        <row r="18">
          <cell r="B18" t="str">
            <v>A. Alternative Scenarios</v>
          </cell>
        </row>
        <row r="20">
          <cell r="B20" t="str">
            <v>A1. Key variables are at their historical averages in 2005-09 3/</v>
          </cell>
          <cell r="O20">
            <v>50.321172660215296</v>
          </cell>
          <cell r="P20">
            <v>53.614978975812178</v>
          </cell>
          <cell r="Q20">
            <v>48.519076320631683</v>
          </cell>
          <cell r="R20">
            <v>48.349226534054132</v>
          </cell>
          <cell r="S20">
            <v>48.022174333995778</v>
          </cell>
          <cell r="T20">
            <v>44.812138524650564</v>
          </cell>
        </row>
        <row r="21">
          <cell r="B21" t="str">
            <v>A2. Country-specific shock in 2005, with reduction in GDP growth (relative to baseline) of one standard deviation 4/</v>
          </cell>
          <cell r="O21">
            <v>50.321172660215296</v>
          </cell>
          <cell r="P21">
            <v>59.613123117101296</v>
          </cell>
          <cell r="Q21">
            <v>58.859856831764588</v>
          </cell>
          <cell r="R21">
            <v>63.627538241590493</v>
          </cell>
          <cell r="S21">
            <v>69.432686897588894</v>
          </cell>
          <cell r="T21">
            <v>71.815156457356608</v>
          </cell>
        </row>
        <row r="22">
          <cell r="B22" t="str">
            <v>A3. Selected variables are consistent with market forecast in 2005-09</v>
          </cell>
          <cell r="O22">
            <v>50.321172660215296</v>
          </cell>
          <cell r="P22">
            <v>59.613123117101296</v>
          </cell>
          <cell r="Q22">
            <v>58.859856831764596</v>
          </cell>
          <cell r="R22">
            <v>63.627538241590493</v>
          </cell>
          <cell r="S22">
            <v>69.432686897588894</v>
          </cell>
          <cell r="T22">
            <v>71.815156457356608</v>
          </cell>
        </row>
        <row r="24">
          <cell r="B24" t="str">
            <v>B. Bound Tests</v>
          </cell>
        </row>
        <row r="26">
          <cell r="B26" t="str">
            <v>B1. Nominal interest rate is at historical average plus two standard deviations in 2005 and 2006</v>
          </cell>
          <cell r="O26">
            <v>50.321172660215296</v>
          </cell>
          <cell r="P26">
            <v>63.807471476911402</v>
          </cell>
          <cell r="Q26">
            <v>62.631525868192668</v>
          </cell>
          <cell r="R26">
            <v>65.541551916763524</v>
          </cell>
          <cell r="S26">
            <v>71.579935642334249</v>
          </cell>
          <cell r="T26">
            <v>74.162484465421301</v>
          </cell>
        </row>
        <row r="27">
          <cell r="B27" t="str">
            <v>B2. Real GDP growth is at historical average minus two standard deviations in 2005 and 2006</v>
          </cell>
          <cell r="O27">
            <v>50.321172660215296</v>
          </cell>
          <cell r="P27">
            <v>59.073977492886215</v>
          </cell>
          <cell r="Q27">
            <v>57.735389559157248</v>
          </cell>
          <cell r="R27">
            <v>62.154922848749564</v>
          </cell>
          <cell r="S27">
            <v>67.442559681399828</v>
          </cell>
          <cell r="T27">
            <v>69.418177881679171</v>
          </cell>
        </row>
        <row r="28">
          <cell r="B28" t="str">
            <v>B3. Change in US dollar GDP deflator is at historical average minus two standard deviations in 2005 and 2006</v>
          </cell>
          <cell r="O28">
            <v>50.321172660215296</v>
          </cell>
          <cell r="P28">
            <v>57.690048490344658</v>
          </cell>
          <cell r="Q28">
            <v>54.589534705932031</v>
          </cell>
          <cell r="R28">
            <v>57.639904274965708</v>
          </cell>
          <cell r="S28">
            <v>61.935327759582286</v>
          </cell>
          <cell r="T28">
            <v>63.10828202814843</v>
          </cell>
        </row>
        <row r="29">
          <cell r="B29" t="str">
            <v xml:space="preserve">B4. Non-interest current account is at historical average minus two standard deviations in 2005 and 2006 </v>
          </cell>
          <cell r="O29">
            <v>50.321172660215296</v>
          </cell>
          <cell r="P29">
            <v>92.393560373466798</v>
          </cell>
          <cell r="Q29">
            <v>101.79251990416891</v>
          </cell>
          <cell r="R29">
            <v>82.201196593624346</v>
          </cell>
          <cell r="S29">
            <v>90.26966685183514</v>
          </cell>
          <cell r="T29">
            <v>94.59371286344529</v>
          </cell>
        </row>
        <row r="30">
          <cell r="B30" t="str">
            <v>B5. Combination of 2-5 using one standard deviation shocks</v>
          </cell>
          <cell r="O30">
            <v>50.321172660215296</v>
          </cell>
          <cell r="P30">
            <v>72.869531035305542</v>
          </cell>
          <cell r="Q30">
            <v>72.401973973458126</v>
          </cell>
          <cell r="R30">
            <v>70.116659522935862</v>
          </cell>
          <cell r="S30">
            <v>76.712549997109079</v>
          </cell>
          <cell r="T30">
            <v>79.77335253976112</v>
          </cell>
        </row>
        <row r="31">
          <cell r="B31" t="str">
            <v>B6. One time 30 percent nominal depreciation in 2005</v>
          </cell>
          <cell r="O31">
            <v>50.321172660215296</v>
          </cell>
          <cell r="P31">
            <v>57.018173262687512</v>
          </cell>
          <cell r="Q31">
            <v>55.123478143086658</v>
          </cell>
          <cell r="R31">
            <v>59.073526614583841</v>
          </cell>
          <cell r="S31">
            <v>63.737256369404172</v>
          </cell>
          <cell r="T31">
            <v>65.20491667427163</v>
          </cell>
        </row>
        <row r="32">
          <cell r="B32" t="str">
            <v>Gross external financing need in percent of GDP 2/</v>
          </cell>
        </row>
        <row r="33">
          <cell r="B33" t="str">
            <v>Gross external financing need in percent of GDP 2/</v>
          </cell>
        </row>
        <row r="34">
          <cell r="B34" t="str">
            <v>A. Alternative Scenarios</v>
          </cell>
        </row>
        <row r="35">
          <cell r="B35" t="str">
            <v>A. Alternative Scenarios</v>
          </cell>
        </row>
        <row r="36">
          <cell r="B36" t="str">
            <v>A1. Key variables are at their historical averages in 2006-10 3/</v>
          </cell>
          <cell r="O36">
            <v>14.920185054561713</v>
          </cell>
          <cell r="P36">
            <v>13.858381744658772</v>
          </cell>
          <cell r="Q36">
            <v>13.427138370155225</v>
          </cell>
          <cell r="R36">
            <v>13.867381056961539</v>
          </cell>
          <cell r="S36">
            <v>13.660136680554141</v>
          </cell>
          <cell r="T36">
            <v>13.806678880115783</v>
          </cell>
        </row>
        <row r="37">
          <cell r="B37" t="str">
            <v>A1. Key variables are at their historical averages in 2005-09 3/</v>
          </cell>
          <cell r="O37">
            <v>8.2041276717685676</v>
          </cell>
          <cell r="P37">
            <v>8.1935791640075006</v>
          </cell>
          <cell r="Q37">
            <v>6.9503375254535458</v>
          </cell>
          <cell r="R37">
            <v>6.4921531900926217</v>
          </cell>
          <cell r="S37">
            <v>6.0443124337491634</v>
          </cell>
          <cell r="T37">
            <v>5.2869671499192732</v>
          </cell>
        </row>
        <row r="38">
          <cell r="B38" t="str">
            <v>A2. Country-specific shock in 2005, with reduction in GDP growth (relative to baseline) of one standard deviation 4/</v>
          </cell>
          <cell r="O38">
            <v>8.2041276717685676</v>
          </cell>
          <cell r="P38">
            <v>9.2627760685273088</v>
          </cell>
          <cell r="Q38">
            <v>8.6458369770439347</v>
          </cell>
          <cell r="R38">
            <v>8.8567286456715255</v>
          </cell>
          <cell r="S38">
            <v>9.1503959540788422</v>
          </cell>
          <cell r="T38">
            <v>8.9550049182362361</v>
          </cell>
        </row>
        <row r="39">
          <cell r="B39" t="str">
            <v>A3. Selected variables are consistent with market forecast in 2005-09</v>
          </cell>
          <cell r="O39">
            <v>8.2041276717685676</v>
          </cell>
          <cell r="P39">
            <v>9.2627760685273088</v>
          </cell>
          <cell r="Q39">
            <v>8.6458369770439365</v>
          </cell>
          <cell r="R39">
            <v>8.8567286456715255</v>
          </cell>
          <cell r="S39">
            <v>9.1503959540788422</v>
          </cell>
          <cell r="T39">
            <v>8.9550049182362361</v>
          </cell>
        </row>
        <row r="40">
          <cell r="B40" t="str">
            <v>B. Bound Tests</v>
          </cell>
        </row>
        <row r="41">
          <cell r="B41" t="str">
            <v>B. Bound Tests</v>
          </cell>
        </row>
        <row r="42">
          <cell r="B42" t="str">
            <v>B1. Nominal interest rate is at baseline plus one-half standard deviations</v>
          </cell>
          <cell r="O42">
            <v>14.920185054561713</v>
          </cell>
          <cell r="P42">
            <v>14.986375647076567</v>
          </cell>
          <cell r="Q42">
            <v>15.040221906616303</v>
          </cell>
          <cell r="R42">
            <v>15.400738537142727</v>
          </cell>
          <cell r="S42">
            <v>15.271950704794987</v>
          </cell>
          <cell r="T42">
            <v>15.494868903376229</v>
          </cell>
        </row>
        <row r="43">
          <cell r="B43" t="str">
            <v>B1. Nominal interest rate is at historical average plus two standard deviations in 2005 and 2006</v>
          </cell>
          <cell r="O43">
            <v>8.2041276717685676</v>
          </cell>
          <cell r="P43">
            <v>9.9145001785692894</v>
          </cell>
          <cell r="Q43">
            <v>9.1998518417678916</v>
          </cell>
          <cell r="R43">
            <v>9.1231525906110029</v>
          </cell>
          <cell r="S43">
            <v>9.4333776029857788</v>
          </cell>
          <cell r="T43">
            <v>9.2477054412715756</v>
          </cell>
        </row>
        <row r="44">
          <cell r="B44" t="str">
            <v>B2. Real GDP growth is at historical average minus two standard deviations in 2005 and 2006</v>
          </cell>
          <cell r="O44">
            <v>8.2041276717685676</v>
          </cell>
          <cell r="P44">
            <v>10.024350992023594</v>
          </cell>
          <cell r="Q44">
            <v>10.168309851611522</v>
          </cell>
          <cell r="R44">
            <v>10.37343476568657</v>
          </cell>
          <cell r="S44">
            <v>10.656848467934763</v>
          </cell>
          <cell r="T44">
            <v>10.378671304018617</v>
          </cell>
        </row>
        <row r="45">
          <cell r="B45" t="str">
            <v>B3. Change in US dollar GDP deflator is at historical average minus two standard deviations in 2005 and 2006</v>
          </cell>
          <cell r="O45">
            <v>8.2041276717685676</v>
          </cell>
          <cell r="P45">
            <v>11.395561636504382</v>
          </cell>
          <cell r="Q45">
            <v>12.995712328255998</v>
          </cell>
          <cell r="R45">
            <v>13.003322232226216</v>
          </cell>
          <cell r="S45">
            <v>13.22870132760251</v>
          </cell>
          <cell r="T45">
            <v>12.753780291468731</v>
          </cell>
        </row>
        <row r="46">
          <cell r="B46" t="str">
            <v xml:space="preserve">B4. Non-interest current account is at historical average minus two standard deviations in 2005 and 2006 </v>
          </cell>
          <cell r="O46">
            <v>8.2041276717685676</v>
          </cell>
          <cell r="P46">
            <v>14.356249348524249</v>
          </cell>
          <cell r="Q46">
            <v>14.952152110893266</v>
          </cell>
          <cell r="R46">
            <v>11.442116302141422</v>
          </cell>
          <cell r="S46">
            <v>11.896460172359554</v>
          </cell>
          <cell r="T46">
            <v>11.795381444714586</v>
          </cell>
        </row>
        <row r="47">
          <cell r="B47" t="str">
            <v>B5. Combination of 2-5 using one standard deviation shocks</v>
          </cell>
          <cell r="O47">
            <v>8.2041276717685676</v>
          </cell>
          <cell r="P47">
            <v>13.10487739471159</v>
          </cell>
          <cell r="Q47">
            <v>14.362919460234016</v>
          </cell>
          <cell r="R47">
            <v>13.181168530884982</v>
          </cell>
          <cell r="S47">
            <v>13.653588569147518</v>
          </cell>
          <cell r="T47">
            <v>13.434207097844322</v>
          </cell>
        </row>
        <row r="48">
          <cell r="B48" t="str">
            <v>B6. One time 30 percent nominal depreciation in 2005</v>
          </cell>
          <cell r="O48">
            <v>8.2041276717685676</v>
          </cell>
          <cell r="P48">
            <v>12.442009573634891</v>
          </cell>
          <cell r="Q48">
            <v>11.371097816658212</v>
          </cell>
          <cell r="R48">
            <v>11.547794815153054</v>
          </cell>
          <cell r="S48">
            <v>11.796338387555528</v>
          </cell>
          <cell r="T48">
            <v>11.418472332154074</v>
          </cell>
        </row>
        <row r="49">
          <cell r="B49" t="str">
            <v xml:space="preserve">1/ Defined as non-interest current account deficit, plus interest and amortization on medium- and long-term debt, plus short-term debt at end of previous period. </v>
          </cell>
        </row>
        <row r="50">
          <cell r="B50" t="str">
            <v>2/ Gross external financing under the stress-test scenarios is derived by assuming the same ratio of short-term to total debt as in the baseline scenario and the same average maturity on medium- and long term</v>
          </cell>
        </row>
        <row r="51">
          <cell r="B51" t="str">
            <v xml:space="preserve">1/ Defined as non-interest current account deficit, plus interest and amortization on medium- and long-term debt, plus short-term debt at end of previous period. </v>
          </cell>
        </row>
        <row r="52">
          <cell r="B52" t="str">
            <v>2/ Gross external financing under the stress-test scenarios is derived by assuming the same ratio of short-term to total debt as in the baseline scenario and the same average maturity on medium- and long term</v>
          </cell>
        </row>
        <row r="53">
          <cell r="B53" t="str">
            <v>debt. Interest expenditures are derived by applying the respective interest rate to the previous period debt stock under each alternative scenario.</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frprtables"/>
      <sheetName val="Basicinput"/>
      <sheetName val="Outputables"/>
      <sheetName val="Index"/>
      <sheetName val="Documentation"/>
      <sheetName val="Monthinpu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0.HIPC Ratios"/>
      <sheetName val="IDA-tab7"/>
      <sheetName val="T9.Assistance"/>
      <sheetName val="T3 Key Ratios"/>
      <sheetName val="T1 Sel Ind"/>
      <sheetName val="T5.Stock-pct"/>
      <sheetName val="T5b.Stock"/>
      <sheetName val="T6-New.Assistance"/>
      <sheetName val="T7.IDA Delivery"/>
      <sheetName val="T8 IMF Assistance"/>
      <sheetName val="T9 New Key Ratios"/>
      <sheetName val="T10. NPV&amp;DS"/>
      <sheetName val="T11 BoP OUT Long"/>
      <sheetName val="T12 Rates"/>
      <sheetName val="T13 HIPC Status "/>
      <sheetName val="Figure 6 NPV"/>
      <sheetName val="Figure 7&amp;8 Burden"/>
      <sheetName val="Figure 9 Social"/>
      <sheetName val="Debt Serv 2"/>
      <sheetName val="Figure 10"/>
      <sheetName val="T8 IMF Assistance(old)"/>
      <sheetName val="DebtService Long"/>
      <sheetName val="OldStress Chart 4"/>
    </sheetNames>
    <sheetDataSet>
      <sheetData sheetId="0" refreshError="1"/>
      <sheetData sheetId="1" refreshError="1">
        <row r="7">
          <cell r="K7">
            <v>2006</v>
          </cell>
          <cell r="L7">
            <v>2007</v>
          </cell>
          <cell r="M7">
            <v>2008</v>
          </cell>
          <cell r="N7">
            <v>2009</v>
          </cell>
          <cell r="O7">
            <v>2010</v>
          </cell>
          <cell r="P7">
            <v>2011</v>
          </cell>
          <cell r="Q7">
            <v>2012</v>
          </cell>
          <cell r="R7">
            <v>2013</v>
          </cell>
          <cell r="S7">
            <v>2014</v>
          </cell>
          <cell r="T7">
            <v>2015</v>
          </cell>
          <cell r="V7">
            <v>2016</v>
          </cell>
          <cell r="W7">
            <v>2017</v>
          </cell>
          <cell r="X7">
            <v>2018</v>
          </cell>
          <cell r="Y7">
            <v>2019</v>
          </cell>
          <cell r="Z7">
            <v>2020</v>
          </cell>
          <cell r="AA7">
            <v>2021</v>
          </cell>
          <cell r="AB7">
            <v>2022</v>
          </cell>
          <cell r="AC7">
            <v>2023</v>
          </cell>
          <cell r="AD7">
            <v>2024</v>
          </cell>
          <cell r="AE7">
            <v>2025</v>
          </cell>
          <cell r="AG7">
            <v>2026</v>
          </cell>
          <cell r="AH7">
            <v>2027</v>
          </cell>
          <cell r="AI7">
            <v>2028</v>
          </cell>
          <cell r="AJ7">
            <v>2029</v>
          </cell>
          <cell r="AK7">
            <v>2030</v>
          </cell>
          <cell r="AL7">
            <v>2031</v>
          </cell>
          <cell r="AM7">
            <v>2032</v>
          </cell>
          <cell r="AN7">
            <v>2033</v>
          </cell>
          <cell r="AO7">
            <v>2034</v>
          </cell>
          <cell r="AP7">
            <v>2035</v>
          </cell>
        </row>
        <row r="9">
          <cell r="K9">
            <v>30.930637973268755</v>
          </cell>
          <cell r="L9">
            <v>32.903048732688859</v>
          </cell>
          <cell r="M9">
            <v>36.12669280541639</v>
          </cell>
          <cell r="N9">
            <v>37.707819330624304</v>
          </cell>
          <cell r="O9">
            <v>40.577921623302139</v>
          </cell>
          <cell r="P9">
            <v>41.066077165354962</v>
          </cell>
          <cell r="Q9">
            <v>43.137792329705853</v>
          </cell>
          <cell r="R9">
            <v>45.710894436789545</v>
          </cell>
          <cell r="S9">
            <v>48.238526828678943</v>
          </cell>
          <cell r="T9">
            <v>50.61375221412915</v>
          </cell>
          <cell r="V9">
            <v>50.54146115122893</v>
          </cell>
          <cell r="W9">
            <v>51.185053236416685</v>
          </cell>
          <cell r="X9">
            <v>51.841771428948796</v>
          </cell>
          <cell r="Y9">
            <v>51.519914592962429</v>
          </cell>
          <cell r="Z9">
            <v>51.177481072244483</v>
          </cell>
          <cell r="AA9">
            <v>50.835047551526515</v>
          </cell>
          <cell r="AB9">
            <v>50.492614030808546</v>
          </cell>
          <cell r="AC9">
            <v>50.150180510090614</v>
          </cell>
          <cell r="AD9">
            <v>49.80774698937266</v>
          </cell>
          <cell r="AE9">
            <v>49.465313468654692</v>
          </cell>
          <cell r="AG9">
            <v>49.122879947936745</v>
          </cell>
          <cell r="AH9">
            <v>47.253349714340047</v>
          </cell>
          <cell r="AI9">
            <v>42.900695551088518</v>
          </cell>
          <cell r="AJ9">
            <v>39.039524236637568</v>
          </cell>
          <cell r="AK9">
            <v>32.316316888063696</v>
          </cell>
          <cell r="AL9">
            <v>30.502634991774411</v>
          </cell>
          <cell r="AM9">
            <v>25.651077456621984</v>
          </cell>
          <cell r="AN9">
            <v>19.368423516473822</v>
          </cell>
          <cell r="AO9">
            <v>13.540369690053312</v>
          </cell>
          <cell r="AP9">
            <v>6.7321142914467229</v>
          </cell>
        </row>
        <row r="10">
          <cell r="A10" t="str">
            <v>Of which</v>
          </cell>
        </row>
        <row r="11">
          <cell r="A11" t="str">
            <v>IDA</v>
          </cell>
          <cell r="B11">
            <v>15.608934481471259</v>
          </cell>
          <cell r="C11">
            <v>18.654135526984085</v>
          </cell>
          <cell r="D11">
            <v>19.317389821871917</v>
          </cell>
          <cell r="E11">
            <v>21.564202333667854</v>
          </cell>
          <cell r="F11">
            <v>24.312401798756834</v>
          </cell>
          <cell r="G11">
            <v>27.015132964601673</v>
          </cell>
          <cell r="H11">
            <v>30.199024032151677</v>
          </cell>
          <cell r="J11">
            <v>407.01316343995893</v>
          </cell>
          <cell r="K11">
            <v>30.930637973268755</v>
          </cell>
          <cell r="L11">
            <v>32.903048732688859</v>
          </cell>
          <cell r="M11">
            <v>36.12669280541639</v>
          </cell>
          <cell r="N11">
            <v>37.707819330624304</v>
          </cell>
          <cell r="O11">
            <v>40.577921623302139</v>
          </cell>
          <cell r="P11">
            <v>41.066077165354962</v>
          </cell>
          <cell r="Q11">
            <v>43.137792329705853</v>
          </cell>
          <cell r="R11">
            <v>45.710894436789545</v>
          </cell>
          <cell r="S11">
            <v>48.238526828678943</v>
          </cell>
          <cell r="T11">
            <v>50.61375221412915</v>
          </cell>
          <cell r="U11">
            <v>507.0165840322544</v>
          </cell>
          <cell r="V11">
            <v>50.54146115122893</v>
          </cell>
          <cell r="W11">
            <v>51.185053236416685</v>
          </cell>
          <cell r="X11">
            <v>51.841771428948796</v>
          </cell>
          <cell r="Y11">
            <v>51.519914592962429</v>
          </cell>
          <cell r="Z11">
            <v>51.177481072244483</v>
          </cell>
          <cell r="AA11">
            <v>50.835047551526515</v>
          </cell>
          <cell r="AB11">
            <v>50.492614030808546</v>
          </cell>
          <cell r="AC11">
            <v>50.150180510090614</v>
          </cell>
          <cell r="AD11">
            <v>49.80774698937266</v>
          </cell>
          <cell r="AE11">
            <v>49.465313468654692</v>
          </cell>
          <cell r="AF11">
            <v>306.42738628443681</v>
          </cell>
          <cell r="AG11">
            <v>49.122879947936745</v>
          </cell>
          <cell r="AH11">
            <v>47.253349714340047</v>
          </cell>
          <cell r="AI11">
            <v>42.900695551088518</v>
          </cell>
          <cell r="AJ11">
            <v>39.039524236637568</v>
          </cell>
          <cell r="AK11">
            <v>32.316316888063696</v>
          </cell>
          <cell r="AL11">
            <v>30.502634991774411</v>
          </cell>
          <cell r="AM11">
            <v>25.651077456621984</v>
          </cell>
          <cell r="AN11">
            <v>19.368423516473822</v>
          </cell>
          <cell r="AO11">
            <v>13.540369690053312</v>
          </cell>
          <cell r="AP11">
            <v>6.7321142914467229</v>
          </cell>
          <cell r="AQ11">
            <v>1377.1283547161554</v>
          </cell>
        </row>
        <row r="13">
          <cell r="K13">
            <v>15.545529445526629</v>
          </cell>
          <cell r="L13">
            <v>16.84194682761488</v>
          </cell>
          <cell r="M13">
            <v>18.311919785616151</v>
          </cell>
          <cell r="N13">
            <v>18.533580070370459</v>
          </cell>
          <cell r="O13">
            <v>19.590642754595301</v>
          </cell>
          <cell r="P13">
            <v>20.211500772084634</v>
          </cell>
          <cell r="Q13">
            <v>20.56109881801023</v>
          </cell>
          <cell r="R13">
            <v>21.409325053489649</v>
          </cell>
          <cell r="S13">
            <v>24.080963902462297</v>
          </cell>
          <cell r="T13">
            <v>26.617017233000489</v>
          </cell>
          <cell r="V13">
            <v>26.705554115188317</v>
          </cell>
          <cell r="W13">
            <v>27.509974145464067</v>
          </cell>
          <cell r="X13">
            <v>28.32752028308418</v>
          </cell>
          <cell r="Y13">
            <v>28.166491392185822</v>
          </cell>
          <cell r="Z13">
            <v>27.984885816555895</v>
          </cell>
          <cell r="AA13">
            <v>27.803280240925925</v>
          </cell>
          <cell r="AB13">
            <v>27.621674665295998</v>
          </cell>
          <cell r="AC13">
            <v>27.440069089666068</v>
          </cell>
          <cell r="AD13">
            <v>27.258463514036137</v>
          </cell>
          <cell r="AE13">
            <v>27.076857938406189</v>
          </cell>
          <cell r="AG13">
            <v>26.895252362776215</v>
          </cell>
          <cell r="AH13">
            <v>26.713646787146299</v>
          </cell>
          <cell r="AI13">
            <v>26.205175618398968</v>
          </cell>
          <cell r="AJ13">
            <v>25.430587665936145</v>
          </cell>
          <cell r="AK13">
            <v>22.692217709119497</v>
          </cell>
          <cell r="AL13">
            <v>20.949068765260222</v>
          </cell>
          <cell r="AM13">
            <v>19.877651538179158</v>
          </cell>
          <cell r="AN13">
            <v>17.380716505034126</v>
          </cell>
          <cell r="AO13">
            <v>11.617495603235161</v>
          </cell>
          <cell r="AP13">
            <v>5.7738726010925676</v>
          </cell>
        </row>
        <row r="15">
          <cell r="K15">
            <v>11.519095423327286</v>
          </cell>
          <cell r="L15">
            <v>12.837695614050535</v>
          </cell>
          <cell r="M15">
            <v>14.329851380686804</v>
          </cell>
          <cell r="N15">
            <v>15.094222801442239</v>
          </cell>
          <cell r="O15">
            <v>16.701117636591139</v>
          </cell>
          <cell r="P15">
            <v>17.275048240627914</v>
          </cell>
          <cell r="Q15">
            <v>17.639383502950007</v>
          </cell>
          <cell r="R15">
            <v>18.519042987357679</v>
          </cell>
          <cell r="S15">
            <v>19.23377042246301</v>
          </cell>
          <cell r="T15">
            <v>19.811030507038897</v>
          </cell>
          <cell r="V15">
            <v>19.943933006496721</v>
          </cell>
          <cell r="W15">
            <v>20.792718654042471</v>
          </cell>
          <cell r="X15">
            <v>21.654630408932587</v>
          </cell>
          <cell r="Y15">
            <v>21.537967135304228</v>
          </cell>
          <cell r="Z15">
            <v>21.400727176944308</v>
          </cell>
          <cell r="AA15">
            <v>21.263487218584331</v>
          </cell>
          <cell r="AB15">
            <v>21.1262472602244</v>
          </cell>
          <cell r="AC15">
            <v>20.989007301864472</v>
          </cell>
          <cell r="AD15">
            <v>20.851767343504537</v>
          </cell>
          <cell r="AE15">
            <v>20.714527385144596</v>
          </cell>
          <cell r="AG15">
            <v>20.577287426784622</v>
          </cell>
          <cell r="AH15">
            <v>20.440047468424702</v>
          </cell>
          <cell r="AI15">
            <v>19.975941916947374</v>
          </cell>
          <cell r="AJ15">
            <v>18.178564570494014</v>
          </cell>
          <cell r="AK15">
            <v>14.429326398294997</v>
          </cell>
          <cell r="AL15">
            <v>12.869565060930061</v>
          </cell>
          <cell r="AM15">
            <v>11.857404635595996</v>
          </cell>
          <cell r="AN15">
            <v>9.3863343391344625</v>
          </cell>
          <cell r="AO15">
            <v>7.6087595852455401</v>
          </cell>
          <cell r="AP15">
            <v>5.7738726010925676</v>
          </cell>
        </row>
        <row r="17">
          <cell r="K17">
            <v>15.385108527742126</v>
          </cell>
          <cell r="L17">
            <v>16.061101905073979</v>
          </cell>
          <cell r="M17">
            <v>17.814773019800239</v>
          </cell>
          <cell r="N17">
            <v>19.174239260253845</v>
          </cell>
          <cell r="O17">
            <v>20.987278868706838</v>
          </cell>
          <cell r="P17">
            <v>20.854576393270328</v>
          </cell>
          <cell r="Q17">
            <v>22.576693511695623</v>
          </cell>
          <cell r="R17">
            <v>24.301569383299896</v>
          </cell>
          <cell r="S17">
            <v>24.157562926216645</v>
          </cell>
          <cell r="T17">
            <v>23.996734981128661</v>
          </cell>
          <cell r="V17">
            <v>23.835907036040613</v>
          </cell>
          <cell r="W17">
            <v>23.675079090952618</v>
          </cell>
          <cell r="X17">
            <v>23.514251145864616</v>
          </cell>
          <cell r="Y17">
            <v>23.353423200776607</v>
          </cell>
          <cell r="Z17">
            <v>23.192595255688587</v>
          </cell>
          <cell r="AA17">
            <v>23.031767310600589</v>
          </cell>
          <cell r="AB17">
            <v>22.870939365512548</v>
          </cell>
          <cell r="AC17">
            <v>22.710111420424546</v>
          </cell>
          <cell r="AD17">
            <v>22.549283475336523</v>
          </cell>
          <cell r="AE17">
            <v>22.388455530248503</v>
          </cell>
          <cell r="AG17">
            <v>22.22762758516053</v>
          </cell>
          <cell r="AH17">
            <v>20.539702927193748</v>
          </cell>
          <cell r="AI17">
            <v>16.69551993268955</v>
          </cell>
          <cell r="AJ17">
            <v>13.608936570701424</v>
          </cell>
          <cell r="AK17">
            <v>9.6240991789441992</v>
          </cell>
          <cell r="AL17">
            <v>9.5535662265141887</v>
          </cell>
          <cell r="AM17">
            <v>5.7734259184428254</v>
          </cell>
          <cell r="AN17">
            <v>1.9877070114396957</v>
          </cell>
          <cell r="AO17">
            <v>1.9228740868181511</v>
          </cell>
          <cell r="AP17">
            <v>0.9582416903541553</v>
          </cell>
        </row>
        <row r="18">
          <cell r="A18" t="str">
            <v>Of which</v>
          </cell>
        </row>
        <row r="19">
          <cell r="K19">
            <v>19.411542549941469</v>
          </cell>
          <cell r="L19">
            <v>20.065353118638324</v>
          </cell>
          <cell r="M19">
            <v>21.796841424729585</v>
          </cell>
          <cell r="N19">
            <v>22.613596529182065</v>
          </cell>
          <cell r="O19">
            <v>23.876803986711</v>
          </cell>
          <cell r="P19">
            <v>23.791028924727048</v>
          </cell>
          <cell r="Q19">
            <v>25.498408826755846</v>
          </cell>
          <cell r="R19">
            <v>27.191851449431866</v>
          </cell>
          <cell r="S19">
            <v>29.004756406215932</v>
          </cell>
          <cell r="T19">
            <v>30.802721707090253</v>
          </cell>
          <cell r="V19">
            <v>30.597528144732209</v>
          </cell>
          <cell r="W19">
            <v>30.392334582374215</v>
          </cell>
          <cell r="X19">
            <v>30.18714102001621</v>
          </cell>
          <cell r="Y19">
            <v>29.981947457658201</v>
          </cell>
          <cell r="Z19">
            <v>29.776753895300175</v>
          </cell>
          <cell r="AA19">
            <v>29.571560332942184</v>
          </cell>
          <cell r="AB19">
            <v>29.366366770584147</v>
          </cell>
          <cell r="AC19">
            <v>29.161173208226142</v>
          </cell>
          <cell r="AD19">
            <v>28.955979645868123</v>
          </cell>
          <cell r="AE19">
            <v>28.750786083510096</v>
          </cell>
          <cell r="AG19">
            <v>28.545592521152123</v>
          </cell>
          <cell r="AH19">
            <v>26.813302245915345</v>
          </cell>
          <cell r="AI19">
            <v>22.924753634141144</v>
          </cell>
          <cell r="AJ19">
            <v>20.860959666143554</v>
          </cell>
          <cell r="AK19">
            <v>17.886990489768699</v>
          </cell>
          <cell r="AL19">
            <v>17.63306993084435</v>
          </cell>
          <cell r="AM19">
            <v>13.793672821025988</v>
          </cell>
          <cell r="AN19">
            <v>9.9820891773393594</v>
          </cell>
          <cell r="AO19">
            <v>5.9316101048077723</v>
          </cell>
          <cell r="AP19">
            <v>0.9582416903541553</v>
          </cell>
        </row>
        <row r="24">
          <cell r="K24">
            <v>49.740676351514082</v>
          </cell>
          <cell r="L24">
            <v>48.813415545646478</v>
          </cell>
          <cell r="M24">
            <v>49.311939832835492</v>
          </cell>
          <cell r="N24">
            <v>50.849504428068428</v>
          </cell>
          <cell r="O24">
            <v>51.720931060832733</v>
          </cell>
          <cell r="P24">
            <v>50.782976687298756</v>
          </cell>
          <cell r="Q24">
            <v>52.33622837983922</v>
          </cell>
          <cell r="R24">
            <v>53.163626926847527</v>
          </cell>
          <cell r="S24">
            <v>50.079396105965671</v>
          </cell>
          <cell r="T24">
            <v>47.411491800897984</v>
          </cell>
          <cell r="V24">
            <v>47.161096044927135</v>
          </cell>
          <cell r="W24">
            <v>46.253891700767994</v>
          </cell>
          <cell r="X24">
            <v>45.357730836979272</v>
          </cell>
          <cell r="Y24">
            <v>45.328924524200708</v>
          </cell>
          <cell r="Z24">
            <v>45.317969485346211</v>
          </cell>
          <cell r="AA24">
            <v>45.306866856484277</v>
          </cell>
          <cell r="AB24">
            <v>45.295613634813257</v>
          </cell>
          <cell r="AC24">
            <v>45.284206735517316</v>
          </cell>
          <cell r="AD24">
            <v>45.272642988946679</v>
          </cell>
          <cell r="AE24">
            <v>45.260919137681555</v>
          </cell>
          <cell r="AG24">
            <v>45.249031833472806</v>
          </cell>
          <cell r="AH24">
            <v>43.467189207457466</v>
          </cell>
          <cell r="AI24">
            <v>38.916664912361625</v>
          </cell>
          <cell r="AJ24">
            <v>34.859381195864557</v>
          </cell>
          <cell r="AK24">
            <v>29.78092835356167</v>
          </cell>
          <cell r="AL24">
            <v>31.320462081687307</v>
          </cell>
          <cell r="AM24">
            <v>22.507537658822123</v>
          </cell>
          <cell r="AN24">
            <v>10.262616416607425</v>
          </cell>
          <cell r="AO24">
            <v>14.201045693978982</v>
          </cell>
          <cell r="AP24">
            <v>14.233889219195511</v>
          </cell>
        </row>
        <row r="26">
          <cell r="K26">
            <v>62.758299931341675</v>
          </cell>
          <cell r="L26">
            <v>60.983264139604152</v>
          </cell>
          <cell r="M26">
            <v>60.334450048141782</v>
          </cell>
          <cell r="N26">
            <v>59.970576211010155</v>
          </cell>
          <cell r="O26">
            <v>58.841860380053546</v>
          </cell>
          <cell r="P26">
            <v>57.933531924491056</v>
          </cell>
          <cell r="Q26">
            <v>59.109211319553204</v>
          </cell>
          <cell r="R26">
            <v>59.486588010290653</v>
          </cell>
          <cell r="S26">
            <v>60.127782320607515</v>
          </cell>
          <cell r="T26">
            <v>60.858403812415787</v>
          </cell>
          <cell r="V26">
            <v>60.53946096488788</v>
          </cell>
          <cell r="W26">
            <v>59.377362453832419</v>
          </cell>
          <cell r="X26">
            <v>58.229377947450899</v>
          </cell>
          <cell r="Y26">
            <v>58.194870264310772</v>
          </cell>
          <cell r="Z26">
            <v>58.183312799756479</v>
          </cell>
          <cell r="AA26">
            <v>58.171599629110972</v>
          </cell>
          <cell r="AB26">
            <v>58.159727584446273</v>
          </cell>
          <cell r="AC26">
            <v>58.147693411310222</v>
          </cell>
          <cell r="AD26">
            <v>58.135493765751697</v>
          </cell>
          <cell r="AE26">
            <v>58.123125211222948</v>
          </cell>
          <cell r="AG26">
            <v>58.110584215352169</v>
          </cell>
          <cell r="AH26">
            <v>56.743706865247425</v>
          </cell>
          <cell r="AI26">
            <v>53.436787771520123</v>
          </cell>
          <cell r="AJ26">
            <v>53.435486405252064</v>
          </cell>
          <cell r="AK26">
            <v>55.349718693888072</v>
          </cell>
          <cell r="AL26">
            <v>57.808349788795056</v>
          </cell>
          <cell r="AM26">
            <v>53.774243379648233</v>
          </cell>
          <cell r="AN26">
            <v>51.537953870376121</v>
          </cell>
          <cell r="AO26">
            <v>43.806854913016913</v>
          </cell>
          <cell r="AP26">
            <v>14.233889219195511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ink/ink1.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37.72102" units="1/cm"/>
          <inkml:channelProperty channel="Y" name="resolution" value="37.76224" units="1/cm"/>
          <inkml:channelProperty channel="T" name="resolution" value="1" units="1/dev"/>
        </inkml:channelProperties>
      </inkml:inkSource>
      <inkml:timestamp xml:id="ts0" timeString="2015-04-02T14:29:14.259"/>
    </inkml:context>
    <inkml:brush xml:id="br0">
      <inkml:brushProperty name="width" value="0.08333" units="cm"/>
      <inkml:brushProperty name="height" value="0.08333" units="cm"/>
      <inkml:brushProperty name="color" value="#C00000"/>
    </inkml:brush>
  </inkml:definitions>
  <inkml:traceGroup>
    <inkml:annotationXML>
      <emma:emma xmlns:emma="http://www.w3.org/2003/04/emma" version="1.0">
        <emma:interpretation id="{CEF0D693-E799-428C-BE99-58160A028B0D}" emma:medium="tactile" emma:mode="ink">
          <msink:context xmlns:msink="http://schemas.microsoft.com/ink/2010/main" type="inkDrawing" rotatedBoundingBox="13893,9332 13908,9332 13908,9347 13893,9347" shapeName="Other"/>
        </emma:interpretation>
      </emma:emma>
    </inkml:annotationXML>
    <inkml:trace contextRef="#ctx0" brushRef="#br0">0 0 0</inkml:trace>
  </inkml:traceGroup>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18" Type="http://schemas.openxmlformats.org/officeDocument/2006/relationships/oleObject" Target="../embeddings/oleObject8.bin"/><Relationship Id="rId26" Type="http://schemas.openxmlformats.org/officeDocument/2006/relationships/comments" Target="../comments3.xml"/><Relationship Id="rId3" Type="http://schemas.openxmlformats.org/officeDocument/2006/relationships/vmlDrawing" Target="../drawings/vmlDrawing3.vml"/><Relationship Id="rId21" Type="http://schemas.openxmlformats.org/officeDocument/2006/relationships/oleObject" Target="../embeddings/oleObject10.bin"/><Relationship Id="rId7" Type="http://schemas.openxmlformats.org/officeDocument/2006/relationships/image" Target="../media/image3.emf"/><Relationship Id="rId12" Type="http://schemas.openxmlformats.org/officeDocument/2006/relationships/oleObject" Target="../embeddings/oleObject5.bin"/><Relationship Id="rId17" Type="http://schemas.openxmlformats.org/officeDocument/2006/relationships/image" Target="../media/image8.emf"/><Relationship Id="rId25" Type="http://schemas.openxmlformats.org/officeDocument/2006/relationships/oleObject" Target="../embeddings/oleObject14.bin"/><Relationship Id="rId2" Type="http://schemas.openxmlformats.org/officeDocument/2006/relationships/drawing" Target="../drawings/drawing5.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14.bin"/><Relationship Id="rId6" Type="http://schemas.openxmlformats.org/officeDocument/2006/relationships/oleObject" Target="../embeddings/oleObject2.bin"/><Relationship Id="rId11" Type="http://schemas.openxmlformats.org/officeDocument/2006/relationships/image" Target="../media/image5.emf"/><Relationship Id="rId24" Type="http://schemas.openxmlformats.org/officeDocument/2006/relationships/oleObject" Target="../embeddings/oleObject13.bin"/><Relationship Id="rId5" Type="http://schemas.openxmlformats.org/officeDocument/2006/relationships/image" Target="../media/image2.emf"/><Relationship Id="rId15" Type="http://schemas.openxmlformats.org/officeDocument/2006/relationships/image" Target="../media/image7.emf"/><Relationship Id="rId23" Type="http://schemas.openxmlformats.org/officeDocument/2006/relationships/oleObject" Target="../embeddings/oleObject12.bin"/><Relationship Id="rId10" Type="http://schemas.openxmlformats.org/officeDocument/2006/relationships/oleObject" Target="../embeddings/oleObject4.bin"/><Relationship Id="rId19" Type="http://schemas.openxmlformats.org/officeDocument/2006/relationships/image" Target="../media/image9.emf"/><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 Id="rId22" Type="http://schemas.openxmlformats.org/officeDocument/2006/relationships/oleObject" Target="../embeddings/oleObject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3.bin"/><Relationship Id="rId1" Type="http://schemas.openxmlformats.org/officeDocument/2006/relationships/hyperlink" Target="http://www.imf.org/external/pubs/cat/longres.aspx?sk=24787"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25.bin"/><Relationship Id="rId4" Type="http://schemas.openxmlformats.org/officeDocument/2006/relationships/comments" Target="../comments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9.vml"/><Relationship Id="rId7" Type="http://schemas.openxmlformats.org/officeDocument/2006/relationships/image" Target="../media/image15.emf"/><Relationship Id="rId2" Type="http://schemas.openxmlformats.org/officeDocument/2006/relationships/drawing" Target="../drawings/drawing10.xml"/><Relationship Id="rId1" Type="http://schemas.openxmlformats.org/officeDocument/2006/relationships/printerSettings" Target="../printerSettings/printerSettings26.bin"/><Relationship Id="rId6" Type="http://schemas.openxmlformats.org/officeDocument/2006/relationships/oleObject" Target="../embeddings/oleObject16.bin"/><Relationship Id="rId5" Type="http://schemas.openxmlformats.org/officeDocument/2006/relationships/image" Target="../media/image14.emf"/><Relationship Id="rId4" Type="http://schemas.openxmlformats.org/officeDocument/2006/relationships/oleObject" Target="../embeddings/oleObject15.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1.xml"/><Relationship Id="rId1" Type="http://schemas.openxmlformats.org/officeDocument/2006/relationships/printerSettings" Target="../printerSettings/printerSettings31.bin"/><Relationship Id="rId6" Type="http://schemas.openxmlformats.org/officeDocument/2006/relationships/comments" Target="../comments12.xml"/><Relationship Id="rId5" Type="http://schemas.openxmlformats.org/officeDocument/2006/relationships/image" Target="../media/image16.emf"/><Relationship Id="rId4" Type="http://schemas.openxmlformats.org/officeDocument/2006/relationships/oleObject" Target="../embeddings/oleObject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showGridLines="0" workbookViewId="0">
      <selection sqref="A1:E2"/>
    </sheetView>
  </sheetViews>
  <sheetFormatPr baseColWidth="10" defaultColWidth="9.140625" defaultRowHeight="15"/>
  <cols>
    <col min="2" max="2" width="30.5703125" bestFit="1" customWidth="1"/>
    <col min="3" max="3" width="14.85546875" bestFit="1" customWidth="1"/>
    <col min="4" max="4" width="7.42578125" bestFit="1" customWidth="1"/>
  </cols>
  <sheetData>
    <row r="1" spans="1:5">
      <c r="A1" s="1136" t="s">
        <v>1138</v>
      </c>
      <c r="B1" s="1136"/>
      <c r="C1" s="1136"/>
      <c r="D1" s="1136"/>
      <c r="E1" s="1136"/>
    </row>
    <row r="2" spans="1:5">
      <c r="A2" s="1136"/>
      <c r="B2" s="1136"/>
      <c r="C2" s="1136"/>
      <c r="D2" s="1136"/>
      <c r="E2" s="1136"/>
    </row>
    <row r="5" spans="1:5">
      <c r="B5" s="482" t="s">
        <v>1139</v>
      </c>
      <c r="C5" s="482" t="s">
        <v>1140</v>
      </c>
      <c r="D5" s="482" t="s">
        <v>1141</v>
      </c>
    </row>
    <row r="6" spans="1:5">
      <c r="B6" s="481" t="s">
        <v>1142</v>
      </c>
    </row>
    <row r="7" spans="1:5">
      <c r="B7" s="481" t="s">
        <v>1143</v>
      </c>
    </row>
    <row r="8" spans="1:5">
      <c r="B8" s="481" t="s">
        <v>1144</v>
      </c>
    </row>
    <row r="9" spans="1:5">
      <c r="B9" s="481" t="s">
        <v>1145</v>
      </c>
    </row>
    <row r="10" spans="1:5">
      <c r="B10" s="481" t="s">
        <v>1146</v>
      </c>
    </row>
    <row r="11" spans="1:5">
      <c r="B11" s="481" t="s">
        <v>1147</v>
      </c>
    </row>
    <row r="12" spans="1:5">
      <c r="B12" s="481" t="s">
        <v>1148</v>
      </c>
    </row>
    <row r="13" spans="1:5">
      <c r="B13" s="481" t="s">
        <v>1149</v>
      </c>
    </row>
    <row r="14" spans="1:5">
      <c r="B14" s="481" t="s">
        <v>1150</v>
      </c>
    </row>
    <row r="15" spans="1:5">
      <c r="B15" s="481" t="s">
        <v>1151</v>
      </c>
    </row>
    <row r="16" spans="1:5">
      <c r="B16" s="481" t="s">
        <v>1152</v>
      </c>
    </row>
    <row r="17" spans="2:2">
      <c r="B17" s="481" t="s">
        <v>1153</v>
      </c>
    </row>
    <row r="18" spans="2:2">
      <c r="B18" s="481" t="s">
        <v>1154</v>
      </c>
    </row>
    <row r="19" spans="2:2">
      <c r="B19" s="481" t="s">
        <v>1155</v>
      </c>
    </row>
    <row r="20" spans="2:2">
      <c r="B20" s="481" t="s">
        <v>1156</v>
      </c>
    </row>
    <row r="21" spans="2:2">
      <c r="B21" s="481" t="s">
        <v>1157</v>
      </c>
    </row>
    <row r="22" spans="2:2">
      <c r="B22" s="481" t="s">
        <v>1158</v>
      </c>
    </row>
    <row r="23" spans="2:2">
      <c r="B23" s="481" t="s">
        <v>1159</v>
      </c>
    </row>
    <row r="24" spans="2:2">
      <c r="B24" s="481" t="s">
        <v>1160</v>
      </c>
    </row>
    <row r="25" spans="2:2">
      <c r="B25" s="481" t="s">
        <v>1161</v>
      </c>
    </row>
    <row r="26" spans="2:2">
      <c r="B26" s="481" t="s">
        <v>1162</v>
      </c>
    </row>
    <row r="27" spans="2:2">
      <c r="B27" s="481" t="s">
        <v>1163</v>
      </c>
    </row>
    <row r="28" spans="2:2">
      <c r="B28" s="481" t="s">
        <v>1164</v>
      </c>
    </row>
    <row r="29" spans="2:2">
      <c r="B29" s="481" t="s">
        <v>1165</v>
      </c>
    </row>
    <row r="30" spans="2:2">
      <c r="B30" s="481" t="s">
        <v>1166</v>
      </c>
    </row>
    <row r="31" spans="2:2">
      <c r="B31" s="481" t="s">
        <v>1167</v>
      </c>
    </row>
    <row r="32" spans="2:2">
      <c r="B32" s="481" t="s">
        <v>1168</v>
      </c>
    </row>
    <row r="33" spans="2:2">
      <c r="B33" s="481" t="s">
        <v>1169</v>
      </c>
    </row>
    <row r="34" spans="2:2">
      <c r="B34" s="481" t="s">
        <v>1170</v>
      </c>
    </row>
    <row r="35" spans="2:2">
      <c r="B35" s="481" t="s">
        <v>1171</v>
      </c>
    </row>
    <row r="36" spans="2:2">
      <c r="B36" s="481" t="s">
        <v>1172</v>
      </c>
    </row>
    <row r="37" spans="2:2">
      <c r="B37" s="481" t="s">
        <v>1173</v>
      </c>
    </row>
    <row r="38" spans="2:2">
      <c r="B38" s="481" t="s">
        <v>1174</v>
      </c>
    </row>
    <row r="39" spans="2:2">
      <c r="B39" s="481" t="s">
        <v>1175</v>
      </c>
    </row>
    <row r="40" spans="2:2">
      <c r="B40" s="481" t="s">
        <v>1176</v>
      </c>
    </row>
    <row r="41" spans="2:2">
      <c r="B41" s="481" t="s">
        <v>1177</v>
      </c>
    </row>
    <row r="42" spans="2:2">
      <c r="B42" s="481" t="s">
        <v>1178</v>
      </c>
    </row>
    <row r="43" spans="2:2">
      <c r="B43" s="481" t="s">
        <v>1179</v>
      </c>
    </row>
    <row r="44" spans="2:2">
      <c r="B44" s="481" t="s">
        <v>1180</v>
      </c>
    </row>
    <row r="45" spans="2:2">
      <c r="B45" s="481" t="s">
        <v>1181</v>
      </c>
    </row>
    <row r="46" spans="2:2">
      <c r="B46" s="481" t="s">
        <v>1182</v>
      </c>
    </row>
    <row r="47" spans="2:2">
      <c r="B47" s="481" t="s">
        <v>1183</v>
      </c>
    </row>
    <row r="48" spans="2:2">
      <c r="B48" s="481" t="s">
        <v>1184</v>
      </c>
    </row>
    <row r="49" spans="2:2">
      <c r="B49" s="481" t="s">
        <v>1185</v>
      </c>
    </row>
    <row r="50" spans="2:2">
      <c r="B50" s="481" t="s">
        <v>1186</v>
      </c>
    </row>
    <row r="51" spans="2:2">
      <c r="B51" s="481" t="s">
        <v>1187</v>
      </c>
    </row>
    <row r="52" spans="2:2">
      <c r="B52" s="481" t="s">
        <v>1188</v>
      </c>
    </row>
    <row r="53" spans="2:2">
      <c r="B53" s="481" t="s">
        <v>1189</v>
      </c>
    </row>
  </sheetData>
  <sortState xmlns:xlrd2="http://schemas.microsoft.com/office/spreadsheetml/2017/richdata2" ref="A6:B57">
    <sortCondition ref="A6"/>
  </sortState>
  <mergeCells count="1">
    <mergeCell ref="A1:E2"/>
  </mergeCells>
  <hyperlinks>
    <hyperlink ref="B6" location="'Workbook_Flowchart'!A1" display="Workbook_Flowchart" xr:uid="{00000000-0004-0000-0000-000000000000}"/>
    <hyperlink ref="B7" location="'Soluciones'!A1" display="Solutions" xr:uid="{00000000-0004-0000-0000-000001000000}"/>
    <hyperlink ref="B8" location="'Cuadro SEFI'!A1" display="SEFI table" xr:uid="{00000000-0004-0000-0000-000002000000}"/>
    <hyperlink ref="B9" location="'Cuadro PIB'!A1" display="GDP table" xr:uid="{00000000-0004-0000-0000-000003000000}"/>
    <hyperlink ref="B10" location="'PIB_Nominal'!A1" display="GDP_Nominal" xr:uid="{00000000-0004-0000-0000-000004000000}"/>
    <hyperlink ref="B11" location="'LRY'!A1" display="LRY" xr:uid="{00000000-0004-0000-0000-000005000000}"/>
    <hyperlink ref="B12" location="'PIB_real'!A1" display="GDP_Real" xr:uid="{00000000-0004-0000-0000-000006000000}"/>
    <hyperlink ref="B13" location="'Deflactor_PIB'!A1" display="GDP_Deflator" xr:uid="{00000000-0004-0000-0000-000007000000}"/>
    <hyperlink ref="B14" location="'BP'!A1" display="BOP" xr:uid="{00000000-0004-0000-0000-000008000000}"/>
    <hyperlink ref="B15" location="'PII'!A1" display="IIP" xr:uid="{00000000-0004-0000-0000-000009000000}"/>
    <hyperlink ref="B16" location="'Deuda_EX'!A1" display="EX_Debt" xr:uid="{00000000-0004-0000-0000-00000A000000}"/>
    <hyperlink ref="B17" location="'EX_Stock_Ind'!A1" display="EX_Stock_Ind" xr:uid="{00000000-0004-0000-0000-00000B000000}"/>
    <hyperlink ref="B18" location="'PIB real y brecha del producto'!A1" display="Real GDP &amp; Output Gap" xr:uid="{00000000-0004-0000-0000-00000C000000}"/>
    <hyperlink ref="B19" location="'Inflación'!A1" display="Inflation" xr:uid="{00000000-0004-0000-0000-00000D000000}"/>
    <hyperlink ref="B20" location="'TC nominal'!A1" display="Nominal ER" xr:uid="{00000000-0004-0000-0000-00000E000000}"/>
    <hyperlink ref="B21" location="'Consumo real privado'!A1" display="Real Private Consumption" xr:uid="{00000000-0004-0000-0000-00000F000000}"/>
    <hyperlink ref="B22" location="'Inversión privada real'!A1" display="Real Private Investment" xr:uid="{00000000-0004-0000-0000-000010000000}"/>
    <hyperlink ref="B23" location="'Importaciones reales de bienes'!A1" display="Real Imports of Goods" xr:uid="{00000000-0004-0000-0000-000011000000}"/>
    <hyperlink ref="B24" location="'Exportaciones reales de bienes'!A1" display="Real Exports of Goods" xr:uid="{00000000-0004-0000-0000-000012000000}"/>
    <hyperlink ref="B25" location="'Import. y export. nominales'!A1" display="Nominal imports and exports" xr:uid="{00000000-0004-0000-0000-000013000000}"/>
    <hyperlink ref="B26" location="'Servicios'!A1" display="Services" xr:uid="{00000000-0004-0000-0000-000014000000}"/>
    <hyperlink ref="B27" location="'Ingreso primario'!A1" display="Primary Income" xr:uid="{00000000-0004-0000-0000-000015000000}"/>
    <hyperlink ref="B28" location="'Ingreso secundario'!A1" display="Secondary Income" xr:uid="{00000000-0004-0000-0000-000016000000}"/>
    <hyperlink ref="B29" location="'Gob_EOG'!A1" display="Gov_SGO" xr:uid="{00000000-0004-0000-0000-000017000000}"/>
    <hyperlink ref="B30" location="'Gob_EOG_Ind'!A1" display="Gov_SGO_Ind" xr:uid="{00000000-0004-0000-0000-000018000000}"/>
    <hyperlink ref="B31" location="'Gob_Balance'!A1" display="Gov_Bal_Sheet" xr:uid="{00000000-0004-0000-0000-000019000000}"/>
    <hyperlink ref="B32" location="'Gob_Stock_Ind'!A1" display="Gov_Stock_Ind" xr:uid="{00000000-0004-0000-0000-00001A000000}"/>
    <hyperlink ref="B33" location="'Gob_GTR_Proy'!A1" display="Gov_GTR_Proj" xr:uid="{00000000-0004-0000-0000-00001B000000}"/>
    <hyperlink ref="B34" location="'Hoja-Gob_Exp_Proy.'!A1" display="Worksheet-Gov_Exp_Proj." xr:uid="{00000000-0004-0000-0000-00001C000000}"/>
    <hyperlink ref="B35" location="'MON_PSD'!A1" display="MON_SDC" xr:uid="{00000000-0004-0000-0000-00001D000000}"/>
    <hyperlink ref="B36" location="'Velocidad y demanda de dinero '!A1" display="Velocity and Money Demand " xr:uid="{00000000-0004-0000-0000-00001E000000}"/>
    <hyperlink ref="B37" location="'DD'!A1" display="MD" xr:uid="{00000000-0004-0000-0000-00001F000000}"/>
    <hyperlink ref="B38" location="'Regla de Taylor '!A1" display="Taylor Rule " xr:uid="{00000000-0004-0000-0000-000020000000}"/>
    <hyperlink ref="B39" location="'AEN y OPN totales'!A1" display="Total NFA and OIN" xr:uid="{00000000-0004-0000-0000-000021000000}"/>
    <hyperlink ref="B40" location="'Multiplicador del dinero'!A1" display="Money multiplier" xr:uid="{00000000-0004-0000-0000-000022000000}"/>
    <hyperlink ref="B41" location="'AEN y OPN para BC'!A1" display="NFA and OIN for CB" xr:uid="{00000000-0004-0000-0000-000023000000}"/>
    <hyperlink ref="B42" location="'MON_IND'!A1" display="MON_IND" xr:uid="{00000000-0004-0000-0000-000024000000}"/>
    <hyperlink ref="B43" location="'Flujo_fondos_2011'!A1" display="Flow_Funds_2011" xr:uid="{00000000-0004-0000-0000-000025000000}"/>
    <hyperlink ref="B44" location="'Flujo_fondos_2012'!A1" display="Flow_Funds_2012" xr:uid="{00000000-0004-0000-0000-000026000000}"/>
    <hyperlink ref="B45" location="'Flujo_fondos_2013'!A1" display="Flow_Funds_2013" xr:uid="{00000000-0004-0000-0000-000027000000}"/>
    <hyperlink ref="B46" location="'Flujo_fondos_2014'!A1" display="Flow_Funds_2014" xr:uid="{00000000-0004-0000-0000-000028000000}"/>
    <hyperlink ref="B47" location="' Apx - FPP.2x proyección'!A1" display=" Appx - FPP.2x projection" xr:uid="{00000000-0004-0000-0000-000029000000}"/>
    <hyperlink ref="B48" location="'Real (hasta 2013)'!A1" display="Real (through 2013)" xr:uid="{00000000-0004-0000-0000-00002A000000}"/>
    <hyperlink ref="B49" location="'Externo (hasta 2013)'!A1" display="External (through 2013)" xr:uid="{00000000-0004-0000-0000-00002B000000}"/>
    <hyperlink ref="B50" location="'Fiscal y monetario (hasta 2013)'!A1" display="Fiscal&amp;Monetary (through 2013)" xr:uid="{00000000-0004-0000-0000-00002C000000}"/>
    <hyperlink ref="B51" location="'Real (hasta 2014)'!A1" display="Real (through 2014)" xr:uid="{00000000-0004-0000-0000-00002D000000}"/>
    <hyperlink ref="B52" location="'Externo (hasta 2014) '!A1" display="External (through 2014) " xr:uid="{00000000-0004-0000-0000-00002E000000}"/>
    <hyperlink ref="B53" location="'Fiscal y monetario (hasta 2014)'!A1" display="Fiscal&amp;Monetary (through 2014)" xr:uid="{00000000-0004-0000-0000-00002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7"/>
  <sheetViews>
    <sheetView topLeftCell="A34" zoomScale="90" zoomScaleNormal="90" workbookViewId="0">
      <selection activeCell="D3" sqref="D3"/>
    </sheetView>
  </sheetViews>
  <sheetFormatPr baseColWidth="10" defaultColWidth="9.140625" defaultRowHeight="15" outlineLevelRow="2" outlineLevelCol="1"/>
  <cols>
    <col min="1" max="1" width="4.7109375" style="204" customWidth="1"/>
    <col min="2" max="2" width="12.42578125" style="204" customWidth="1"/>
    <col min="3" max="3" width="5.85546875" style="885" customWidth="1"/>
    <col min="4" max="4" width="110" style="204" customWidth="1"/>
    <col min="5" max="5" width="11.42578125" style="204" customWidth="1"/>
    <col min="6" max="6" width="15.7109375" style="204" customWidth="1"/>
    <col min="7" max="7" width="11.5703125" style="204" bestFit="1" customWidth="1"/>
    <col min="8" max="8" width="11.5703125" style="204" hidden="1" customWidth="1" outlineLevel="1"/>
    <col min="9" max="9" width="74.28515625" style="204" hidden="1" customWidth="1" outlineLevel="1"/>
    <col min="10" max="10" width="13.7109375" style="204" hidden="1" customWidth="1" outlineLevel="1"/>
    <col min="11" max="11" width="28.5703125" style="204" hidden="1" customWidth="1" outlineLevel="1"/>
    <col min="12" max="12" width="0" style="204" hidden="1" customWidth="1" outlineLevel="1"/>
    <col min="13" max="13" width="9.140625" style="204" collapsed="1"/>
    <col min="14" max="16384" width="9.140625" style="204"/>
  </cols>
  <sheetData>
    <row r="1" spans="2:12">
      <c r="D1" s="969" t="s">
        <v>0</v>
      </c>
      <c r="F1" s="366" t="s">
        <v>1</v>
      </c>
      <c r="I1" s="204" t="s">
        <v>1204</v>
      </c>
    </row>
    <row r="2" spans="2:12" ht="50.25" customHeight="1">
      <c r="D2" s="1008" t="s">
        <v>1232</v>
      </c>
      <c r="E2" s="1007" t="s">
        <v>2</v>
      </c>
      <c r="F2" s="1007" t="s">
        <v>3</v>
      </c>
      <c r="I2" s="1063" t="s">
        <v>1205</v>
      </c>
    </row>
    <row r="3" spans="2:12">
      <c r="E3" s="366"/>
      <c r="I3" s="1037" t="s">
        <v>1206</v>
      </c>
      <c r="J3" s="1040" t="s">
        <v>1207</v>
      </c>
      <c r="K3" s="1039" t="s">
        <v>1208</v>
      </c>
      <c r="L3" s="999"/>
    </row>
    <row r="4" spans="2:12" outlineLevel="1">
      <c r="B4" s="975" t="s">
        <v>4</v>
      </c>
      <c r="C4" s="976"/>
      <c r="D4" s="977" t="s">
        <v>5</v>
      </c>
      <c r="E4" s="989">
        <v>2014</v>
      </c>
      <c r="F4" s="989">
        <v>2014</v>
      </c>
      <c r="I4" s="1038" t="s">
        <v>1209</v>
      </c>
      <c r="J4" s="974"/>
      <c r="K4" s="1041"/>
      <c r="L4" s="1000"/>
    </row>
    <row r="5" spans="2:12" ht="15" customHeight="1" outlineLevel="1">
      <c r="B5" s="978" t="str">
        <f>B4</f>
        <v>Módulo 03</v>
      </c>
      <c r="C5" s="972"/>
      <c r="D5" s="973" t="s">
        <v>6</v>
      </c>
      <c r="E5" s="1107">
        <f>'Cuadro PIB'!J28</f>
        <v>4.4517020977380968</v>
      </c>
      <c r="F5" s="979">
        <v>4.63</v>
      </c>
      <c r="G5" s="187"/>
      <c r="H5" s="187"/>
      <c r="I5" s="978" t="s">
        <v>1210</v>
      </c>
      <c r="J5" s="1064">
        <f>E5</f>
        <v>4.4517020977380968</v>
      </c>
      <c r="K5" s="1042" t="s">
        <v>1226</v>
      </c>
      <c r="L5" s="1000"/>
    </row>
    <row r="6" spans="2:12" ht="15" customHeight="1" outlineLevel="1">
      <c r="B6" s="978"/>
      <c r="C6" s="972"/>
      <c r="D6" s="974" t="s">
        <v>7</v>
      </c>
      <c r="E6" s="1108">
        <f>'Regla de Taylor '!E9</f>
        <v>9.6716905157123403</v>
      </c>
      <c r="F6" s="980">
        <v>8.8660414593936351E-2</v>
      </c>
      <c r="G6" s="187"/>
      <c r="H6" s="187" t="s">
        <v>1211</v>
      </c>
      <c r="I6" s="978" t="s">
        <v>1212</v>
      </c>
      <c r="J6" s="1065">
        <f>F6</f>
        <v>8.8660414593936351E-2</v>
      </c>
      <c r="K6" s="1042" t="s">
        <v>1213</v>
      </c>
      <c r="L6" s="1000"/>
    </row>
    <row r="7" spans="2:12" ht="15" customHeight="1" outlineLevel="1">
      <c r="B7" s="978"/>
      <c r="C7" s="972"/>
      <c r="D7" s="974" t="s">
        <v>8</v>
      </c>
      <c r="E7" s="1109">
        <f>'TC nominal'!I40</f>
        <v>2.3160213189887157E-2</v>
      </c>
      <c r="F7" s="980">
        <v>2.7301901362844702E-2</v>
      </c>
      <c r="G7" s="187"/>
      <c r="H7" s="187" t="s">
        <v>1211</v>
      </c>
      <c r="I7" s="978" t="s">
        <v>1214</v>
      </c>
      <c r="J7" s="1065">
        <f>F7</f>
        <v>2.7301901362844702E-2</v>
      </c>
      <c r="K7" s="1042" t="s">
        <v>1230</v>
      </c>
      <c r="L7" s="1000"/>
    </row>
    <row r="8" spans="2:12" ht="15" customHeight="1" outlineLevel="1">
      <c r="B8" s="978"/>
      <c r="C8" s="972"/>
      <c r="D8" s="974" t="s">
        <v>9</v>
      </c>
      <c r="E8" s="1110">
        <f>'Inversión privada real'!I16</f>
        <v>14.67169051571234</v>
      </c>
      <c r="F8" s="981">
        <v>12.2</v>
      </c>
      <c r="G8" s="187"/>
      <c r="H8" s="187" t="s">
        <v>1215</v>
      </c>
      <c r="I8" s="978" t="s">
        <v>1216</v>
      </c>
      <c r="J8" s="1064">
        <f>$F$21</f>
        <v>7.4814515720255184</v>
      </c>
      <c r="K8" s="1042" t="s">
        <v>1217</v>
      </c>
      <c r="L8" s="1000"/>
    </row>
    <row r="9" spans="2:12" ht="15" customHeight="1" outlineLevel="1">
      <c r="B9" s="978"/>
      <c r="C9" s="972"/>
      <c r="D9" s="974" t="s">
        <v>10</v>
      </c>
      <c r="E9" s="1110">
        <f>Gob_Stock_Ind!L20</f>
        <v>14.67169051571234</v>
      </c>
      <c r="F9" s="981">
        <v>12.2</v>
      </c>
      <c r="G9" s="187"/>
      <c r="H9" s="187"/>
      <c r="I9" s="978" t="s">
        <v>1218</v>
      </c>
      <c r="J9" s="1066">
        <f>F8</f>
        <v>12.2</v>
      </c>
      <c r="K9" s="1042" t="s">
        <v>1219</v>
      </c>
      <c r="L9" s="1000"/>
    </row>
    <row r="10" spans="2:12" ht="15" customHeight="1" outlineLevel="1">
      <c r="B10" s="978"/>
      <c r="C10" s="972"/>
      <c r="D10" s="974" t="s">
        <v>11</v>
      </c>
      <c r="E10" s="1110">
        <f>DD!H33</f>
        <v>14.67169051571234</v>
      </c>
      <c r="F10" s="981">
        <v>12.2</v>
      </c>
      <c r="G10" s="187"/>
      <c r="H10" s="187"/>
      <c r="I10" s="978" t="s">
        <v>1220</v>
      </c>
      <c r="J10" s="1066">
        <v>2</v>
      </c>
      <c r="K10" s="1042" t="s">
        <v>1227</v>
      </c>
      <c r="L10" s="1000"/>
    </row>
    <row r="11" spans="2:12" ht="15" customHeight="1" outlineLevel="1">
      <c r="B11" s="978"/>
      <c r="C11" s="972"/>
      <c r="D11" s="974" t="s">
        <v>12</v>
      </c>
      <c r="E11" s="1110">
        <f>'TC nominal'!I13</f>
        <v>563.14784587758732</v>
      </c>
      <c r="F11" s="981">
        <v>561.46513501181289</v>
      </c>
      <c r="G11" s="187"/>
      <c r="H11" s="187"/>
      <c r="I11" s="978" t="s">
        <v>1221</v>
      </c>
      <c r="J11" s="1067">
        <f>'TC nominal'!I34</f>
        <v>-3.1602131898871566E-3</v>
      </c>
      <c r="K11" s="1042" t="s">
        <v>1231</v>
      </c>
      <c r="L11" s="1000"/>
    </row>
    <row r="12" spans="2:12" ht="15" customHeight="1" outlineLevel="1">
      <c r="B12" s="978"/>
      <c r="C12" s="972"/>
      <c r="D12" s="974" t="s">
        <v>13</v>
      </c>
      <c r="E12" s="1110">
        <f>'TC nominal'!H22</f>
        <v>99.269809863715537</v>
      </c>
      <c r="F12" s="981">
        <v>99.269809863715537</v>
      </c>
      <c r="G12" s="187"/>
      <c r="H12" s="187"/>
      <c r="I12" s="978"/>
      <c r="J12" s="974"/>
      <c r="K12" s="1041"/>
      <c r="L12" s="1000"/>
    </row>
    <row r="13" spans="2:12" outlineLevel="1">
      <c r="B13" s="978" t="str">
        <f>B5</f>
        <v>Módulo 03</v>
      </c>
      <c r="C13" s="972">
        <v>3.05</v>
      </c>
      <c r="D13" s="974" t="s">
        <v>14</v>
      </c>
      <c r="E13" s="982">
        <f>'PIB real y brecha del producto'!F14</f>
        <v>13178.694348299272</v>
      </c>
      <c r="F13" s="982">
        <v>13178.694348299272</v>
      </c>
      <c r="G13" s="187"/>
      <c r="H13" s="187"/>
      <c r="I13" s="978" t="s">
        <v>1222</v>
      </c>
      <c r="J13" s="974"/>
      <c r="K13" s="1041"/>
      <c r="L13" s="1000"/>
    </row>
    <row r="14" spans="2:12" outlineLevel="1">
      <c r="B14" s="978" t="str">
        <f t="shared" ref="B14:B29" si="0">B13</f>
        <v>Módulo 03</v>
      </c>
      <c r="C14" s="972">
        <v>3.06</v>
      </c>
      <c r="D14" s="974" t="s">
        <v>15</v>
      </c>
      <c r="E14" s="982">
        <f>'PIB real y brecha del producto'!G30</f>
        <v>13343.31931945635</v>
      </c>
      <c r="F14" s="982">
        <v>13366.096218215202</v>
      </c>
      <c r="G14" s="187"/>
      <c r="H14" s="187"/>
      <c r="I14" s="985" t="s">
        <v>1223</v>
      </c>
      <c r="J14" s="1068">
        <f>'Cuadro PIB'!L26</f>
        <v>26705.762973114495</v>
      </c>
      <c r="K14" s="1043" t="s">
        <v>1228</v>
      </c>
      <c r="L14" s="1001"/>
    </row>
    <row r="15" spans="2:12" outlineLevel="1">
      <c r="B15" s="978" t="str">
        <f t="shared" si="0"/>
        <v>Módulo 03</v>
      </c>
      <c r="C15" s="972">
        <v>3.07</v>
      </c>
      <c r="D15" s="974" t="s">
        <v>16</v>
      </c>
      <c r="E15" s="984">
        <f>'PIB real y brecha del producto'!G32</f>
        <v>1.2491751216487026</v>
      </c>
      <c r="F15" s="983">
        <v>1.422006345720539</v>
      </c>
      <c r="G15" s="187"/>
      <c r="H15" s="187"/>
    </row>
    <row r="16" spans="2:12" outlineLevel="1">
      <c r="B16" s="978" t="str">
        <f t="shared" si="0"/>
        <v>Módulo 03</v>
      </c>
      <c r="C16" s="972">
        <v>3.13</v>
      </c>
      <c r="D16" s="974" t="s">
        <v>17</v>
      </c>
      <c r="E16" s="982">
        <f>'Consumo real privado'!H28</f>
        <v>9701.4740908379135</v>
      </c>
      <c r="F16" s="982">
        <v>9718.0344000000005</v>
      </c>
      <c r="G16" s="187"/>
      <c r="H16" s="187"/>
    </row>
    <row r="17" spans="1:8" outlineLevel="1">
      <c r="B17" s="978" t="str">
        <f t="shared" si="0"/>
        <v>Módulo 03</v>
      </c>
      <c r="C17" s="972">
        <v>3.15</v>
      </c>
      <c r="D17" s="974" t="s">
        <v>18</v>
      </c>
      <c r="E17" s="982">
        <f>'Consumo real privado'!H32</f>
        <v>9556.7581590446443</v>
      </c>
      <c r="F17" s="982">
        <v>9567.522359999999</v>
      </c>
      <c r="G17" s="187"/>
      <c r="H17" s="187"/>
    </row>
    <row r="18" spans="1:8" outlineLevel="1">
      <c r="B18" s="978" t="str">
        <f t="shared" si="0"/>
        <v>Módulo 03</v>
      </c>
      <c r="C18" s="972">
        <v>3.17</v>
      </c>
      <c r="D18" s="974" t="s">
        <v>19</v>
      </c>
      <c r="E18" s="982">
        <f>'Inversión privada real'!H30</f>
        <v>2440.0990799152723</v>
      </c>
      <c r="F18" s="982">
        <v>2444.2643021043091</v>
      </c>
      <c r="G18" s="187"/>
      <c r="H18" s="187"/>
    </row>
    <row r="19" spans="1:8" outlineLevel="1">
      <c r="B19" s="978" t="str">
        <f t="shared" si="0"/>
        <v>Módulo 03</v>
      </c>
      <c r="C19" s="972">
        <v>3.2</v>
      </c>
      <c r="D19" s="974" t="s">
        <v>20</v>
      </c>
      <c r="E19" s="982">
        <f>'Inversión privada real'!H32</f>
        <v>2453.5587251903125</v>
      </c>
      <c r="F19" s="982">
        <v>2538.669258523169</v>
      </c>
      <c r="G19" s="187"/>
      <c r="H19" s="187"/>
    </row>
    <row r="20" spans="1:8" outlineLevel="2">
      <c r="B20" s="978" t="str">
        <f t="shared" si="0"/>
        <v>Módulo 03</v>
      </c>
      <c r="C20" s="972"/>
      <c r="D20" s="974" t="s">
        <v>21</v>
      </c>
      <c r="E20" s="1111">
        <f>'Inversión privada real'!K16</f>
        <v>7.3160213189887155</v>
      </c>
      <c r="F20" s="983">
        <v>4.7185484279744809</v>
      </c>
      <c r="G20" s="187"/>
      <c r="H20" s="187"/>
    </row>
    <row r="21" spans="1:8" outlineLevel="1">
      <c r="B21" s="978" t="str">
        <f t="shared" si="0"/>
        <v>Módulo 03</v>
      </c>
      <c r="C21" s="972">
        <v>3.25</v>
      </c>
      <c r="D21" s="974" t="s">
        <v>22</v>
      </c>
      <c r="E21" s="983">
        <f>Inflación!O34</f>
        <v>7.3556691967236247</v>
      </c>
      <c r="F21" s="983">
        <v>7.4814515720255184</v>
      </c>
      <c r="G21" s="187"/>
      <c r="H21" s="187"/>
    </row>
    <row r="22" spans="1:8" outlineLevel="1">
      <c r="B22" s="978" t="str">
        <f t="shared" si="0"/>
        <v>Módulo 03</v>
      </c>
      <c r="C22" s="972">
        <v>3.26</v>
      </c>
      <c r="D22" s="974" t="s">
        <v>23</v>
      </c>
      <c r="E22" s="1110">
        <v>9.2100000000000009</v>
      </c>
      <c r="F22" s="983">
        <v>9.2119999999999997</v>
      </c>
      <c r="G22" s="187"/>
      <c r="H22" s="187"/>
    </row>
    <row r="23" spans="1:8" outlineLevel="2">
      <c r="B23" s="978" t="str">
        <f t="shared" si="0"/>
        <v>Módulo 03</v>
      </c>
      <c r="C23" s="972"/>
      <c r="D23" s="974" t="s">
        <v>24</v>
      </c>
      <c r="E23" s="1111">
        <f>Inflación!K29</f>
        <v>-0.31525678486062586</v>
      </c>
      <c r="F23" s="983">
        <v>-0.73019013628447005</v>
      </c>
      <c r="G23" s="187"/>
      <c r="H23" s="187"/>
    </row>
    <row r="24" spans="1:8" outlineLevel="2">
      <c r="B24" s="978" t="str">
        <f t="shared" si="0"/>
        <v>Módulo 03</v>
      </c>
      <c r="C24" s="972"/>
      <c r="D24" s="974" t="s">
        <v>25</v>
      </c>
      <c r="E24" s="1111">
        <f>'Cuadro PIB'!I28</f>
        <v>8.1255597800072472</v>
      </c>
      <c r="F24" s="983">
        <v>7.4814515720255184</v>
      </c>
      <c r="G24" s="187"/>
      <c r="H24" s="187"/>
    </row>
    <row r="25" spans="1:8" outlineLevel="2">
      <c r="B25" s="978" t="str">
        <f t="shared" si="0"/>
        <v>Módulo 03</v>
      </c>
      <c r="C25" s="972"/>
      <c r="D25" s="974" t="s">
        <v>26</v>
      </c>
      <c r="E25" s="1112">
        <f>Deflactor_PIB!K35</f>
        <v>185.10269502464925</v>
      </c>
      <c r="F25" s="984">
        <v>185.10269502464925</v>
      </c>
      <c r="G25" s="187"/>
      <c r="H25" s="187"/>
    </row>
    <row r="26" spans="1:8" outlineLevel="1">
      <c r="B26" s="978" t="str">
        <f>B25</f>
        <v>Módulo 03</v>
      </c>
      <c r="C26" s="972">
        <v>3.28</v>
      </c>
      <c r="D26" s="974" t="s">
        <v>27</v>
      </c>
      <c r="E26" s="982">
        <f>'Cuadro PIB'!L28</f>
        <v>26705.762973114492</v>
      </c>
      <c r="F26" s="982">
        <v>26591.990576100492</v>
      </c>
      <c r="G26" s="187"/>
      <c r="H26" s="187"/>
    </row>
    <row r="27" spans="1:8" outlineLevel="1">
      <c r="B27" s="978" t="str">
        <f t="shared" si="0"/>
        <v>Módulo 03</v>
      </c>
      <c r="C27" s="972">
        <v>3.29</v>
      </c>
      <c r="D27" s="974" t="s">
        <v>28</v>
      </c>
      <c r="E27" s="984">
        <f>'PIB real y brecha del producto'!G22</f>
        <v>4.4517020977380968</v>
      </c>
      <c r="F27" s="984">
        <v>4.63</v>
      </c>
      <c r="G27" s="187"/>
      <c r="H27" s="187"/>
    </row>
    <row r="28" spans="1:8" outlineLevel="1">
      <c r="B28" s="978" t="str">
        <f t="shared" si="0"/>
        <v>Módulo 03</v>
      </c>
      <c r="C28" s="972"/>
      <c r="D28" s="974" t="s">
        <v>29</v>
      </c>
      <c r="E28" s="984">
        <f>'PIB real y brecha del producto'!G32</f>
        <v>1.2491751216487026</v>
      </c>
      <c r="F28" s="984">
        <v>1.422006345720539</v>
      </c>
      <c r="G28" s="187"/>
      <c r="H28" s="187"/>
    </row>
    <row r="29" spans="1:8" outlineLevel="1">
      <c r="B29" s="978" t="str">
        <f t="shared" si="0"/>
        <v>Módulo 03</v>
      </c>
      <c r="C29" s="986"/>
      <c r="D29" s="987" t="s">
        <v>30</v>
      </c>
      <c r="E29" s="988">
        <f>Inflación!O31</f>
        <v>7.3556691967236247</v>
      </c>
      <c r="F29" s="988">
        <v>7.4814515720255184</v>
      </c>
      <c r="G29" s="187"/>
      <c r="H29" s="187"/>
    </row>
    <row r="30" spans="1:8" outlineLevel="1">
      <c r="B30" s="994"/>
      <c r="C30" s="995"/>
      <c r="D30" s="994"/>
      <c r="E30" s="994"/>
      <c r="F30" s="994"/>
    </row>
    <row r="31" spans="1:8" outlineLevel="1">
      <c r="A31" s="876"/>
      <c r="B31" s="1002" t="s">
        <v>31</v>
      </c>
      <c r="C31" s="1052"/>
      <c r="D31" s="1053" t="s">
        <v>32</v>
      </c>
      <c r="E31" s="1054"/>
      <c r="F31" s="1054" t="s">
        <v>33</v>
      </c>
    </row>
    <row r="32" spans="1:8" outlineLevel="1">
      <c r="A32" s="876"/>
      <c r="B32" s="1055" t="s">
        <v>31</v>
      </c>
      <c r="C32" s="1056">
        <v>4.9000000000000004</v>
      </c>
      <c r="D32" s="1057" t="s">
        <v>34</v>
      </c>
      <c r="E32" s="984">
        <f>'TC nominal'!I22</f>
        <v>99.683978681011283</v>
      </c>
      <c r="F32" s="984">
        <v>99.269809863715537</v>
      </c>
    </row>
    <row r="33" spans="1:6" outlineLevel="1">
      <c r="A33" s="876"/>
      <c r="B33" s="1055" t="s">
        <v>31</v>
      </c>
      <c r="C33" s="1058">
        <v>4.0999999999999996</v>
      </c>
      <c r="D33" s="1057" t="s">
        <v>35</v>
      </c>
      <c r="E33" s="984">
        <f>'TC nominal'!I13</f>
        <v>563.14784587758732</v>
      </c>
      <c r="F33" s="984">
        <v>561.46513501181289</v>
      </c>
    </row>
    <row r="34" spans="1:6" outlineLevel="1">
      <c r="A34" s="876"/>
      <c r="B34" s="1055" t="s">
        <v>31</v>
      </c>
      <c r="C34" s="1058">
        <v>4.1100000000000003</v>
      </c>
      <c r="D34" s="1057" t="s">
        <v>36</v>
      </c>
      <c r="E34" s="984">
        <f>'TC nominal'!I16</f>
        <v>6.210417196895035</v>
      </c>
      <c r="F34" s="984">
        <v>5.8930557359857305</v>
      </c>
    </row>
    <row r="35" spans="1:6" outlineLevel="1">
      <c r="A35" s="876"/>
      <c r="B35" s="1055" t="s">
        <v>31</v>
      </c>
      <c r="C35" s="1058">
        <v>4.1399999999999997</v>
      </c>
      <c r="D35" s="1057" t="s">
        <v>37</v>
      </c>
      <c r="E35" s="984">
        <f>'Importaciones reales de bienes'!F22</f>
        <v>0.41721528213294334</v>
      </c>
      <c r="F35" s="984">
        <v>0</v>
      </c>
    </row>
    <row r="36" spans="1:6" outlineLevel="1">
      <c r="A36" s="876"/>
      <c r="B36" s="1055" t="s">
        <v>31</v>
      </c>
      <c r="C36" s="1058">
        <v>4.1500000000000004</v>
      </c>
      <c r="D36" s="1057" t="s">
        <v>38</v>
      </c>
      <c r="E36" s="984">
        <f>'Importaciones reales de bienes'!O24</f>
        <v>5.3384818676777321</v>
      </c>
      <c r="F36" s="984">
        <v>5.8235001356430161</v>
      </c>
    </row>
    <row r="37" spans="1:6" outlineLevel="1">
      <c r="A37" s="876"/>
      <c r="B37" s="1055" t="s">
        <v>31</v>
      </c>
      <c r="C37" s="1058">
        <v>4.16</v>
      </c>
      <c r="D37" s="1057" t="s">
        <v>39</v>
      </c>
      <c r="E37" s="984">
        <f>'Exportaciones reales de bienes'!F23</f>
        <v>0.41721528213294334</v>
      </c>
      <c r="F37" s="984">
        <v>0</v>
      </c>
    </row>
    <row r="38" spans="1:6" outlineLevel="1">
      <c r="A38" s="876"/>
      <c r="B38" s="1055" t="s">
        <v>31</v>
      </c>
      <c r="C38" s="1058">
        <v>4.17</v>
      </c>
      <c r="D38" s="1057" t="s">
        <v>40</v>
      </c>
      <c r="E38" s="984">
        <f>'Exportaciones reales de bienes'!O25</f>
        <v>4.2607595513330896</v>
      </c>
      <c r="F38" s="984">
        <v>4</v>
      </c>
    </row>
    <row r="39" spans="1:6" outlineLevel="1">
      <c r="A39" s="876"/>
      <c r="B39" s="1055" t="s">
        <v>31</v>
      </c>
      <c r="C39" s="1058">
        <v>4.18</v>
      </c>
      <c r="D39" s="1057" t="s">
        <v>41</v>
      </c>
      <c r="E39" s="984">
        <f>'Import. y export. nominales'!M8/1000</f>
        <v>12.800176170127916</v>
      </c>
      <c r="F39" s="984">
        <v>12.768162513125313</v>
      </c>
    </row>
    <row r="40" spans="1:6" outlineLevel="1">
      <c r="A40" s="876"/>
      <c r="B40" s="1055" t="s">
        <v>31</v>
      </c>
      <c r="C40" s="1058">
        <v>4.18</v>
      </c>
      <c r="D40" s="1057" t="s">
        <v>42</v>
      </c>
      <c r="E40" s="984">
        <f>'Import. y export. nominales'!M10/1000</f>
        <v>19.555250929659099</v>
      </c>
      <c r="F40" s="984">
        <v>19.645290711582707</v>
      </c>
    </row>
    <row r="41" spans="1:6" outlineLevel="1">
      <c r="A41" s="876"/>
      <c r="B41" s="1055" t="s">
        <v>31</v>
      </c>
      <c r="C41" s="1058">
        <v>4.1900000000000004</v>
      </c>
      <c r="D41" s="1057" t="s">
        <v>43</v>
      </c>
      <c r="E41" s="982">
        <f>Servicios!I8</f>
        <v>6129.8593475819716</v>
      </c>
      <c r="F41" s="982">
        <v>6114.5283699438942</v>
      </c>
    </row>
    <row r="42" spans="1:6" outlineLevel="1">
      <c r="A42" s="876"/>
      <c r="B42" s="1055" t="s">
        <v>31</v>
      </c>
      <c r="C42" s="1058">
        <v>4.1900000000000004</v>
      </c>
      <c r="D42" s="1057" t="s">
        <v>44</v>
      </c>
      <c r="E42" s="982">
        <f>Servicios!I10</f>
        <v>2184.670960541333</v>
      </c>
      <c r="F42" s="982">
        <v>2194.7300130980884</v>
      </c>
    </row>
    <row r="43" spans="1:6" outlineLevel="1">
      <c r="A43" s="876"/>
      <c r="B43" s="1055" t="s">
        <v>31</v>
      </c>
      <c r="C43" s="1058">
        <v>4.2</v>
      </c>
      <c r="D43" s="1057" t="s">
        <v>45</v>
      </c>
      <c r="E43" s="982">
        <f>'Ingreso primario'!I18</f>
        <v>295.30314175166666</v>
      </c>
      <c r="F43" s="982">
        <v>295.30314175166666</v>
      </c>
    </row>
    <row r="44" spans="1:6" outlineLevel="1">
      <c r="A44" s="876"/>
      <c r="B44" s="1055" t="s">
        <v>31</v>
      </c>
      <c r="C44" s="1058">
        <v>4.21</v>
      </c>
      <c r="D44" s="1057" t="s">
        <v>46</v>
      </c>
      <c r="E44" s="982">
        <f>'Ingreso secundario'!J6</f>
        <v>352.57200987155869</v>
      </c>
      <c r="F44" s="982">
        <v>352.57200987155869</v>
      </c>
    </row>
    <row r="45" spans="1:6" outlineLevel="1">
      <c r="A45" s="876"/>
      <c r="B45" s="1055" t="s">
        <v>31</v>
      </c>
      <c r="C45" s="1058">
        <v>4.2300000000000004</v>
      </c>
      <c r="D45" s="1057" t="s">
        <v>47</v>
      </c>
      <c r="E45" s="982">
        <f>BP!L22</f>
        <v>-2111.1857109778998</v>
      </c>
      <c r="F45" s="982">
        <v>-2130.2468419456154</v>
      </c>
    </row>
    <row r="46" spans="1:6" outlineLevel="1">
      <c r="A46" s="876"/>
      <c r="B46" s="1055" t="s">
        <v>31</v>
      </c>
      <c r="C46" s="1058">
        <v>4.24</v>
      </c>
      <c r="D46" s="1057" t="s">
        <v>48</v>
      </c>
      <c r="E46" s="982">
        <f>BP!L30</f>
        <v>259.89048109986396</v>
      </c>
      <c r="F46" s="982">
        <v>262.23693810350323</v>
      </c>
    </row>
    <row r="47" spans="1:6" outlineLevel="1">
      <c r="A47" s="876"/>
      <c r="B47" s="1055" t="s">
        <v>31</v>
      </c>
      <c r="C47" s="1058">
        <v>4.25</v>
      </c>
      <c r="D47" s="1057" t="s">
        <v>49</v>
      </c>
      <c r="E47" s="984">
        <f>BP!L47</f>
        <v>-7.0207628674229792</v>
      </c>
      <c r="F47" s="984">
        <v>-7.2660760318728226</v>
      </c>
    </row>
    <row r="48" spans="1:6" outlineLevel="1">
      <c r="A48" s="876"/>
      <c r="B48" s="1055" t="s">
        <v>31</v>
      </c>
      <c r="C48" s="1058">
        <v>4.25</v>
      </c>
      <c r="D48" s="1057" t="s">
        <v>50</v>
      </c>
      <c r="E48" s="984">
        <f>BP!L49</f>
        <v>-6.4861059830428527</v>
      </c>
      <c r="F48" s="984">
        <v>-6.479390951763107</v>
      </c>
    </row>
    <row r="49" spans="1:6" outlineLevel="1">
      <c r="A49" s="876"/>
      <c r="B49" s="1055" t="s">
        <v>31</v>
      </c>
      <c r="C49" s="1058">
        <v>4.25</v>
      </c>
      <c r="D49" s="1057" t="s">
        <v>51</v>
      </c>
      <c r="E49" s="984">
        <f>BP!L50</f>
        <v>-0.51567846905456349</v>
      </c>
      <c r="F49" s="984">
        <v>-0.76787648081342907</v>
      </c>
    </row>
    <row r="50" spans="1:6" outlineLevel="1">
      <c r="A50" s="876"/>
      <c r="B50" s="1059" t="s">
        <v>31</v>
      </c>
      <c r="C50" s="1010">
        <v>4.26</v>
      </c>
      <c r="D50" s="1009" t="s">
        <v>52</v>
      </c>
      <c r="E50" s="988">
        <f>BP!L52</f>
        <v>2.5029508081115828</v>
      </c>
      <c r="F50" s="988">
        <v>2.4239594808300065</v>
      </c>
    </row>
    <row r="51" spans="1:6" outlineLevel="1">
      <c r="B51" s="997"/>
      <c r="C51" s="998"/>
      <c r="D51" s="997"/>
      <c r="E51" s="997"/>
    </row>
    <row r="52" spans="1:6" outlineLevel="1">
      <c r="B52" s="1002" t="s">
        <v>53</v>
      </c>
      <c r="C52" s="971"/>
      <c r="D52" s="970" t="s">
        <v>54</v>
      </c>
      <c r="E52" s="999"/>
      <c r="F52" s="999" t="s">
        <v>55</v>
      </c>
    </row>
    <row r="53" spans="1:6" outlineLevel="1">
      <c r="B53" s="978" t="s">
        <v>53</v>
      </c>
      <c r="C53" s="972"/>
      <c r="D53" s="996" t="s">
        <v>56</v>
      </c>
      <c r="E53" s="1109">
        <f>'Cuadro PIB'!K36</f>
        <v>0.02</v>
      </c>
      <c r="F53" s="980">
        <v>0.02</v>
      </c>
    </row>
    <row r="54" spans="1:6" outlineLevel="1">
      <c r="B54" s="978" t="s">
        <v>53</v>
      </c>
      <c r="C54" s="972"/>
      <c r="D54" s="1006" t="s">
        <v>57</v>
      </c>
      <c r="E54" s="1000"/>
      <c r="F54" s="1000"/>
    </row>
    <row r="55" spans="1:6" outlineLevel="1">
      <c r="B55" s="978" t="s">
        <v>53</v>
      </c>
      <c r="C55" s="972">
        <v>5.16</v>
      </c>
      <c r="D55" s="974" t="s">
        <v>58</v>
      </c>
      <c r="E55" s="982">
        <f>Gob_GTR_Proy!J50</f>
        <v>1110.6037077726078</v>
      </c>
      <c r="F55" s="982">
        <v>1130.8978092834043</v>
      </c>
    </row>
    <row r="56" spans="1:6" outlineLevel="1">
      <c r="B56" s="978" t="s">
        <v>53</v>
      </c>
      <c r="C56" s="972">
        <v>5.16</v>
      </c>
      <c r="D56" s="974" t="s">
        <v>59</v>
      </c>
      <c r="E56" s="982">
        <f>Gob_GTR_Proy!J51</f>
        <v>763.93217576193206</v>
      </c>
      <c r="F56" s="982">
        <v>774.72261626304896</v>
      </c>
    </row>
    <row r="57" spans="1:6" outlineLevel="1">
      <c r="B57" s="978" t="s">
        <v>53</v>
      </c>
      <c r="C57" s="972">
        <v>5.16</v>
      </c>
      <c r="D57" s="974" t="s">
        <v>60</v>
      </c>
      <c r="E57" s="982">
        <f>Gob_GTR_Proy!J52</f>
        <v>1087.5546694681721</v>
      </c>
      <c r="F57" s="982">
        <v>1107.4090262543264</v>
      </c>
    </row>
    <row r="58" spans="1:6" outlineLevel="1">
      <c r="B58" s="978" t="s">
        <v>53</v>
      </c>
      <c r="C58" s="972">
        <v>5.16</v>
      </c>
      <c r="D58" s="974" t="s">
        <v>61</v>
      </c>
      <c r="E58" s="982">
        <f>Gob_GTR_Proy!J53</f>
        <v>808.75683561482083</v>
      </c>
      <c r="F58" s="982">
        <v>823.53527837045976</v>
      </c>
    </row>
    <row r="59" spans="1:6" outlineLevel="1">
      <c r="B59" s="978" t="s">
        <v>53</v>
      </c>
      <c r="C59" s="972">
        <v>5.16</v>
      </c>
      <c r="D59" s="974" t="s">
        <v>62</v>
      </c>
      <c r="E59" s="982">
        <f>Gob_GTR_Proy!J49</f>
        <v>3770.8473886175329</v>
      </c>
      <c r="F59" s="982">
        <v>3836.5647301712393</v>
      </c>
    </row>
    <row r="60" spans="1:6" outlineLevel="1">
      <c r="B60" s="978" t="s">
        <v>53</v>
      </c>
      <c r="C60" s="972">
        <v>5.17</v>
      </c>
      <c r="D60" s="974" t="s">
        <v>63</v>
      </c>
      <c r="E60" s="982">
        <f>Gob_GTR_Proy!J57</f>
        <v>1094.9239123568013</v>
      </c>
      <c r="F60" s="982">
        <v>1112.7171232623248</v>
      </c>
    </row>
    <row r="61" spans="1:6" outlineLevel="1">
      <c r="B61" s="978" t="s">
        <v>53</v>
      </c>
      <c r="C61" s="972">
        <v>5.18</v>
      </c>
      <c r="D61" s="974" t="s">
        <v>64</v>
      </c>
      <c r="E61" s="982">
        <f>Gob_GTR_Proy!J58</f>
        <v>746.76439822036355</v>
      </c>
      <c r="F61" s="982">
        <v>755.52007768199599</v>
      </c>
    </row>
    <row r="62" spans="1:6" outlineLevel="1">
      <c r="B62" s="978" t="s">
        <v>53</v>
      </c>
      <c r="C62" s="972">
        <v>5.19</v>
      </c>
      <c r="D62" s="974" t="s">
        <v>65</v>
      </c>
      <c r="E62" s="982">
        <f>Gob_GTR_Proy!J59</f>
        <v>1108.0893757314066</v>
      </c>
      <c r="F62" s="982">
        <v>1131.0834968808003</v>
      </c>
    </row>
    <row r="63" spans="1:6" outlineLevel="1">
      <c r="B63" s="978" t="s">
        <v>53</v>
      </c>
      <c r="C63" s="972">
        <v>5.2</v>
      </c>
      <c r="D63" s="974" t="s">
        <v>66</v>
      </c>
      <c r="E63" s="982">
        <f>Gob_GTR_Proy!J60</f>
        <v>798.02819255387362</v>
      </c>
      <c r="F63" s="982">
        <v>811.09544189614678</v>
      </c>
    </row>
    <row r="64" spans="1:6" outlineLevel="1">
      <c r="B64" s="978" t="s">
        <v>53</v>
      </c>
      <c r="C64" s="972">
        <v>5.21</v>
      </c>
      <c r="D64" s="974" t="s">
        <v>67</v>
      </c>
      <c r="E64" s="982">
        <f>Gob_GTR_Proy!J56</f>
        <v>3747.8058788624448</v>
      </c>
      <c r="F64" s="982">
        <v>3810.4161397212679</v>
      </c>
    </row>
    <row r="65" spans="2:6" outlineLevel="1">
      <c r="B65" s="978" t="s">
        <v>53</v>
      </c>
      <c r="C65" s="972">
        <v>5.22</v>
      </c>
      <c r="D65" s="974" t="s">
        <v>68</v>
      </c>
      <c r="E65" s="982">
        <f>Gob_EOG!L5</f>
        <v>4081.6230379733606</v>
      </c>
      <c r="F65" s="982">
        <v>4150</v>
      </c>
    </row>
    <row r="66" spans="2:6" outlineLevel="1">
      <c r="B66" s="978" t="s">
        <v>53</v>
      </c>
      <c r="C66" s="972"/>
      <c r="D66" s="1006" t="s">
        <v>69</v>
      </c>
      <c r="E66" s="982"/>
      <c r="F66" s="982"/>
    </row>
    <row r="67" spans="2:6" outlineLevel="1">
      <c r="B67" s="978" t="s">
        <v>53</v>
      </c>
      <c r="C67" s="972">
        <v>5.26</v>
      </c>
      <c r="D67" s="974" t="s">
        <v>70</v>
      </c>
      <c r="E67" s="982">
        <f>'Hoja-Gob_Exp_Proy.'!I11</f>
        <v>2590.2094388203341</v>
      </c>
      <c r="F67" s="982">
        <v>2615.3626794617776</v>
      </c>
    </row>
    <row r="68" spans="2:6" outlineLevel="1">
      <c r="B68" s="978" t="s">
        <v>53</v>
      </c>
      <c r="C68" s="972">
        <v>5.27</v>
      </c>
      <c r="D68" s="974" t="s">
        <v>71</v>
      </c>
      <c r="E68" s="982">
        <f>'Hoja-Gob_Exp_Proy.'!I12</f>
        <v>204.35724108570369</v>
      </c>
      <c r="F68" s="982">
        <v>206.34173190903698</v>
      </c>
    </row>
    <row r="69" spans="2:6" outlineLevel="1">
      <c r="B69" s="978" t="s">
        <v>53</v>
      </c>
      <c r="C69" s="972">
        <v>5.27</v>
      </c>
      <c r="D69" s="974" t="s">
        <v>72</v>
      </c>
      <c r="E69" s="982">
        <f>'Hoja-Gob_Exp_Proy.'!I13</f>
        <v>17.156153756481388</v>
      </c>
      <c r="F69" s="982">
        <v>17.322755289720693</v>
      </c>
    </row>
    <row r="70" spans="2:6" outlineLevel="1">
      <c r="B70" s="978" t="s">
        <v>53</v>
      </c>
      <c r="C70" s="972">
        <v>5.27</v>
      </c>
      <c r="D70" s="974" t="s">
        <v>73</v>
      </c>
      <c r="E70" s="982">
        <f>'Hoja-Gob_Exp_Proy.'!I28</f>
        <v>2782.6191977249277</v>
      </c>
      <c r="F70" s="982">
        <v>2809.6409084966072</v>
      </c>
    </row>
    <row r="71" spans="2:6" outlineLevel="1">
      <c r="B71" s="978" t="s">
        <v>53</v>
      </c>
      <c r="C71" s="972">
        <v>5.27</v>
      </c>
      <c r="D71" s="974" t="s">
        <v>74</v>
      </c>
      <c r="E71" s="982">
        <f>'Hoja-Gob_Exp_Proy.'!I29</f>
        <v>21.884532699715631</v>
      </c>
      <c r="F71" s="982">
        <v>22.097051003861797</v>
      </c>
    </row>
    <row r="72" spans="2:6" outlineLevel="1">
      <c r="B72" s="978" t="s">
        <v>53</v>
      </c>
      <c r="C72" s="972">
        <v>5.27</v>
      </c>
      <c r="D72" s="974" t="s">
        <v>75</v>
      </c>
      <c r="E72" s="982">
        <f>'Hoja-Gob_Exp_Proy.'!I30</f>
        <v>381.76402320329885</v>
      </c>
      <c r="F72" s="982">
        <v>385.47129188974594</v>
      </c>
    </row>
    <row r="73" spans="2:6" outlineLevel="1">
      <c r="B73" s="978" t="s">
        <v>53</v>
      </c>
      <c r="C73" s="972">
        <v>5.28</v>
      </c>
      <c r="D73" s="974" t="s">
        <v>76</v>
      </c>
      <c r="E73" s="982">
        <f>'Hoja-Gob_Exp_Proy.'!I35</f>
        <v>49.885507477428504</v>
      </c>
      <c r="F73" s="982">
        <v>53.084501730049482</v>
      </c>
    </row>
    <row r="74" spans="2:6" outlineLevel="1">
      <c r="B74" s="978" t="s">
        <v>53</v>
      </c>
      <c r="C74" s="972">
        <v>5.29</v>
      </c>
      <c r="D74" s="974" t="s">
        <v>77</v>
      </c>
      <c r="E74" s="982">
        <f>'Hoja-Gob_Exp_Proy.'!I34</f>
        <v>32.729353720947117</v>
      </c>
      <c r="F74" s="982">
        <v>35.761746440328793</v>
      </c>
    </row>
    <row r="75" spans="2:6" outlineLevel="1">
      <c r="B75" s="978" t="s">
        <v>53</v>
      </c>
      <c r="C75" s="972">
        <v>5.3</v>
      </c>
      <c r="D75" s="974" t="s">
        <v>78</v>
      </c>
      <c r="E75" s="982">
        <f>'Hoja-Gob_Exp_Proy.'!I16</f>
        <v>72.016114975531636</v>
      </c>
      <c r="F75" s="982">
        <v>72.38024173687532</v>
      </c>
    </row>
    <row r="76" spans="2:6" outlineLevel="1">
      <c r="B76" s="978" t="s">
        <v>53</v>
      </c>
      <c r="C76" s="972">
        <v>5.31</v>
      </c>
      <c r="D76" s="974" t="s">
        <v>79</v>
      </c>
      <c r="E76" s="982">
        <f>'Hoja-Gob_Exp_Proy.'!I33</f>
        <v>-3318.9393051960533</v>
      </c>
      <c r="F76" s="982">
        <v>-3015.8073019386911</v>
      </c>
    </row>
    <row r="77" spans="2:6" outlineLevel="1">
      <c r="B77" s="978" t="s">
        <v>53</v>
      </c>
      <c r="C77" s="972">
        <v>5.32</v>
      </c>
      <c r="D77" s="974" t="s">
        <v>80</v>
      </c>
      <c r="E77" s="982">
        <f>'Hoja-Gob_Exp_Proy.'!I25</f>
        <v>1330.5556409034207</v>
      </c>
      <c r="F77" s="982">
        <v>1037.5237939421672</v>
      </c>
    </row>
    <row r="78" spans="2:6" outlineLevel="1">
      <c r="B78" s="985" t="s">
        <v>53</v>
      </c>
      <c r="C78" s="986">
        <v>5.33</v>
      </c>
      <c r="D78" s="987" t="s">
        <v>81</v>
      </c>
      <c r="E78" s="1131">
        <f>'Hoja-Gob_Exp_Proy.'!I39</f>
        <v>3051.6686589170004</v>
      </c>
      <c r="F78" s="1131">
        <v>2751.5690483790199</v>
      </c>
    </row>
    <row r="79" spans="2:6" outlineLevel="1">
      <c r="C79" s="1096"/>
      <c r="D79" s="1097"/>
      <c r="E79" s="1097"/>
    </row>
    <row r="80" spans="2:6" outlineLevel="1">
      <c r="B80" s="1087" t="s">
        <v>82</v>
      </c>
      <c r="C80" s="1088"/>
      <c r="D80" s="1089" t="s">
        <v>83</v>
      </c>
      <c r="E80" s="1090" t="s">
        <v>84</v>
      </c>
      <c r="F80" s="1023" t="s">
        <v>85</v>
      </c>
    </row>
    <row r="81" spans="2:10" outlineLevel="1">
      <c r="B81" s="1091" t="s">
        <v>82</v>
      </c>
      <c r="C81" s="972">
        <v>6.16</v>
      </c>
      <c r="D81" s="974" t="s">
        <v>86</v>
      </c>
      <c r="E81" s="1092">
        <f>'Regla de Taylor '!E9</f>
        <v>9.6716905157123403</v>
      </c>
      <c r="F81" s="1092">
        <v>11.194554034563225</v>
      </c>
    </row>
    <row r="82" spans="2:10" outlineLevel="1">
      <c r="B82" s="1091" t="s">
        <v>82</v>
      </c>
      <c r="C82" s="972">
        <v>6.23</v>
      </c>
      <c r="D82" s="1057" t="s">
        <v>87</v>
      </c>
      <c r="E82" s="1092">
        <f>DD!D33</f>
        <v>11.111436246590539</v>
      </c>
      <c r="F82" s="1092">
        <v>11.100799591826309</v>
      </c>
    </row>
    <row r="83" spans="2:10" outlineLevel="1">
      <c r="B83" s="1091" t="s">
        <v>82</v>
      </c>
      <c r="C83" s="972">
        <v>6.23</v>
      </c>
      <c r="D83" s="1057" t="s">
        <v>88</v>
      </c>
      <c r="E83" s="1092">
        <f>'Velocidad y demanda de dinero '!L13</f>
        <v>2.097744788475647</v>
      </c>
      <c r="F83" s="1092">
        <v>2.0756821397293237</v>
      </c>
    </row>
    <row r="84" spans="2:10" outlineLevel="1">
      <c r="B84" s="1091" t="s">
        <v>82</v>
      </c>
      <c r="C84" s="972">
        <v>6.27</v>
      </c>
      <c r="D84" s="974" t="s">
        <v>89</v>
      </c>
      <c r="E84" s="1132">
        <f>'AEN y OPN totales'!C15</f>
        <v>2418.462905296441</v>
      </c>
      <c r="F84" s="1134">
        <v>2271.8553858282862</v>
      </c>
    </row>
    <row r="85" spans="2:10" outlineLevel="1">
      <c r="B85" s="1091" t="s">
        <v>82</v>
      </c>
      <c r="C85" s="972">
        <v>6.3</v>
      </c>
      <c r="D85" s="974" t="s">
        <v>90</v>
      </c>
      <c r="E85" s="1132">
        <f>'AEN y OPN totales'!C33</f>
        <v>-3864.7861003751691</v>
      </c>
      <c r="F85" s="1134">
        <v>-3887.2557874778477</v>
      </c>
    </row>
    <row r="86" spans="2:10" outlineLevel="1">
      <c r="B86" s="1091" t="s">
        <v>82</v>
      </c>
      <c r="C86" s="972">
        <v>6.31</v>
      </c>
      <c r="D86" s="974" t="s">
        <v>91</v>
      </c>
      <c r="E86" s="1132">
        <f>MON_PSD!L13</f>
        <v>11968.402041732114</v>
      </c>
      <c r="F86" s="1134">
        <v>12215</v>
      </c>
    </row>
    <row r="87" spans="2:10" outlineLevel="1">
      <c r="B87" s="1091" t="s">
        <v>82</v>
      </c>
      <c r="C87" s="972">
        <v>6.32</v>
      </c>
      <c r="D87" s="974" t="s">
        <v>92</v>
      </c>
      <c r="E87" s="1133">
        <f>MON_IND!L9</f>
        <v>2.9443062548665182</v>
      </c>
      <c r="F87" s="1135">
        <v>5.0999999999999996</v>
      </c>
    </row>
    <row r="88" spans="2:10" outlineLevel="1">
      <c r="B88" s="1091" t="s">
        <v>82</v>
      </c>
      <c r="C88" s="972">
        <v>6.34</v>
      </c>
      <c r="D88" s="974" t="s">
        <v>93</v>
      </c>
      <c r="E88" s="1132">
        <f>'Multiplicador del dinero'!K10</f>
        <v>2765.4907936633576</v>
      </c>
      <c r="F88" s="1134">
        <v>2762.8048219575371</v>
      </c>
      <c r="I88" s="187"/>
    </row>
    <row r="89" spans="2:10" outlineLevel="1">
      <c r="B89" s="1091" t="s">
        <v>82</v>
      </c>
      <c r="C89" s="972">
        <v>6.35</v>
      </c>
      <c r="D89" s="974" t="s">
        <v>94</v>
      </c>
      <c r="E89" s="1132">
        <f>MON_PSD!L28</f>
        <v>1563.7073323120167</v>
      </c>
      <c r="F89" s="1134">
        <v>1725.1503651633352</v>
      </c>
      <c r="I89" s="187"/>
      <c r="J89" s="187"/>
    </row>
    <row r="90" spans="2:10" outlineLevel="1">
      <c r="B90" s="1093" t="s">
        <v>82</v>
      </c>
      <c r="C90" s="1094">
        <v>6.35</v>
      </c>
      <c r="D90" s="1095" t="s">
        <v>95</v>
      </c>
      <c r="E90" s="1131">
        <f>MON_PSD!L36</f>
        <v>1805.7633327196352</v>
      </c>
      <c r="F90" s="1131">
        <v>1804.0094924138903</v>
      </c>
      <c r="I90" s="187"/>
      <c r="J90" s="187"/>
    </row>
    <row r="91" spans="2:10" outlineLevel="1">
      <c r="F91" s="1097"/>
      <c r="I91" s="187"/>
      <c r="J91" s="187"/>
    </row>
    <row r="92" spans="2:10" outlineLevel="1">
      <c r="B92" s="1002" t="s">
        <v>96</v>
      </c>
      <c r="C92" s="1099"/>
      <c r="D92" s="977" t="s">
        <v>97</v>
      </c>
      <c r="E92" s="999" t="s">
        <v>84</v>
      </c>
      <c r="F92" s="1100" t="s">
        <v>98</v>
      </c>
      <c r="G92" s="1021"/>
      <c r="H92" s="1021"/>
      <c r="I92" s="187"/>
      <c r="J92" s="187"/>
    </row>
    <row r="93" spans="2:10" outlineLevel="1">
      <c r="B93" s="1055" t="s">
        <v>96</v>
      </c>
      <c r="C93" s="1098">
        <v>7.3</v>
      </c>
      <c r="D93" s="1006" t="s">
        <v>99</v>
      </c>
      <c r="E93" s="1000"/>
      <c r="F93" s="1000"/>
      <c r="I93" s="187"/>
      <c r="J93" s="187"/>
    </row>
    <row r="94" spans="2:10" outlineLevel="1">
      <c r="B94" s="1055" t="s">
        <v>96</v>
      </c>
      <c r="C94" s="1098"/>
      <c r="D94" s="1018" t="s">
        <v>28</v>
      </c>
      <c r="E94" s="981">
        <f>'Cuadro SEFI'!J6</f>
        <v>4.4517020977380639</v>
      </c>
      <c r="F94" s="981">
        <v>4.4507183583823551</v>
      </c>
      <c r="H94" s="187"/>
      <c r="I94" s="187"/>
      <c r="J94" s="187"/>
    </row>
    <row r="95" spans="2:10" outlineLevel="1">
      <c r="B95" s="1055" t="s">
        <v>96</v>
      </c>
      <c r="C95" s="1098"/>
      <c r="D95" s="1102" t="s">
        <v>100</v>
      </c>
      <c r="E95" s="981">
        <f>'Cuadro SEFI'!J7</f>
        <v>1.2491751216486748</v>
      </c>
      <c r="F95" s="981">
        <v>1.2482215440975142</v>
      </c>
      <c r="H95" s="187"/>
      <c r="I95" s="187"/>
      <c r="J95" s="187"/>
    </row>
    <row r="96" spans="2:10" outlineLevel="1">
      <c r="B96" s="1055" t="s">
        <v>96</v>
      </c>
      <c r="C96" s="1098"/>
      <c r="D96" s="1018" t="s">
        <v>101</v>
      </c>
      <c r="E96" s="981">
        <f>'Cuadro SEFI'!J8</f>
        <v>8.1255597800072632</v>
      </c>
      <c r="F96" s="981">
        <v>8.1228984207331258</v>
      </c>
      <c r="H96" s="187"/>
      <c r="I96" s="187"/>
      <c r="J96" s="187"/>
    </row>
    <row r="97" spans="2:10" outlineLevel="1">
      <c r="B97" s="1055" t="s">
        <v>96</v>
      </c>
      <c r="C97" s="1098"/>
      <c r="D97" s="1018" t="s">
        <v>102</v>
      </c>
      <c r="E97" s="981">
        <f>'Cuadro SEFI'!J9</f>
        <v>7.3556691967236354</v>
      </c>
      <c r="F97" s="981">
        <v>7.3529899026309353</v>
      </c>
      <c r="H97" s="187"/>
      <c r="I97" s="187"/>
      <c r="J97" s="187"/>
    </row>
    <row r="98" spans="2:10" outlineLevel="1">
      <c r="B98" s="1055" t="s">
        <v>96</v>
      </c>
      <c r="C98" s="1098"/>
      <c r="D98" s="1018" t="s">
        <v>103</v>
      </c>
      <c r="E98" s="981">
        <f>'Cuadro SEFI'!J11</f>
        <v>7.3160213189887155</v>
      </c>
      <c r="F98" s="981">
        <v>7.3169247583023047</v>
      </c>
      <c r="H98" s="187"/>
      <c r="I98" s="187"/>
      <c r="J98" s="187"/>
    </row>
    <row r="99" spans="2:10" outlineLevel="1">
      <c r="B99" s="1055" t="s">
        <v>96</v>
      </c>
      <c r="C99" s="1098"/>
      <c r="D99" s="1018" t="s">
        <v>104</v>
      </c>
      <c r="E99" s="981">
        <f>'Cuadro SEFI'!J19</f>
        <v>6.210417196895035</v>
      </c>
      <c r="F99" s="981">
        <v>6.2068039204296266</v>
      </c>
      <c r="H99" s="187"/>
      <c r="I99" s="187"/>
      <c r="J99" s="187"/>
    </row>
    <row r="100" spans="2:10" outlineLevel="1">
      <c r="B100" s="1055" t="s">
        <v>96</v>
      </c>
      <c r="C100" s="1098">
        <v>7.4</v>
      </c>
      <c r="D100" s="1006" t="s">
        <v>105</v>
      </c>
      <c r="E100" s="1000"/>
      <c r="F100" s="981"/>
      <c r="H100" s="187"/>
      <c r="I100" s="187"/>
      <c r="J100" s="187"/>
    </row>
    <row r="101" spans="2:10" outlineLevel="1">
      <c r="B101" s="1055" t="s">
        <v>96</v>
      </c>
      <c r="C101" s="1098"/>
      <c r="D101" s="1019" t="s">
        <v>106</v>
      </c>
      <c r="E101" s="981">
        <f>'Cuadro SEFI'!J24</f>
        <v>-7.0207628674229889</v>
      </c>
      <c r="F101" s="981">
        <v>-7.0206832560648786</v>
      </c>
      <c r="H101" s="187"/>
      <c r="I101" s="187"/>
    </row>
    <row r="102" spans="2:10" outlineLevel="1">
      <c r="B102" s="1055" t="s">
        <v>96</v>
      </c>
      <c r="C102" s="1098"/>
      <c r="D102" s="1019" t="s">
        <v>107</v>
      </c>
      <c r="E102" s="981">
        <f>'Cuadro SEFI'!J26</f>
        <v>-6.5050843983684157</v>
      </c>
      <c r="F102" s="981">
        <v>-6.5051226292710416</v>
      </c>
      <c r="H102" s="187"/>
      <c r="I102" s="187"/>
    </row>
    <row r="103" spans="2:10" outlineLevel="1">
      <c r="B103" s="1055" t="s">
        <v>96</v>
      </c>
      <c r="C103" s="1098"/>
      <c r="D103" s="1019" t="s">
        <v>108</v>
      </c>
      <c r="E103" s="982">
        <f>'Cuadro SEFI'!J28</f>
        <v>4534.496255279988</v>
      </c>
      <c r="F103" s="982">
        <f>ROUNDDOWN(4534.55214159877,0)</f>
        <v>4534</v>
      </c>
      <c r="H103" s="187"/>
      <c r="I103" s="187"/>
    </row>
    <row r="104" spans="2:10" outlineLevel="1">
      <c r="B104" s="1055" t="s">
        <v>96</v>
      </c>
      <c r="C104" s="1098"/>
      <c r="D104" s="1019" t="s">
        <v>109</v>
      </c>
      <c r="E104" s="981">
        <f>'Cuadro SEFI'!J30</f>
        <v>2.5029508081115828</v>
      </c>
      <c r="F104" s="981">
        <v>2.5029978977102423</v>
      </c>
      <c r="H104" s="187"/>
      <c r="I104" s="187"/>
    </row>
    <row r="105" spans="2:10" outlineLevel="1">
      <c r="B105" s="1055" t="s">
        <v>96</v>
      </c>
      <c r="C105" s="1098">
        <v>7.5</v>
      </c>
      <c r="D105" s="1020" t="s">
        <v>110</v>
      </c>
      <c r="E105" s="1000"/>
      <c r="F105" s="981"/>
      <c r="H105" s="187"/>
      <c r="I105" s="187"/>
    </row>
    <row r="106" spans="2:10" outlineLevel="1">
      <c r="B106" s="1055" t="s">
        <v>96</v>
      </c>
      <c r="C106" s="1098"/>
      <c r="D106" s="1019" t="s">
        <v>111</v>
      </c>
      <c r="E106" s="981">
        <f>'Cuadro SEFI'!J39</f>
        <v>-12.550357247951416</v>
      </c>
      <c r="F106" s="981">
        <f>ROUND(-12.5499396829252,2)</f>
        <v>-12.55</v>
      </c>
      <c r="H106" s="187"/>
      <c r="I106" s="187"/>
    </row>
    <row r="107" spans="2:10" outlineLevel="1">
      <c r="B107" s="1055" t="s">
        <v>96</v>
      </c>
      <c r="C107" s="1098"/>
      <c r="D107" s="1019" t="s">
        <v>112</v>
      </c>
      <c r="E107" s="981">
        <f>'Cuadro SEFI'!J36</f>
        <v>-7.2984130990762681</v>
      </c>
      <c r="F107" s="981">
        <v>-7.2986111899918811</v>
      </c>
      <c r="H107" s="187"/>
      <c r="I107" s="187"/>
    </row>
    <row r="108" spans="2:10" outlineLevel="1">
      <c r="B108" s="1055" t="s">
        <v>96</v>
      </c>
      <c r="C108" s="1098"/>
      <c r="D108" s="1019" t="s">
        <v>113</v>
      </c>
      <c r="E108" s="981">
        <f>'Cuadro SEFI'!J37</f>
        <v>-7.4848507560109168</v>
      </c>
      <c r="F108" s="981">
        <v>-7.4848199760073593</v>
      </c>
      <c r="H108" s="187"/>
      <c r="I108" s="187"/>
    </row>
    <row r="109" spans="2:10" outlineLevel="1">
      <c r="B109" s="1055" t="s">
        <v>96</v>
      </c>
      <c r="C109" s="1098"/>
      <c r="D109" s="1019" t="s">
        <v>114</v>
      </c>
      <c r="E109" s="981">
        <f>'Cuadro SEFI'!J38</f>
        <v>2.9503059292843519</v>
      </c>
      <c r="F109" s="981">
        <v>2.9502751492807944</v>
      </c>
      <c r="H109" s="187"/>
      <c r="I109" s="187"/>
    </row>
    <row r="110" spans="2:10" outlineLevel="1">
      <c r="B110" s="1055" t="s">
        <v>96</v>
      </c>
      <c r="C110" s="1098"/>
      <c r="D110" s="1019" t="s">
        <v>115</v>
      </c>
      <c r="E110" s="981">
        <f>'Cuadro SEFI'!J40</f>
        <v>55.470857232950365</v>
      </c>
      <c r="F110" s="981">
        <v>55.471442581194516</v>
      </c>
      <c r="H110" s="187"/>
      <c r="I110" s="187"/>
    </row>
    <row r="111" spans="2:10" outlineLevel="1">
      <c r="B111" s="1055" t="s">
        <v>96</v>
      </c>
      <c r="C111" s="1098">
        <v>7.6</v>
      </c>
      <c r="D111" s="1020" t="s">
        <v>116</v>
      </c>
      <c r="E111" s="981"/>
      <c r="F111" s="981"/>
      <c r="H111" s="187"/>
      <c r="I111" s="187"/>
    </row>
    <row r="112" spans="2:10" outlineLevel="1">
      <c r="B112" s="1055" t="s">
        <v>96</v>
      </c>
      <c r="C112" s="1098"/>
      <c r="D112" s="1019" t="s">
        <v>117</v>
      </c>
      <c r="E112" s="981">
        <f>'Cuadro SEFI'!J43</f>
        <v>8.1977180652962218</v>
      </c>
      <c r="F112" s="981">
        <v>8.1964931183068259</v>
      </c>
      <c r="H112" s="187"/>
      <c r="I112" s="187"/>
    </row>
    <row r="113" spans="2:10" outlineLevel="1">
      <c r="B113" s="1055" t="s">
        <v>96</v>
      </c>
      <c r="C113" s="1098"/>
      <c r="D113" s="1019" t="s">
        <v>118</v>
      </c>
      <c r="E113" s="981">
        <f>'Cuadro SEFI'!J44</f>
        <v>2.9443062548665204</v>
      </c>
      <c r="F113" s="981">
        <v>2.9432544027745076</v>
      </c>
      <c r="H113" s="187"/>
      <c r="I113" s="187"/>
    </row>
    <row r="114" spans="2:10" outlineLevel="1">
      <c r="B114" s="1055" t="s">
        <v>96</v>
      </c>
      <c r="C114" s="1098">
        <v>7.7</v>
      </c>
      <c r="D114" s="974" t="s">
        <v>119</v>
      </c>
      <c r="E114" s="981">
        <f>'Cuadro SEFI'!J38-'Cuadro SEFI'!I38</f>
        <v>0.79658530119445459</v>
      </c>
      <c r="F114" s="981">
        <v>0.79655452119089709</v>
      </c>
      <c r="G114" s="187"/>
      <c r="I114" s="187"/>
    </row>
    <row r="115" spans="2:10" outlineLevel="1">
      <c r="B115" s="1055" t="s">
        <v>96</v>
      </c>
      <c r="C115" s="1098">
        <v>7.8</v>
      </c>
      <c r="D115" s="974" t="s">
        <v>120</v>
      </c>
      <c r="E115" s="981">
        <f>'Cuadro SEFI'!J11-'Cuadro SEFI'!I11</f>
        <v>1.2518726420978812</v>
      </c>
      <c r="F115" s="981">
        <v>1.2527760814114703</v>
      </c>
      <c r="G115" s="187"/>
      <c r="H115" s="187"/>
      <c r="I115" s="187"/>
    </row>
    <row r="116" spans="2:10" outlineLevel="1">
      <c r="B116" s="1059" t="s">
        <v>96</v>
      </c>
      <c r="C116" s="1105">
        <v>7.9</v>
      </c>
      <c r="D116" s="987" t="s">
        <v>121</v>
      </c>
      <c r="E116" s="1101">
        <f>'Cuadro SEFI'!J44-'Cuadro SEFI'!I44</f>
        <v>-3.8943292082952783</v>
      </c>
      <c r="F116" s="1101">
        <v>-3.8953810603872911</v>
      </c>
      <c r="G116" s="187"/>
      <c r="H116" s="187"/>
      <c r="I116" s="187"/>
    </row>
    <row r="117" spans="2:10">
      <c r="G117" s="187"/>
      <c r="I117" s="187"/>
    </row>
    <row r="118" spans="2:10">
      <c r="B118" s="1002" t="s">
        <v>122</v>
      </c>
      <c r="C118" s="1099"/>
      <c r="D118" s="1099"/>
      <c r="E118" s="1106"/>
      <c r="F118" s="1023" t="s">
        <v>123</v>
      </c>
      <c r="G118" s="187"/>
      <c r="H118" s="570"/>
      <c r="I118" s="570"/>
      <c r="J118" s="570"/>
    </row>
    <row r="119" spans="2:10">
      <c r="B119" s="1055" t="s">
        <v>122</v>
      </c>
      <c r="C119" s="1103">
        <v>10.1</v>
      </c>
      <c r="D119" s="972" t="s">
        <v>124</v>
      </c>
      <c r="E119" s="981">
        <f>'Cuadro SEFI'!J30</f>
        <v>2.5029508081115828</v>
      </c>
      <c r="F119" s="981"/>
      <c r="G119" s="187"/>
      <c r="H119" s="187"/>
      <c r="I119" s="885"/>
      <c r="J119" s="570"/>
    </row>
    <row r="120" spans="2:10">
      <c r="B120" s="1055" t="s">
        <v>122</v>
      </c>
      <c r="C120" s="972"/>
      <c r="D120" s="972" t="s">
        <v>125</v>
      </c>
      <c r="E120" s="980">
        <f>'Cuadro PIB'!K36</f>
        <v>0.02</v>
      </c>
      <c r="F120" s="980"/>
      <c r="G120" s="187"/>
      <c r="H120" s="1029"/>
      <c r="I120" s="1029"/>
      <c r="J120" s="570"/>
    </row>
    <row r="121" spans="2:10">
      <c r="B121" s="1055" t="s">
        <v>122</v>
      </c>
      <c r="C121" s="972"/>
      <c r="D121" s="972" t="s">
        <v>126</v>
      </c>
      <c r="E121" s="981">
        <f>'TC nominal'!I24</f>
        <v>0.41721528213294334</v>
      </c>
      <c r="F121" s="981"/>
      <c r="G121" s="187"/>
      <c r="H121" s="187"/>
      <c r="I121" s="885"/>
      <c r="J121" s="570"/>
    </row>
    <row r="122" spans="2:10">
      <c r="B122" s="1055" t="s">
        <v>122</v>
      </c>
      <c r="C122" s="972"/>
      <c r="D122" s="972" t="s">
        <v>127</v>
      </c>
      <c r="E122" s="980">
        <f>'TC nominal'!I40</f>
        <v>2.3160213189887157E-2</v>
      </c>
      <c r="F122" s="980"/>
      <c r="G122" s="1029"/>
      <c r="H122" s="1029"/>
      <c r="I122" s="1030"/>
      <c r="J122" s="570"/>
    </row>
    <row r="123" spans="2:10">
      <c r="B123" s="1055" t="s">
        <v>122</v>
      </c>
      <c r="C123" s="972"/>
      <c r="D123" s="972" t="s">
        <v>128</v>
      </c>
      <c r="E123" s="981">
        <f>'Cuadro SEFI'!J24</f>
        <v>-7.0207628674229889</v>
      </c>
      <c r="F123" s="981"/>
      <c r="G123" s="187"/>
      <c r="H123" s="187"/>
      <c r="I123" s="885"/>
      <c r="J123" s="570"/>
    </row>
    <row r="124" spans="2:10">
      <c r="B124" s="1055" t="s">
        <v>122</v>
      </c>
      <c r="C124" s="972"/>
      <c r="D124" s="972" t="s">
        <v>129</v>
      </c>
      <c r="E124" s="981">
        <f>'Cuadro SEFI'!J9</f>
        <v>7.3556691967236354</v>
      </c>
      <c r="F124" s="981"/>
      <c r="G124" s="187"/>
      <c r="H124" s="187"/>
      <c r="I124" s="885"/>
      <c r="J124" s="570"/>
    </row>
    <row r="125" spans="2:10">
      <c r="B125" s="1055" t="s">
        <v>122</v>
      </c>
      <c r="C125" s="972"/>
      <c r="D125" s="972" t="s">
        <v>130</v>
      </c>
      <c r="E125" s="981">
        <f>'Cuadro SEFI'!J7</f>
        <v>1.2491751216486748</v>
      </c>
      <c r="F125" s="981"/>
      <c r="G125" s="187"/>
      <c r="H125" s="187"/>
      <c r="I125" s="885"/>
      <c r="J125" s="570"/>
    </row>
    <row r="126" spans="2:10">
      <c r="B126" s="1055" t="s">
        <v>122</v>
      </c>
      <c r="C126" s="972"/>
      <c r="D126" s="972" t="s">
        <v>131</v>
      </c>
      <c r="E126" s="981">
        <f>'Cuadro SEFI'!J44</f>
        <v>2.9443062548665204</v>
      </c>
      <c r="F126" s="981"/>
      <c r="G126" s="187"/>
      <c r="H126" s="187"/>
      <c r="I126" s="885"/>
      <c r="J126" s="570"/>
    </row>
    <row r="127" spans="2:10">
      <c r="B127" s="1055" t="s">
        <v>122</v>
      </c>
      <c r="C127" s="972"/>
      <c r="D127" s="974"/>
      <c r="E127" s="1000"/>
      <c r="F127" s="1000"/>
    </row>
    <row r="128" spans="2:10" outlineLevel="1">
      <c r="B128" s="1055" t="s">
        <v>122</v>
      </c>
      <c r="C128" s="1103">
        <v>10.199999999999999</v>
      </c>
      <c r="D128" s="972" t="s">
        <v>132</v>
      </c>
      <c r="E128" s="1000"/>
      <c r="F128" s="1000"/>
    </row>
    <row r="129" spans="2:8" outlineLevel="1">
      <c r="B129" s="1055" t="s">
        <v>122</v>
      </c>
      <c r="C129" s="1019"/>
      <c r="D129" s="972" t="s">
        <v>125</v>
      </c>
      <c r="E129" s="980">
        <f>'Cuadro PIB'!$K$36</f>
        <v>0.02</v>
      </c>
      <c r="F129" s="980"/>
      <c r="H129" s="1029"/>
    </row>
    <row r="130" spans="2:8" outlineLevel="1">
      <c r="B130" s="1055" t="s">
        <v>122</v>
      </c>
      <c r="C130" s="1019"/>
      <c r="D130" s="972" t="s">
        <v>133</v>
      </c>
      <c r="E130" s="981">
        <f>'Regla de Taylor '!$G$9</f>
        <v>5</v>
      </c>
      <c r="F130" s="981"/>
      <c r="H130" s="187"/>
    </row>
    <row r="131" spans="2:8" outlineLevel="1">
      <c r="B131" s="1055" t="s">
        <v>122</v>
      </c>
      <c r="C131" s="1019"/>
      <c r="D131" s="1019" t="s">
        <v>134</v>
      </c>
      <c r="E131" s="981">
        <f>'Cuadro SEFI'!$J$30</f>
        <v>2.5029508081115828</v>
      </c>
      <c r="F131" s="981"/>
      <c r="H131" s="187"/>
    </row>
    <row r="132" spans="2:8" outlineLevel="1">
      <c r="B132" s="1055" t="s">
        <v>122</v>
      </c>
      <c r="C132" s="1019"/>
      <c r="D132" s="1019" t="s">
        <v>126</v>
      </c>
      <c r="E132" s="981">
        <f>'TC nominal'!$I$24</f>
        <v>0.41721528213294334</v>
      </c>
      <c r="F132" s="981"/>
      <c r="H132" s="187"/>
    </row>
    <row r="133" spans="2:8" outlineLevel="1">
      <c r="B133" s="1055" t="s">
        <v>122</v>
      </c>
      <c r="C133" s="1019"/>
      <c r="D133" s="1019" t="s">
        <v>127</v>
      </c>
      <c r="E133" s="980">
        <f>'TC nominal'!$I$40</f>
        <v>2.3160213189887157E-2</v>
      </c>
      <c r="F133" s="980"/>
      <c r="H133" s="1029"/>
    </row>
    <row r="134" spans="2:8" outlineLevel="1">
      <c r="B134" s="1055" t="s">
        <v>122</v>
      </c>
      <c r="C134" s="1019"/>
      <c r="D134" s="1019" t="s">
        <v>128</v>
      </c>
      <c r="E134" s="981">
        <f>'Cuadro SEFI'!$J$24</f>
        <v>-7.0207628674229889</v>
      </c>
      <c r="F134" s="981"/>
      <c r="H134" s="187"/>
    </row>
    <row r="135" spans="2:8" outlineLevel="1">
      <c r="B135" s="1055" t="s">
        <v>122</v>
      </c>
      <c r="C135" s="1019"/>
      <c r="D135" s="1019" t="s">
        <v>129</v>
      </c>
      <c r="E135" s="981">
        <f>'Cuadro SEFI'!$J$9</f>
        <v>7.3556691967236354</v>
      </c>
      <c r="F135" s="981"/>
      <c r="H135" s="187"/>
    </row>
    <row r="136" spans="2:8" outlineLevel="1">
      <c r="B136" s="1055" t="s">
        <v>122</v>
      </c>
      <c r="C136" s="1019"/>
      <c r="D136" s="1019" t="s">
        <v>130</v>
      </c>
      <c r="E136" s="981">
        <f>'Cuadro SEFI'!$J$7</f>
        <v>1.2491751216486748</v>
      </c>
      <c r="F136" s="981"/>
      <c r="H136" s="187"/>
    </row>
    <row r="137" spans="2:8" outlineLevel="1">
      <c r="B137" s="1059" t="s">
        <v>122</v>
      </c>
      <c r="C137" s="1104"/>
      <c r="D137" s="1104" t="s">
        <v>131</v>
      </c>
      <c r="E137" s="1101">
        <f>'Cuadro SEFI'!$J$44</f>
        <v>2.9443062548665204</v>
      </c>
      <c r="F137" s="1101"/>
      <c r="H137" s="187"/>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B1:K64"/>
  <sheetViews>
    <sheetView topLeftCell="A6" zoomScale="90" zoomScaleNormal="90" workbookViewId="0">
      <selection activeCell="J43" sqref="J43"/>
    </sheetView>
  </sheetViews>
  <sheetFormatPr baseColWidth="10" defaultColWidth="10.42578125" defaultRowHeight="15"/>
  <cols>
    <col min="1" max="1" width="10.42578125" style="538"/>
    <col min="2" max="2" width="3.85546875" style="538" customWidth="1"/>
    <col min="3" max="3" width="58" style="538" customWidth="1"/>
    <col min="4" max="10" width="11.28515625" style="538" customWidth="1"/>
    <col min="11" max="11" width="3.85546875" style="538" customWidth="1"/>
    <col min="12" max="16384" width="10.42578125" style="538"/>
  </cols>
  <sheetData>
    <row r="1" spans="2:11" ht="15.75" thickBot="1"/>
    <row r="2" spans="2:11" s="1" customFormat="1" ht="33" customHeight="1">
      <c r="B2" s="358"/>
      <c r="C2" s="537" t="s">
        <v>135</v>
      </c>
      <c r="D2" s="537"/>
      <c r="E2" s="537"/>
      <c r="F2" s="537"/>
      <c r="G2" s="537"/>
      <c r="H2" s="537"/>
      <c r="I2" s="537"/>
      <c r="J2" s="537"/>
      <c r="K2" s="554"/>
    </row>
    <row r="3" spans="2:11" s="1" customFormat="1" ht="33" customHeight="1">
      <c r="B3" s="14"/>
      <c r="C3" s="16"/>
      <c r="D3" s="351">
        <v>2008</v>
      </c>
      <c r="E3" s="351">
        <f>D3+1</f>
        <v>2009</v>
      </c>
      <c r="F3" s="351">
        <f>E3+1</f>
        <v>2010</v>
      </c>
      <c r="G3" s="351">
        <f>F3+1</f>
        <v>2011</v>
      </c>
      <c r="H3" s="351">
        <f>G3+1</f>
        <v>2012</v>
      </c>
      <c r="I3" s="351">
        <f>H3+1</f>
        <v>2013</v>
      </c>
      <c r="J3" s="700" t="s">
        <v>136</v>
      </c>
      <c r="K3" s="15"/>
    </row>
    <row r="4" spans="2:11" s="1" customFormat="1" ht="33" customHeight="1">
      <c r="B4" s="106"/>
      <c r="C4" s="107"/>
      <c r="D4" s="107" t="s">
        <v>137</v>
      </c>
      <c r="E4" s="107"/>
      <c r="F4" s="107"/>
      <c r="G4" s="107"/>
      <c r="H4" s="107"/>
      <c r="I4" s="107"/>
      <c r="J4" s="107"/>
      <c r="K4" s="108"/>
    </row>
    <row r="5" spans="2:11">
      <c r="B5" s="540"/>
      <c r="C5" s="541" t="s">
        <v>138</v>
      </c>
      <c r="D5" s="1137"/>
      <c r="E5" s="1137"/>
      <c r="F5" s="1137"/>
      <c r="G5" s="1137"/>
      <c r="H5" s="1137"/>
      <c r="I5" s="1137"/>
      <c r="J5" s="1137"/>
      <c r="K5" s="542"/>
    </row>
    <row r="6" spans="2:11">
      <c r="B6" s="540"/>
      <c r="C6" s="560" t="s">
        <v>28</v>
      </c>
      <c r="D6" s="544">
        <v>2.4011889271438065</v>
      </c>
      <c r="E6" s="544">
        <v>-1.6305202034061921</v>
      </c>
      <c r="F6" s="544">
        <v>4.8594957523365707</v>
      </c>
      <c r="G6" s="544">
        <v>5.6553885268151021</v>
      </c>
      <c r="H6" s="544">
        <v>4.185178984470511</v>
      </c>
      <c r="I6" s="544">
        <v>4.5579929792104679</v>
      </c>
      <c r="J6" s="544">
        <f>PIB_real!L23</f>
        <v>4.4517020977380639</v>
      </c>
      <c r="K6" s="542"/>
    </row>
    <row r="7" spans="2:11" ht="15" customHeight="1">
      <c r="B7" s="540"/>
      <c r="C7" s="18" t="s">
        <v>139</v>
      </c>
      <c r="D7" s="544">
        <v>3.752771259807973</v>
      </c>
      <c r="E7" s="544">
        <v>-1.5797419566411386</v>
      </c>
      <c r="F7" s="544">
        <v>-1.2262807984142379</v>
      </c>
      <c r="G7" s="544">
        <v>-1.3561522298677944</v>
      </c>
      <c r="H7" s="544">
        <v>0.27332419190744062</v>
      </c>
      <c r="I7" s="544">
        <v>0.8113223736493943</v>
      </c>
      <c r="J7" s="544">
        <f>PIB_real!L50</f>
        <v>1.2491751216486748</v>
      </c>
      <c r="K7" s="542"/>
    </row>
    <row r="8" spans="2:11">
      <c r="B8" s="540"/>
      <c r="C8" s="560" t="s">
        <v>140</v>
      </c>
      <c r="D8" s="544">
        <v>11.07794321689568</v>
      </c>
      <c r="E8" s="544">
        <v>8.6233366426515357</v>
      </c>
      <c r="F8" s="544">
        <v>6.7637340471486285</v>
      </c>
      <c r="G8" s="544">
        <v>4.3046030992718531</v>
      </c>
      <c r="H8" s="544">
        <v>4.5272294135840996</v>
      </c>
      <c r="I8" s="544">
        <v>6.8916442576464343</v>
      </c>
      <c r="J8" s="544">
        <f>100*(Deflactor_PIB!L35/Deflactor_PIB!K35-1)</f>
        <v>8.1255597800072632</v>
      </c>
      <c r="K8" s="542"/>
    </row>
    <row r="9" spans="2:11">
      <c r="B9" s="540"/>
      <c r="C9" s="560" t="s">
        <v>102</v>
      </c>
      <c r="D9" s="544">
        <v>13.424650631557796</v>
      </c>
      <c r="E9" s="544">
        <v>7.8427556534629019</v>
      </c>
      <c r="F9" s="544">
        <v>5.6626532109607268</v>
      </c>
      <c r="G9" s="544">
        <v>4.8781491879010872</v>
      </c>
      <c r="H9" s="544">
        <v>4.6130302133459367</v>
      </c>
      <c r="I9" s="544">
        <v>6.1358513231091649</v>
      </c>
      <c r="J9" s="544">
        <f>Inflación!R49</f>
        <v>7.3556691967236354</v>
      </c>
      <c r="K9" s="542"/>
    </row>
    <row r="10" spans="2:11">
      <c r="B10" s="540"/>
      <c r="C10" s="560" t="s">
        <v>141</v>
      </c>
      <c r="D10" s="544">
        <v>13.900307649157256</v>
      </c>
      <c r="E10" s="544">
        <v>4.0477106579453732</v>
      </c>
      <c r="F10" s="544">
        <v>5.8279713038976269</v>
      </c>
      <c r="G10" s="544">
        <v>4.731288000559104</v>
      </c>
      <c r="H10" s="544">
        <v>4.9999999999999858</v>
      </c>
      <c r="I10" s="544">
        <v>6.6042632342528718</v>
      </c>
      <c r="J10" s="544">
        <f>Inflación!R50</f>
        <v>7.0379349857793594</v>
      </c>
      <c r="K10" s="542"/>
    </row>
    <row r="11" spans="2:11">
      <c r="B11" s="540"/>
      <c r="C11" s="560" t="s">
        <v>142</v>
      </c>
      <c r="D11" s="544">
        <v>-1.924650631557796</v>
      </c>
      <c r="E11" s="544">
        <v>0.40724434653709807</v>
      </c>
      <c r="F11" s="544">
        <v>2.3373467890392732</v>
      </c>
      <c r="G11" s="544">
        <v>3.1218508120989128</v>
      </c>
      <c r="H11" s="544">
        <v>4.6369697866540633</v>
      </c>
      <c r="I11" s="544">
        <v>6.0641486768908344</v>
      </c>
      <c r="J11" s="544">
        <f>'Inversión privada real'!K16</f>
        <v>7.3160213189887155</v>
      </c>
      <c r="K11" s="542"/>
    </row>
    <row r="12" spans="2:11">
      <c r="B12" s="540"/>
      <c r="C12" s="560"/>
      <c r="D12" s="544"/>
      <c r="E12" s="544"/>
      <c r="F12" s="544"/>
      <c r="G12" s="544"/>
      <c r="H12" s="544"/>
      <c r="I12" s="544"/>
      <c r="J12" s="544"/>
      <c r="K12" s="542"/>
    </row>
    <row r="13" spans="2:11">
      <c r="B13" s="540"/>
      <c r="C13" s="541" t="s">
        <v>143</v>
      </c>
      <c r="D13" s="544"/>
      <c r="E13" s="544"/>
      <c r="F13" s="544"/>
      <c r="G13" s="544"/>
      <c r="H13" s="544"/>
      <c r="I13" s="544"/>
      <c r="J13" s="544"/>
      <c r="K13" s="542"/>
    </row>
    <row r="14" spans="2:11" ht="15" customHeight="1">
      <c r="B14" s="540"/>
      <c r="C14" s="560" t="s">
        <v>144</v>
      </c>
      <c r="D14" s="544">
        <v>-3.2262497017160712</v>
      </c>
      <c r="E14" s="544">
        <v>-14.73892204904601</v>
      </c>
      <c r="F14" s="544">
        <v>4.9130977351289573</v>
      </c>
      <c r="G14" s="544">
        <v>6.9688891527624364</v>
      </c>
      <c r="H14" s="544">
        <v>8.5805632950289414</v>
      </c>
      <c r="I14" s="544">
        <v>3.6726139432589955</v>
      </c>
      <c r="J14" s="544">
        <f>'Exportaciones reales de bienes'!O25</f>
        <v>4.2607595513330896</v>
      </c>
      <c r="K14" s="542"/>
    </row>
    <row r="15" spans="2:11">
      <c r="B15" s="540"/>
      <c r="C15" s="560" t="s">
        <v>145</v>
      </c>
      <c r="D15" s="544">
        <v>9.6618890701311244</v>
      </c>
      <c r="E15" s="544">
        <v>6.9024072232154055</v>
      </c>
      <c r="F15" s="544">
        <v>-0.68224332692555834</v>
      </c>
      <c r="G15" s="544">
        <v>-0.5276945776739268</v>
      </c>
      <c r="H15" s="544">
        <v>3.3981632632023633</v>
      </c>
      <c r="I15" s="544">
        <v>1.4999999999999858</v>
      </c>
      <c r="J15" s="544">
        <f>'Exportaciones reales de bienes'!F23</f>
        <v>0.41721528213294334</v>
      </c>
      <c r="K15" s="542"/>
    </row>
    <row r="16" spans="2:11">
      <c r="B16" s="540"/>
      <c r="C16" s="560" t="s">
        <v>146</v>
      </c>
      <c r="D16" s="544">
        <v>4.0192093139705065</v>
      </c>
      <c r="E16" s="544">
        <v>-23.499999999999758</v>
      </c>
      <c r="F16" s="544">
        <v>13.985452022712552</v>
      </c>
      <c r="G16" s="544">
        <v>12.161373808277398</v>
      </c>
      <c r="H16" s="544">
        <v>8.7396552327585475</v>
      </c>
      <c r="I16" s="544">
        <v>4.6261334972349522</v>
      </c>
      <c r="J16" s="544">
        <f>'Importaciones reales de bienes'!O24</f>
        <v>5.3384818676777321</v>
      </c>
      <c r="K16" s="542"/>
    </row>
    <row r="17" spans="2:11">
      <c r="B17" s="540"/>
      <c r="C17" s="560" t="s">
        <v>147</v>
      </c>
      <c r="D17" s="544">
        <v>12.14203723276907</v>
      </c>
      <c r="E17" s="544">
        <v>-2.4075477499614664</v>
      </c>
      <c r="F17" s="544">
        <v>-5.2576710841719176</v>
      </c>
      <c r="G17" s="544">
        <v>0.2720852723462599</v>
      </c>
      <c r="H17" s="544">
        <v>1.5719142385974578</v>
      </c>
      <c r="I17" s="544">
        <v>1.4999999999999858</v>
      </c>
      <c r="J17" s="544">
        <f>'Importaciones reales de bienes'!F22</f>
        <v>0.41721528213294334</v>
      </c>
      <c r="K17" s="542"/>
    </row>
    <row r="18" spans="2:11">
      <c r="B18" s="540"/>
      <c r="C18" s="560" t="s">
        <v>148</v>
      </c>
      <c r="D18" s="544">
        <v>-2.2116132574709679</v>
      </c>
      <c r="E18" s="544">
        <v>9.5396260248939324</v>
      </c>
      <c r="F18" s="544">
        <v>4.8293384906247239</v>
      </c>
      <c r="G18" s="544">
        <v>-0.79760967157302964</v>
      </c>
      <c r="H18" s="544">
        <v>1.7979862231551236</v>
      </c>
      <c r="I18" s="544">
        <v>0</v>
      </c>
      <c r="J18" s="544">
        <f>(((1+J15/100)/(1+J17/100))-1)*100</f>
        <v>0</v>
      </c>
      <c r="K18" s="542"/>
    </row>
    <row r="19" spans="2:11" ht="15.75" customHeight="1">
      <c r="B19" s="540"/>
      <c r="C19" s="560" t="s">
        <v>104</v>
      </c>
      <c r="D19" s="545">
        <v>1.8617497958300699</v>
      </c>
      <c r="E19" s="545">
        <v>8.9413279967960335</v>
      </c>
      <c r="F19" s="545">
        <v>-8.2783451944149373</v>
      </c>
      <c r="G19" s="545">
        <v>-3.6949641994698745</v>
      </c>
      <c r="H19" s="545">
        <v>0.86682713238586118</v>
      </c>
      <c r="I19" s="544">
        <v>3.803800793779577</v>
      </c>
      <c r="J19" s="544">
        <f>100*(BP!L58/BP!K58-1)</f>
        <v>6.210417196895035</v>
      </c>
      <c r="K19" s="542"/>
    </row>
    <row r="20" spans="2:11" ht="16.5" customHeight="1">
      <c r="B20" s="540"/>
      <c r="C20" s="560" t="s">
        <v>149</v>
      </c>
      <c r="D20" s="545">
        <v>11.517767516562948</v>
      </c>
      <c r="E20" s="545">
        <v>1.7588708661133712</v>
      </c>
      <c r="F20" s="545">
        <v>-9.247399334795837</v>
      </c>
      <c r="G20" s="545">
        <v>-0.46981304949608171</v>
      </c>
      <c r="H20" s="545">
        <v>8.9945392667467594E-2</v>
      </c>
      <c r="I20" s="544">
        <v>7.514318754941729</v>
      </c>
      <c r="J20" s="544">
        <f>100*(BP!L59/BP!K59-1)</f>
        <v>4.997647053209664</v>
      </c>
      <c r="K20" s="542"/>
    </row>
    <row r="21" spans="2:11">
      <c r="B21" s="540"/>
      <c r="C21" s="560" t="s">
        <v>150</v>
      </c>
      <c r="D21" s="546" t="s">
        <v>151</v>
      </c>
      <c r="E21" s="544">
        <v>0.84628357320288838</v>
      </c>
      <c r="F21" s="544">
        <v>-11.877525470038364</v>
      </c>
      <c r="G21" s="544">
        <v>-5.5412480463424618</v>
      </c>
      <c r="H21" s="544">
        <v>-1.6935657743442967</v>
      </c>
      <c r="I21" s="544">
        <v>-0.73019013628445872</v>
      </c>
      <c r="J21" s="544">
        <f>100*('TC nominal'!I22/'TC nominal'!H22-1)</f>
        <v>0.41721528213294334</v>
      </c>
      <c r="K21" s="542"/>
    </row>
    <row r="22" spans="2:11">
      <c r="B22" s="540"/>
      <c r="C22" s="543"/>
      <c r="D22" s="543"/>
      <c r="E22" s="543"/>
      <c r="F22" s="543"/>
      <c r="G22" s="543"/>
      <c r="H22" s="543"/>
      <c r="I22" s="544"/>
      <c r="J22" s="544"/>
      <c r="K22" s="542"/>
    </row>
    <row r="23" spans="2:11">
      <c r="B23" s="540"/>
      <c r="C23" s="543"/>
      <c r="D23" s="539" t="s">
        <v>152</v>
      </c>
      <c r="E23" s="539"/>
      <c r="F23" s="539"/>
      <c r="G23" s="539"/>
      <c r="H23" s="539"/>
      <c r="I23" s="539"/>
      <c r="J23" s="539"/>
      <c r="K23" s="555"/>
    </row>
    <row r="24" spans="2:11">
      <c r="B24" s="540"/>
      <c r="C24" s="543" t="s">
        <v>106</v>
      </c>
      <c r="D24" s="544">
        <v>-10.464345205920877</v>
      </c>
      <c r="E24" s="544">
        <v>-1.0412049408559947</v>
      </c>
      <c r="F24" s="544">
        <v>-3.5232025167464363</v>
      </c>
      <c r="G24" s="544">
        <v>-5.76635796739399</v>
      </c>
      <c r="H24" s="544">
        <v>-6.581076670284129</v>
      </c>
      <c r="I24" s="544">
        <v>-6.6535269521935003</v>
      </c>
      <c r="J24" s="544">
        <f>100*(PIB_Nominal!L26/PIB_Nominal!L6)</f>
        <v>-7.0207628674229889</v>
      </c>
      <c r="K24" s="542"/>
    </row>
    <row r="25" spans="2:11">
      <c r="B25" s="540"/>
      <c r="C25" s="543" t="s">
        <v>153</v>
      </c>
      <c r="D25" s="544">
        <v>-10.394906513510989</v>
      </c>
      <c r="E25" s="544">
        <v>0.62446843561779175</v>
      </c>
      <c r="F25" s="544">
        <v>-2.4541237970188718</v>
      </c>
      <c r="G25" s="544">
        <v>-4.8241089607437413</v>
      </c>
      <c r="H25" s="544">
        <v>-5.1845418652819788</v>
      </c>
      <c r="I25" s="544">
        <v>-5.4825381133525575</v>
      </c>
      <c r="J25" s="544">
        <f>100*(PIB_Nominal!L14/PIB_Nominal!L6)</f>
        <v>-5.9252433994185889</v>
      </c>
      <c r="K25" s="542"/>
    </row>
    <row r="26" spans="2:11">
      <c r="B26" s="540"/>
      <c r="C26" s="543" t="s">
        <v>107</v>
      </c>
      <c r="D26" s="544">
        <v>-8.8837946418006908</v>
      </c>
      <c r="E26" s="544">
        <v>-2.6765800725748798</v>
      </c>
      <c r="F26" s="544">
        <v>-5.5293996600334898</v>
      </c>
      <c r="G26" s="544">
        <v>-6.6219847109948899</v>
      </c>
      <c r="H26" s="544">
        <v>-6.5723177005123903</v>
      </c>
      <c r="I26" s="544">
        <v>-6.5879871589259604</v>
      </c>
      <c r="J26" s="544">
        <f>100*(BP!L21-BP!L19)/BP!L57</f>
        <v>-6.5050843983684157</v>
      </c>
      <c r="K26" s="542"/>
    </row>
    <row r="27" spans="2:11">
      <c r="B27" s="540"/>
      <c r="C27" s="543" t="s">
        <v>154</v>
      </c>
      <c r="D27" s="547">
        <v>-314.90000000000055</v>
      </c>
      <c r="E27" s="547">
        <v>267.5</v>
      </c>
      <c r="F27" s="547">
        <v>563.5</v>
      </c>
      <c r="G27" s="547">
        <v>128.60000000000036</v>
      </c>
      <c r="H27" s="547">
        <v>49.971608531027414</v>
      </c>
      <c r="I27" s="547">
        <v>-29.228791176410596</v>
      </c>
      <c r="J27" s="548">
        <f>(PII!L13-PII!K13)</f>
        <v>-244.54656207462904</v>
      </c>
      <c r="K27" s="542"/>
    </row>
    <row r="28" spans="2:11">
      <c r="B28" s="540"/>
      <c r="C28" s="543" t="s">
        <v>108</v>
      </c>
      <c r="D28" s="548">
        <v>3798.7</v>
      </c>
      <c r="E28" s="548">
        <v>4066.2</v>
      </c>
      <c r="F28" s="548">
        <v>4629.7</v>
      </c>
      <c r="G28" s="548">
        <v>4758.3</v>
      </c>
      <c r="H28" s="548">
        <v>4808.2716085310276</v>
      </c>
      <c r="I28" s="548">
        <v>4779.042817354617</v>
      </c>
      <c r="J28" s="548">
        <f>PII!L13</f>
        <v>4534.496255279988</v>
      </c>
      <c r="K28" s="542"/>
    </row>
    <row r="29" spans="2:11">
      <c r="B29" s="540"/>
      <c r="C29" s="543" t="s">
        <v>155</v>
      </c>
      <c r="D29" s="547"/>
      <c r="E29" s="547"/>
      <c r="F29" s="549" t="s">
        <v>151</v>
      </c>
      <c r="G29" s="549" t="s">
        <v>156</v>
      </c>
      <c r="H29" s="549" t="s">
        <v>156</v>
      </c>
      <c r="I29" s="546" t="s">
        <v>156</v>
      </c>
      <c r="J29" s="544">
        <f>BP!L44</f>
        <v>0</v>
      </c>
      <c r="K29" s="542"/>
    </row>
    <row r="30" spans="2:11" ht="18" customHeight="1">
      <c r="B30" s="540"/>
      <c r="C30" s="543" t="s">
        <v>109</v>
      </c>
      <c r="D30" s="544">
        <v>2.7709037488871773</v>
      </c>
      <c r="E30" s="544">
        <v>3.9728074212779716</v>
      </c>
      <c r="F30" s="544">
        <v>3.7694256749740278</v>
      </c>
      <c r="G30" s="544">
        <v>3.3062959082019447</v>
      </c>
      <c r="H30" s="544">
        <v>3.0135026264029836</v>
      </c>
      <c r="I30" s="544">
        <v>2.8204427291075169</v>
      </c>
      <c r="J30" s="544">
        <f>J28/((BP!L8+BP!L11)/12)</f>
        <v>2.5029508081115828</v>
      </c>
      <c r="K30" s="542"/>
    </row>
    <row r="31" spans="2:11">
      <c r="B31" s="540"/>
      <c r="C31" s="543"/>
      <c r="D31" s="543"/>
      <c r="E31" s="543"/>
      <c r="F31" s="543"/>
      <c r="G31" s="543"/>
      <c r="H31" s="543"/>
      <c r="I31" s="544"/>
      <c r="J31" s="544"/>
      <c r="K31" s="542"/>
    </row>
    <row r="32" spans="2:11" ht="15.75" customHeight="1">
      <c r="B32" s="540"/>
      <c r="C32" s="541" t="s">
        <v>157</v>
      </c>
      <c r="D32" s="539" t="s">
        <v>158</v>
      </c>
      <c r="E32" s="539"/>
      <c r="F32" s="539"/>
      <c r="G32" s="539"/>
      <c r="H32" s="539"/>
      <c r="I32" s="539"/>
      <c r="J32" s="539"/>
      <c r="K32" s="555"/>
    </row>
    <row r="33" spans="2:11">
      <c r="B33" s="540"/>
      <c r="C33" s="543" t="s">
        <v>159</v>
      </c>
      <c r="D33" s="544">
        <v>16.896242010112651</v>
      </c>
      <c r="E33" s="544">
        <v>15.00770651190688</v>
      </c>
      <c r="F33" s="544">
        <v>15.48672493702602</v>
      </c>
      <c r="G33" s="544">
        <v>15.564532530418187</v>
      </c>
      <c r="H33" s="544">
        <v>15.462876438605665</v>
      </c>
      <c r="I33" s="544">
        <v>15.332846646390905</v>
      </c>
      <c r="J33" s="544">
        <f>Gob_EOG_Ind!L6</f>
        <v>15.283678815252179</v>
      </c>
      <c r="K33" s="542"/>
    </row>
    <row r="34" spans="2:11">
      <c r="B34" s="540"/>
      <c r="C34" s="543" t="s">
        <v>160</v>
      </c>
      <c r="D34" s="544">
        <v>15.899072124962293</v>
      </c>
      <c r="E34" s="544">
        <v>18.195114348940056</v>
      </c>
      <c r="F34" s="544">
        <v>20.817858570160698</v>
      </c>
      <c r="G34" s="544">
        <v>19.614825458688181</v>
      </c>
      <c r="H34" s="544">
        <v>20.017704849038701</v>
      </c>
      <c r="I34" s="544">
        <v>23.152225288349655</v>
      </c>
      <c r="J34" s="544">
        <f>Gob_EOG_Ind!L7</f>
        <v>27.711480666625345</v>
      </c>
      <c r="K34" s="542"/>
    </row>
    <row r="35" spans="2:11">
      <c r="B35" s="540"/>
      <c r="C35" s="543" t="s">
        <v>161</v>
      </c>
      <c r="D35" s="544">
        <v>13.591400893531334</v>
      </c>
      <c r="E35" s="544">
        <v>15.908288328475193</v>
      </c>
      <c r="F35" s="544">
        <v>18.540138188163944</v>
      </c>
      <c r="G35" s="544">
        <v>17.301763952671795</v>
      </c>
      <c r="H35" s="544">
        <v>17.788750056468192</v>
      </c>
      <c r="I35" s="544">
        <v>19.689076316559493</v>
      </c>
      <c r="J35" s="544">
        <f>Gob_EOG_Ind!L8</f>
        <v>22.459536517750198</v>
      </c>
      <c r="K35" s="542"/>
    </row>
    <row r="36" spans="2:11">
      <c r="B36" s="540"/>
      <c r="C36" s="543" t="s">
        <v>112</v>
      </c>
      <c r="D36" s="544">
        <v>2.8878592022786429</v>
      </c>
      <c r="E36" s="544">
        <v>-1.4347759598905447</v>
      </c>
      <c r="F36" s="544">
        <v>-3.8157089362842256</v>
      </c>
      <c r="G36" s="544">
        <v>-2.5765204181185717</v>
      </c>
      <c r="H36" s="544">
        <v>-3.6374832733310112</v>
      </c>
      <c r="I36" s="544">
        <v>-4.4867052528060709</v>
      </c>
      <c r="J36" s="544">
        <f>Gob_EOG_Ind!L14</f>
        <v>-7.2984130990762681</v>
      </c>
      <c r="K36" s="542"/>
    </row>
    <row r="37" spans="2:11">
      <c r="B37" s="540"/>
      <c r="C37" s="543" t="s">
        <v>113</v>
      </c>
      <c r="D37" s="544">
        <v>2.7016740764359723</v>
      </c>
      <c r="E37" s="544">
        <v>-0.6133827203376917</v>
      </c>
      <c r="F37" s="544">
        <v>-2.7973698415836901</v>
      </c>
      <c r="G37" s="544">
        <v>-1.4706820309713426</v>
      </c>
      <c r="H37" s="544">
        <v>-2.3808241986366676</v>
      </c>
      <c r="I37" s="544">
        <v>-4.5345448267265649</v>
      </c>
      <c r="J37" s="544">
        <f>Gob_EOG_Ind!L26</f>
        <v>-7.4848507560109168</v>
      </c>
      <c r="K37" s="542"/>
    </row>
    <row r="38" spans="2:11">
      <c r="B38" s="540"/>
      <c r="C38" s="543" t="s">
        <v>114</v>
      </c>
      <c r="D38" s="544"/>
      <c r="E38" s="544">
        <v>3.3150567967736642</v>
      </c>
      <c r="F38" s="544">
        <v>2.1839871212459983</v>
      </c>
      <c r="G38" s="544">
        <v>-1.3266878106123474</v>
      </c>
      <c r="H38" s="544">
        <v>0.91014216766532496</v>
      </c>
      <c r="I38" s="544">
        <v>2.1537206280898973</v>
      </c>
      <c r="J38" s="544">
        <f>-(J37-I37)</f>
        <v>2.9503059292843519</v>
      </c>
      <c r="K38" s="542"/>
    </row>
    <row r="39" spans="2:11">
      <c r="B39" s="540"/>
      <c r="C39" s="543" t="s">
        <v>111</v>
      </c>
      <c r="D39" s="544">
        <v>0.58018797084768414</v>
      </c>
      <c r="E39" s="544">
        <v>-3.7216019803554099</v>
      </c>
      <c r="F39" s="544">
        <v>-6.0934293182809816</v>
      </c>
      <c r="G39" s="544">
        <v>-4.8895819241349576</v>
      </c>
      <c r="H39" s="544">
        <v>-5.8664380659015212</v>
      </c>
      <c r="I39" s="544">
        <v>-7.9498542245962298</v>
      </c>
      <c r="J39" s="544">
        <f>Gob_EOG_Ind!L13</f>
        <v>-12.550357247951416</v>
      </c>
      <c r="K39" s="542"/>
    </row>
    <row r="40" spans="2:11">
      <c r="B40" s="540"/>
      <c r="C40" s="543" t="s">
        <v>115</v>
      </c>
      <c r="D40" s="544">
        <v>41.730547551128616</v>
      </c>
      <c r="E40" s="544">
        <v>42.947517002979772</v>
      </c>
      <c r="F40" s="544">
        <v>43.945377262612013</v>
      </c>
      <c r="G40" s="544">
        <v>44.055856714704845</v>
      </c>
      <c r="H40" s="544">
        <v>44.600624511314479</v>
      </c>
      <c r="I40" s="544">
        <v>48.102737695476648</v>
      </c>
      <c r="J40" s="544">
        <f>Gob_Stock_Ind!L7</f>
        <v>55.470857232950365</v>
      </c>
      <c r="K40" s="542"/>
    </row>
    <row r="41" spans="2:11">
      <c r="B41" s="540"/>
      <c r="C41" s="543"/>
      <c r="D41" s="543"/>
      <c r="E41" s="543"/>
      <c r="F41" s="543"/>
      <c r="G41" s="543"/>
      <c r="H41" s="543"/>
      <c r="I41" s="544"/>
      <c r="J41" s="544"/>
      <c r="K41" s="542"/>
    </row>
    <row r="42" spans="2:11" ht="15.6" customHeight="1">
      <c r="B42" s="540"/>
      <c r="C42" s="541" t="s">
        <v>116</v>
      </c>
      <c r="D42" s="543"/>
      <c r="E42" s="543"/>
      <c r="F42" s="543"/>
      <c r="G42" s="543"/>
      <c r="H42" s="543"/>
      <c r="I42" s="543"/>
      <c r="J42" s="543"/>
      <c r="K42" s="542"/>
    </row>
    <row r="43" spans="2:11">
      <c r="B43" s="540"/>
      <c r="C43" s="543" t="s">
        <v>117</v>
      </c>
      <c r="D43" s="544">
        <v>17.401568400401462</v>
      </c>
      <c r="E43" s="544">
        <v>8.0332619156457756</v>
      </c>
      <c r="F43" s="544">
        <v>0.79500650702062026</v>
      </c>
      <c r="G43" s="544">
        <v>7.3200398965608784</v>
      </c>
      <c r="H43" s="544">
        <v>9.1000000000001737</v>
      </c>
      <c r="I43" s="544">
        <v>9.0006393646420495</v>
      </c>
      <c r="J43" s="544">
        <f>(MON_PSD!L17-MON_PSD!K17)/MON_PSD!K17*100</f>
        <v>8.1977180652962218</v>
      </c>
      <c r="K43" s="542"/>
    </row>
    <row r="44" spans="2:11">
      <c r="B44" s="540"/>
      <c r="C44" s="543" t="s">
        <v>118</v>
      </c>
      <c r="D44" s="546">
        <v>31.618641837669053</v>
      </c>
      <c r="E44" s="546">
        <v>5.2990319807857693</v>
      </c>
      <c r="F44" s="546">
        <v>4.9429232491799615</v>
      </c>
      <c r="G44" s="546">
        <v>12.39287832682068</v>
      </c>
      <c r="H44" s="546">
        <v>8.0410538882814411</v>
      </c>
      <c r="I44" s="546">
        <v>6.8386354631617987</v>
      </c>
      <c r="J44" s="546">
        <f>(MON_PSD!L13-MON_PSD!K13)/MON_PSD!K13*100</f>
        <v>2.9443062548665204</v>
      </c>
      <c r="K44" s="542"/>
    </row>
    <row r="45" spans="2:11">
      <c r="B45" s="540"/>
      <c r="C45" s="543" t="s">
        <v>162</v>
      </c>
      <c r="D45" s="550">
        <v>1.8087583224305759</v>
      </c>
      <c r="E45" s="550">
        <v>1.7203628336154217</v>
      </c>
      <c r="F45" s="550">
        <v>1.8470300132064119</v>
      </c>
      <c r="G45" s="550">
        <v>1.9558776595048764</v>
      </c>
      <c r="H45" s="550">
        <v>1.9678114938596329</v>
      </c>
      <c r="I45" s="544">
        <v>2.0168154347994856</v>
      </c>
      <c r="J45" s="544">
        <f>MON_IND!L27</f>
        <v>2.097744788475647</v>
      </c>
      <c r="K45" s="542"/>
    </row>
    <row r="46" spans="2:11">
      <c r="B46" s="540"/>
      <c r="C46" s="543" t="s">
        <v>163</v>
      </c>
      <c r="D46" s="550">
        <v>7.9574999999999996</v>
      </c>
      <c r="E46" s="550">
        <v>9.5399999999999991</v>
      </c>
      <c r="F46" s="550">
        <v>8.2550000000000008</v>
      </c>
      <c r="G46" s="550">
        <v>5.6416666666666702</v>
      </c>
      <c r="H46" s="546">
        <v>5</v>
      </c>
      <c r="I46" s="544">
        <v>8.8660414593936352</v>
      </c>
      <c r="J46" s="544">
        <f>'Regla de Taylor '!D9</f>
        <v>9.6716905157123403</v>
      </c>
      <c r="K46" s="542"/>
    </row>
    <row r="47" spans="2:11">
      <c r="B47" s="540"/>
      <c r="C47" s="543" t="s">
        <v>164</v>
      </c>
      <c r="D47" s="550">
        <v>11.5</v>
      </c>
      <c r="E47" s="550">
        <v>8.25</v>
      </c>
      <c r="F47" s="550">
        <v>8</v>
      </c>
      <c r="G47" s="550">
        <v>8</v>
      </c>
      <c r="H47" s="546">
        <v>9.25</v>
      </c>
      <c r="I47" s="544">
        <v>12.2</v>
      </c>
      <c r="J47" s="544">
        <f>DD!$H33</f>
        <v>14.67169051571234</v>
      </c>
      <c r="K47" s="542"/>
    </row>
    <row r="48" spans="2:11">
      <c r="B48" s="540"/>
      <c r="C48" s="543"/>
      <c r="D48" s="550"/>
      <c r="E48" s="550"/>
      <c r="F48" s="550"/>
      <c r="G48" s="550"/>
      <c r="H48" s="546"/>
      <c r="I48" s="544"/>
      <c r="J48" s="544"/>
      <c r="K48" s="542"/>
    </row>
    <row r="49" spans="2:11">
      <c r="B49" s="540"/>
      <c r="C49" s="543"/>
      <c r="D49" s="539" t="s">
        <v>165</v>
      </c>
      <c r="E49" s="539"/>
      <c r="F49" s="539"/>
      <c r="G49" s="539"/>
      <c r="H49" s="539"/>
      <c r="I49" s="539"/>
      <c r="J49" s="539"/>
      <c r="K49" s="555"/>
    </row>
    <row r="50" spans="2:11">
      <c r="B50" s="540"/>
      <c r="C50" s="543" t="s">
        <v>166</v>
      </c>
      <c r="D50" s="544">
        <v>-0.62737612413867272</v>
      </c>
      <c r="E50" s="544">
        <v>5.6537956687392805</v>
      </c>
      <c r="F50" s="544">
        <v>0.20412809698485751</v>
      </c>
      <c r="G50" s="544">
        <v>-4.2714935096764437</v>
      </c>
      <c r="H50" s="544">
        <v>5.9029335890245216</v>
      </c>
      <c r="I50" s="544">
        <v>0.70630247415830227</v>
      </c>
      <c r="J50" s="544">
        <f>(MON_PSD!L7-MON_PSD!K7)/MON_PSD!K17*100</f>
        <v>-1.0952039724989</v>
      </c>
      <c r="K50" s="542"/>
    </row>
    <row r="51" spans="2:11">
      <c r="B51" s="540"/>
      <c r="C51" s="543" t="s">
        <v>167</v>
      </c>
      <c r="D51" s="544">
        <v>26.476064010992051</v>
      </c>
      <c r="E51" s="544">
        <v>7.8131245653180734</v>
      </c>
      <c r="F51" s="544">
        <v>4.8988597471496078</v>
      </c>
      <c r="G51" s="544">
        <v>14.093458790447267</v>
      </c>
      <c r="H51" s="544">
        <v>10.639450708311911</v>
      </c>
      <c r="I51" s="544">
        <v>11.689679610491874</v>
      </c>
      <c r="J51" s="544">
        <f>(MON_PSD!L9-MON_PSD!K9)/MON_PSD!K17*100</f>
        <v>10.285090722019479</v>
      </c>
      <c r="K51" s="542"/>
    </row>
    <row r="52" spans="2:11">
      <c r="B52" s="540"/>
      <c r="C52" s="543" t="s">
        <v>168</v>
      </c>
      <c r="D52" s="544">
        <v>0.48495402143382227</v>
      </c>
      <c r="E52" s="544">
        <v>2.929731717488981</v>
      </c>
      <c r="F52" s="544">
        <v>0.45893224483794559</v>
      </c>
      <c r="G52" s="544">
        <v>2.5035948420273599</v>
      </c>
      <c r="H52" s="544">
        <v>2.7639696254561312</v>
      </c>
      <c r="I52" s="544">
        <v>5.0568684118436185</v>
      </c>
      <c r="J52" s="544">
        <f>(MON_PSD!L10-MON_PSD!K10)/MON_PSD!K17*100</f>
        <v>7.4860420517441906</v>
      </c>
      <c r="K52" s="542"/>
    </row>
    <row r="53" spans="2:11">
      <c r="B53" s="540"/>
      <c r="C53" s="543" t="s">
        <v>169</v>
      </c>
      <c r="D53" s="544">
        <v>25.991109989558232</v>
      </c>
      <c r="E53" s="544">
        <v>4.8833928478290991</v>
      </c>
      <c r="F53" s="544">
        <v>4.4399275023116482</v>
      </c>
      <c r="G53" s="544">
        <v>11.589863948419914</v>
      </c>
      <c r="H53" s="544">
        <v>7.8754810828557789</v>
      </c>
      <c r="I53" s="544">
        <v>6.6328111986482554</v>
      </c>
      <c r="J53" s="544">
        <f>(MON_PSD!L13-MON_PSD!K13)/MON_PSD!K17*100</f>
        <v>2.7990486702752881</v>
      </c>
      <c r="K53" s="542"/>
    </row>
    <row r="54" spans="2:11">
      <c r="B54" s="540"/>
      <c r="C54" s="543" t="s">
        <v>170</v>
      </c>
      <c r="D54" s="544">
        <v>-8.4471194864519283</v>
      </c>
      <c r="E54" s="544">
        <v>-5.4336583184115819</v>
      </c>
      <c r="F54" s="544">
        <v>-4.3079813371138265</v>
      </c>
      <c r="G54" s="544">
        <v>-2.5019253842099505</v>
      </c>
      <c r="H54" s="544">
        <v>-7.4423842973362673</v>
      </c>
      <c r="I54" s="544">
        <v>-3.3953427200081232</v>
      </c>
      <c r="J54" s="544">
        <f>(MON_PSD!L14-MON_PSD!K14)/MON_PSD!K17*100</f>
        <v>-0.99216868422435378</v>
      </c>
      <c r="K54" s="542"/>
    </row>
    <row r="55" spans="2:11">
      <c r="B55" s="540"/>
      <c r="C55" s="543"/>
      <c r="D55" s="543"/>
      <c r="E55" s="543"/>
      <c r="F55" s="543"/>
      <c r="G55" s="543"/>
      <c r="H55" s="543"/>
      <c r="I55" s="544"/>
      <c r="J55" s="544"/>
      <c r="K55" s="542"/>
    </row>
    <row r="56" spans="2:11">
      <c r="B56" s="540"/>
      <c r="C56" s="541" t="s">
        <v>171</v>
      </c>
      <c r="D56" s="539" t="s">
        <v>172</v>
      </c>
      <c r="E56" s="539"/>
      <c r="F56" s="539"/>
      <c r="G56" s="539"/>
      <c r="H56" s="539"/>
      <c r="I56" s="539"/>
      <c r="J56" s="539"/>
      <c r="K56" s="555"/>
    </row>
    <row r="57" spans="2:11">
      <c r="B57" s="540"/>
      <c r="C57" s="543" t="s">
        <v>173</v>
      </c>
      <c r="D57" s="544">
        <v>27.44132621618196</v>
      </c>
      <c r="E57" s="544">
        <v>15.642270566004795</v>
      </c>
      <c r="F57" s="544">
        <v>19.64463672392208</v>
      </c>
      <c r="G57" s="544">
        <v>22.067720292923365</v>
      </c>
      <c r="H57" s="544">
        <v>21.240236957741029</v>
      </c>
      <c r="I57" s="544">
        <v>20.963676639121054</v>
      </c>
      <c r="J57" s="544">
        <f>PIB_Nominal!L35</f>
        <v>20.964148905670868</v>
      </c>
      <c r="K57" s="542"/>
    </row>
    <row r="58" spans="2:11">
      <c r="B58" s="540"/>
      <c r="C58" s="543" t="s">
        <v>174</v>
      </c>
      <c r="D58" s="544">
        <v>16.976981010261081</v>
      </c>
      <c r="E58" s="544">
        <v>14.60106562514879</v>
      </c>
      <c r="F58" s="544">
        <v>16.121434207175653</v>
      </c>
      <c r="G58" s="544">
        <v>16.301362325529396</v>
      </c>
      <c r="H58" s="544">
        <v>14.659160287456888</v>
      </c>
      <c r="I58" s="544">
        <v>14.310149686927549</v>
      </c>
      <c r="J58" s="544">
        <f>PIB_Nominal!L34</f>
        <v>13.943386038247871</v>
      </c>
      <c r="K58" s="542"/>
    </row>
    <row r="59" spans="2:11">
      <c r="B59" s="540"/>
      <c r="C59" s="543"/>
      <c r="D59" s="544"/>
      <c r="E59" s="544"/>
      <c r="F59" s="544"/>
      <c r="G59" s="544"/>
      <c r="H59" s="544"/>
      <c r="I59" s="544"/>
      <c r="J59" s="544"/>
      <c r="K59" s="542"/>
    </row>
    <row r="60" spans="2:11">
      <c r="B60" s="540"/>
      <c r="C60" s="543" t="s">
        <v>175</v>
      </c>
      <c r="D60" s="551">
        <v>14737.185928738949</v>
      </c>
      <c r="E60" s="551">
        <v>15747.009032492888</v>
      </c>
      <c r="F60" s="551">
        <v>17629.077878645952</v>
      </c>
      <c r="G60" s="552">
        <v>19427.849144138439</v>
      </c>
      <c r="H60" s="548">
        <v>21157.293165921488</v>
      </c>
      <c r="I60" s="548">
        <v>23646.185911788263</v>
      </c>
      <c r="J60" s="548">
        <f>PIB_Nominal!L6</f>
        <v>26705.762973114495</v>
      </c>
      <c r="K60" s="542"/>
    </row>
    <row r="61" spans="2:11">
      <c r="B61" s="540"/>
      <c r="C61" s="543" t="s">
        <v>176</v>
      </c>
      <c r="D61" s="553">
        <v>28.004924700687575</v>
      </c>
      <c r="E61" s="553">
        <v>27.467887381106227</v>
      </c>
      <c r="F61" s="553">
        <v>33.5262436065034</v>
      </c>
      <c r="G61" s="553">
        <v>38.364631011331831</v>
      </c>
      <c r="H61" s="553">
        <v>41.420758457271099</v>
      </c>
      <c r="I61" s="544">
        <v>44.597014606219368</v>
      </c>
      <c r="J61" s="544">
        <f>BP!L57/1000</f>
        <v>47.422294462473332</v>
      </c>
      <c r="K61" s="542"/>
    </row>
    <row r="62" spans="2:11" ht="12" customHeight="1">
      <c r="B62" s="540"/>
      <c r="C62" s="543"/>
      <c r="D62" s="543"/>
      <c r="E62" s="543"/>
      <c r="F62" s="543"/>
      <c r="G62" s="543"/>
      <c r="H62" s="543"/>
      <c r="I62" s="544"/>
      <c r="J62" s="544"/>
      <c r="K62" s="542"/>
    </row>
    <row r="63" spans="2:11" ht="15.75" thickBot="1">
      <c r="B63" s="556"/>
      <c r="C63" s="557" t="s">
        <v>177</v>
      </c>
      <c r="D63" s="557"/>
      <c r="E63" s="557"/>
      <c r="F63" s="557"/>
      <c r="G63" s="557"/>
      <c r="H63" s="557"/>
      <c r="I63" s="558"/>
      <c r="J63" s="558"/>
      <c r="K63" s="559"/>
    </row>
    <row r="64" spans="2:11">
      <c r="I64" s="883"/>
      <c r="J64" s="883"/>
    </row>
  </sheetData>
  <dataConsolidate/>
  <mergeCells count="1">
    <mergeCell ref="D5:J5"/>
  </mergeCells>
  <pageMargins left="0.61" right="0.34" top="0.48" bottom="0.39" header="0.31" footer="0.2"/>
  <pageSetup scale="77" orientation="portrait" verticalDpi="4294967292" r:id="rId1"/>
  <headerFooter alignWithMargins="0">
    <oddFooter>&amp;C&amp;A</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499984740745262"/>
    <pageSetUpPr fitToPage="1"/>
  </sheetPr>
  <dimension ref="B1:AA57"/>
  <sheetViews>
    <sheetView zoomScale="80" zoomScaleNormal="80" workbookViewId="0">
      <selection activeCell="J28" sqref="J28"/>
    </sheetView>
  </sheetViews>
  <sheetFormatPr baseColWidth="10" defaultColWidth="10.42578125" defaultRowHeight="15" outlineLevelRow="1" outlineLevelCol="1"/>
  <cols>
    <col min="1" max="1" width="10.42578125" style="201"/>
    <col min="2" max="2" width="4.140625" style="201" customWidth="1"/>
    <col min="3" max="3" width="34.85546875" style="201" customWidth="1"/>
    <col min="4" max="4" width="26.42578125" style="201" customWidth="1"/>
    <col min="5" max="5" width="11.5703125" style="201" customWidth="1"/>
    <col min="6" max="6" width="9.7109375" style="201" customWidth="1"/>
    <col min="7" max="8" width="10.42578125" style="201" customWidth="1"/>
    <col min="9" max="9" width="11" style="201" customWidth="1"/>
    <col min="10" max="10" width="15" style="201" customWidth="1"/>
    <col min="11" max="11" width="22" style="201" customWidth="1"/>
    <col min="12" max="12" width="13.5703125" style="201" customWidth="1"/>
    <col min="13" max="13" width="17.85546875" style="201" customWidth="1"/>
    <col min="14" max="14" width="4.140625" style="201" customWidth="1"/>
    <col min="15" max="15" width="18.5703125" style="201" customWidth="1"/>
    <col min="16" max="16" width="15.5703125" style="201" hidden="1" customWidth="1" outlineLevel="1"/>
    <col min="17" max="21" width="10.42578125" style="201" hidden="1" customWidth="1" outlineLevel="1"/>
    <col min="22" max="22" width="12" style="201" hidden="1" customWidth="1" outlineLevel="1"/>
    <col min="23" max="24" width="10.42578125" style="201" hidden="1" customWidth="1" outlineLevel="1"/>
    <col min="25" max="26" width="8.85546875" style="201" hidden="1" customWidth="1" outlineLevel="1"/>
    <col min="27" max="27" width="12.42578125" style="201" bestFit="1" customWidth="1" collapsed="1"/>
    <col min="28" max="16384" width="10.42578125" style="201"/>
  </cols>
  <sheetData>
    <row r="1" spans="2:18" ht="15.75" thickBot="1"/>
    <row r="2" spans="2:18" ht="33" customHeight="1">
      <c r="B2" s="572"/>
      <c r="C2" s="537" t="s">
        <v>178</v>
      </c>
      <c r="D2" s="537"/>
      <c r="E2" s="537"/>
      <c r="F2" s="537"/>
      <c r="G2" s="537"/>
      <c r="H2" s="537"/>
      <c r="I2" s="537"/>
      <c r="J2" s="537"/>
      <c r="K2" s="537"/>
      <c r="L2" s="537"/>
      <c r="M2" s="537"/>
      <c r="N2" s="573"/>
    </row>
    <row r="3" spans="2:18" ht="33" customHeight="1">
      <c r="B3" s="154"/>
      <c r="C3" s="626" t="s">
        <v>179</v>
      </c>
      <c r="D3" s="626"/>
      <c r="E3" s="626"/>
      <c r="F3" s="626"/>
      <c r="G3" s="626"/>
      <c r="H3" s="626"/>
      <c r="I3" s="626"/>
      <c r="J3" s="626"/>
      <c r="K3" s="626"/>
      <c r="L3" s="626"/>
      <c r="M3" s="626"/>
      <c r="N3" s="182"/>
    </row>
    <row r="4" spans="2:18" ht="15" customHeight="1" thickBot="1">
      <c r="B4" s="154"/>
      <c r="C4" s="153"/>
      <c r="D4" s="1139">
        <v>2013</v>
      </c>
      <c r="E4" s="1139"/>
      <c r="F4" s="153"/>
      <c r="G4" s="1139">
        <v>2014</v>
      </c>
      <c r="H4" s="1139"/>
      <c r="I4" s="1139"/>
      <c r="J4" s="1139"/>
      <c r="K4" s="1139"/>
      <c r="L4" s="1139"/>
      <c r="M4" s="1139"/>
      <c r="N4" s="565"/>
    </row>
    <row r="5" spans="2:18" ht="15" customHeight="1" thickBot="1">
      <c r="B5" s="154"/>
      <c r="C5" s="153"/>
      <c r="D5" s="1138" t="s">
        <v>180</v>
      </c>
      <c r="E5" s="1138"/>
      <c r="F5" s="196"/>
      <c r="G5" s="574"/>
      <c r="H5" s="574" t="s">
        <v>181</v>
      </c>
      <c r="I5" s="574"/>
      <c r="J5" s="196" t="s">
        <v>182</v>
      </c>
      <c r="K5" s="1138" t="s">
        <v>180</v>
      </c>
      <c r="L5" s="1138"/>
      <c r="M5" s="196" t="s">
        <v>183</v>
      </c>
      <c r="N5" s="567"/>
    </row>
    <row r="6" spans="2:18" ht="15" customHeight="1">
      <c r="B6" s="154"/>
      <c r="C6" s="153"/>
      <c r="D6" s="575" t="s">
        <v>184</v>
      </c>
      <c r="E6" s="575" t="s">
        <v>185</v>
      </c>
      <c r="F6" s="196"/>
      <c r="G6" s="196" t="s">
        <v>186</v>
      </c>
      <c r="H6" s="196" t="s">
        <v>187</v>
      </c>
      <c r="I6" s="196" t="s">
        <v>188</v>
      </c>
      <c r="J6" s="196" t="s">
        <v>189</v>
      </c>
      <c r="K6" s="575" t="s">
        <v>184</v>
      </c>
      <c r="L6" s="575" t="s">
        <v>190</v>
      </c>
      <c r="M6" s="196" t="s">
        <v>191</v>
      </c>
      <c r="N6" s="567"/>
    </row>
    <row r="7" spans="2:18" ht="15" customHeight="1">
      <c r="B7" s="154"/>
      <c r="C7" s="153"/>
      <c r="D7" s="196" t="s">
        <v>192</v>
      </c>
      <c r="E7" s="196" t="s">
        <v>193</v>
      </c>
      <c r="F7" s="196"/>
      <c r="G7" s="196" t="s">
        <v>194</v>
      </c>
      <c r="H7" s="196" t="s">
        <v>195</v>
      </c>
      <c r="I7" s="196" t="s">
        <v>196</v>
      </c>
      <c r="J7" s="196" t="s">
        <v>197</v>
      </c>
      <c r="K7" s="196" t="s">
        <v>198</v>
      </c>
      <c r="L7" s="196" t="s">
        <v>199</v>
      </c>
      <c r="M7" s="196" t="s">
        <v>200</v>
      </c>
      <c r="N7" s="567"/>
    </row>
    <row r="8" spans="2:18" ht="15" customHeight="1">
      <c r="B8" s="154"/>
      <c r="C8" s="153"/>
      <c r="D8" s="153"/>
      <c r="E8" s="153"/>
      <c r="F8" s="153"/>
      <c r="G8" s="153"/>
      <c r="H8" s="153"/>
      <c r="I8" s="153"/>
      <c r="J8" s="153"/>
      <c r="K8" s="153"/>
      <c r="L8" s="164"/>
      <c r="M8" s="153"/>
      <c r="N8" s="182"/>
    </row>
    <row r="9" spans="2:18" ht="15" customHeight="1">
      <c r="B9" s="154"/>
      <c r="C9" s="153"/>
      <c r="D9" s="153"/>
      <c r="E9" s="576"/>
      <c r="F9" s="153"/>
      <c r="G9" s="153"/>
      <c r="H9" s="153"/>
      <c r="I9" s="200"/>
      <c r="J9" s="153"/>
      <c r="K9" s="164"/>
      <c r="L9" s="204"/>
      <c r="M9" s="153"/>
      <c r="N9" s="182"/>
    </row>
    <row r="10" spans="2:18" ht="15" customHeight="1">
      <c r="B10" s="154"/>
      <c r="C10" s="153" t="s">
        <v>201</v>
      </c>
      <c r="D10" s="164">
        <f>PIB_real!K7</f>
        <v>10605.630811636434</v>
      </c>
      <c r="E10" s="578">
        <f>PIB_Nominal!K7</f>
        <v>19985.487114723568</v>
      </c>
      <c r="F10" s="153"/>
      <c r="G10" s="161" t="s">
        <v>202</v>
      </c>
      <c r="H10" s="161" t="s">
        <v>202</v>
      </c>
      <c r="I10" s="200">
        <f>(L10/E10/(1+J10%)-1)*100</f>
        <v>8.1038323695368231</v>
      </c>
      <c r="J10" s="200">
        <f>(K10/D10-1)*100</f>
        <v>5.0193341203859099</v>
      </c>
      <c r="K10" s="345">
        <f>K11+K12</f>
        <v>11137.962857647064</v>
      </c>
      <c r="L10" s="345">
        <f>L11+L12</f>
        <v>22689.508514864097</v>
      </c>
      <c r="M10" s="200">
        <f t="shared" ref="M10:M18" si="0">L10/L$26*100</f>
        <v>84.961094493747723</v>
      </c>
      <c r="N10" s="568"/>
    </row>
    <row r="11" spans="2:18" ht="15" customHeight="1">
      <c r="B11" s="154"/>
      <c r="C11" s="153" t="s">
        <v>203</v>
      </c>
      <c r="D11" s="164">
        <f>PIB_real!K8</f>
        <v>9288</v>
      </c>
      <c r="E11" s="578">
        <f>PIB_Nominal!K8</f>
        <v>16647.634677840626</v>
      </c>
      <c r="F11" s="153"/>
      <c r="G11" s="161" t="s">
        <v>202</v>
      </c>
      <c r="H11" s="161" t="s">
        <v>202</v>
      </c>
      <c r="I11" s="200">
        <f>Inflación!O31</f>
        <v>7.3556691967236247</v>
      </c>
      <c r="J11" s="254">
        <f>'Consumo real privado'!J34</f>
        <v>2.8936063635297549</v>
      </c>
      <c r="K11" s="345">
        <f>D11*(1+J11/100)</f>
        <v>9556.7581590446443</v>
      </c>
      <c r="L11" s="345">
        <f>E11*(1+I11/100)*(1+J11/100)</f>
        <v>18389.330140428639</v>
      </c>
      <c r="M11" s="200">
        <f t="shared" si="0"/>
        <v>68.85903300700204</v>
      </c>
      <c r="N11" s="568"/>
    </row>
    <row r="12" spans="2:18" ht="15" customHeight="1">
      <c r="B12" s="154"/>
      <c r="C12" s="153" t="s">
        <v>204</v>
      </c>
      <c r="D12" s="164">
        <f>PIB_real!K9</f>
        <v>1317.6308116364351</v>
      </c>
      <c r="E12" s="578">
        <f>PIB_Nominal!K9</f>
        <v>3337.8524368829435</v>
      </c>
      <c r="F12" s="153"/>
      <c r="G12" s="161" t="s">
        <v>202</v>
      </c>
      <c r="H12" s="161" t="s">
        <v>202</v>
      </c>
      <c r="I12" s="200">
        <f>(L12/E12/(1+J12%)-1)*100</f>
        <v>7.3556691967236354</v>
      </c>
      <c r="J12" s="200">
        <f>100*(K12/D12-1)</f>
        <v>20.003622003847887</v>
      </c>
      <c r="K12" s="345">
        <f>D12+(K36*K32)</f>
        <v>1581.2046986024204</v>
      </c>
      <c r="L12" s="366">
        <f>L13+L14</f>
        <v>4300.178374435458</v>
      </c>
      <c r="M12" s="200">
        <f t="shared" si="0"/>
        <v>16.102061486745683</v>
      </c>
      <c r="N12" s="568"/>
    </row>
    <row r="13" spans="2:18" ht="15" customHeight="1">
      <c r="B13" s="154"/>
      <c r="C13" s="153" t="s">
        <v>205</v>
      </c>
      <c r="D13" s="301" t="s">
        <v>206</v>
      </c>
      <c r="E13" s="578">
        <f>Gob_EOG!K16+Gob_EOG!K17</f>
        <v>2169.1777387678339</v>
      </c>
      <c r="F13" s="153"/>
      <c r="G13" s="161"/>
      <c r="H13" s="161"/>
      <c r="I13" s="200">
        <f>I11</f>
        <v>7.3556691967236247</v>
      </c>
      <c r="J13" s="200">
        <f>J12</f>
        <v>20.003622003847887</v>
      </c>
      <c r="K13" s="366" t="s">
        <v>206</v>
      </c>
      <c r="L13" s="366">
        <f>E13*(1+I13/100)*(1+J13/100)</f>
        <v>2794.5666799060382</v>
      </c>
      <c r="M13" s="200">
        <f t="shared" si="0"/>
        <v>10.464283243730627</v>
      </c>
      <c r="N13" s="568"/>
      <c r="O13" s="569"/>
    </row>
    <row r="14" spans="2:18" ht="15" customHeight="1">
      <c r="B14" s="154"/>
      <c r="C14" s="153" t="s">
        <v>207</v>
      </c>
      <c r="D14" s="301" t="s">
        <v>206</v>
      </c>
      <c r="E14" s="578">
        <f>E12-E13</f>
        <v>1168.6746981151095</v>
      </c>
      <c r="F14" s="153"/>
      <c r="G14" s="161" t="s">
        <v>202</v>
      </c>
      <c r="H14" s="161" t="s">
        <v>202</v>
      </c>
      <c r="I14" s="200">
        <f>I13</f>
        <v>7.3556691967236247</v>
      </c>
      <c r="J14" s="200">
        <f>J12</f>
        <v>20.003622003847887</v>
      </c>
      <c r="K14" s="366" t="s">
        <v>206</v>
      </c>
      <c r="L14" s="366">
        <f>E14*(1+I14/100)*(1+J14/100)</f>
        <v>1505.6116945294193</v>
      </c>
      <c r="M14" s="200">
        <f t="shared" si="0"/>
        <v>5.6377782430150543</v>
      </c>
      <c r="N14" s="568"/>
      <c r="O14" s="569"/>
      <c r="P14" s="569"/>
      <c r="Q14" s="569"/>
      <c r="R14" s="577"/>
    </row>
    <row r="15" spans="2:18" ht="15" customHeight="1">
      <c r="B15" s="154"/>
      <c r="C15" s="153" t="s">
        <v>173</v>
      </c>
      <c r="D15" s="164">
        <f>PIB_real!K10</f>
        <v>2941</v>
      </c>
      <c r="E15" s="578">
        <f>PIB_Nominal!K10</f>
        <v>4957.1099520326898</v>
      </c>
      <c r="F15" s="153"/>
      <c r="G15" s="161" t="s">
        <v>202</v>
      </c>
      <c r="H15" s="161" t="s">
        <v>202</v>
      </c>
      <c r="I15" s="200">
        <f>(L15/E15/(1+J15%)-1)*100</f>
        <v>7.5348308999735769</v>
      </c>
      <c r="J15" s="200">
        <f>((K15/D15)-1)*100</f>
        <v>5.0278602013912099</v>
      </c>
      <c r="K15" s="366">
        <f>(K18+K17+K16)</f>
        <v>3088.8693685229155</v>
      </c>
      <c r="L15" s="366">
        <f>(L18+L17+L16)</f>
        <v>5598.6359160792381</v>
      </c>
      <c r="M15" s="200">
        <f t="shared" si="0"/>
        <v>20.964148905670868</v>
      </c>
      <c r="N15" s="568"/>
      <c r="O15" s="569"/>
      <c r="P15" s="569"/>
      <c r="Q15" s="569"/>
      <c r="R15" s="577"/>
    </row>
    <row r="16" spans="2:18" ht="15" customHeight="1">
      <c r="B16" s="154"/>
      <c r="C16" s="153" t="s">
        <v>203</v>
      </c>
      <c r="D16" s="164">
        <f>PIB_real!K11</f>
        <v>2336.1027450103306</v>
      </c>
      <c r="E16" s="578">
        <f>PIB_Nominal!K11</f>
        <v>4062.9268957605614</v>
      </c>
      <c r="F16" s="153"/>
      <c r="G16" s="161" t="s">
        <v>202</v>
      </c>
      <c r="H16" s="161" t="s">
        <v>202</v>
      </c>
      <c r="I16" s="200">
        <f>0.6*I11+0.4*I22</f>
        <v>7.5348308999735574</v>
      </c>
      <c r="J16" s="200">
        <f>'Inversión privada real'!J36</f>
        <v>5.0278602013912099</v>
      </c>
      <c r="K16" s="366">
        <f>D16*(1+J16/100)</f>
        <v>2453.5587251903125</v>
      </c>
      <c r="L16" s="366">
        <f>E16*(1+I16/100)*(1+J16/100)</f>
        <v>4588.7318746444053</v>
      </c>
      <c r="M16" s="200">
        <f t="shared" si="0"/>
        <v>17.182552991517305</v>
      </c>
      <c r="N16" s="568"/>
      <c r="O16" s="569"/>
      <c r="P16" s="569"/>
      <c r="Q16" s="569"/>
      <c r="R16" s="577"/>
    </row>
    <row r="17" spans="2:26" ht="15" customHeight="1">
      <c r="B17" s="154"/>
      <c r="C17" s="153" t="s">
        <v>204</v>
      </c>
      <c r="D17" s="164">
        <f>PIB_real!K12</f>
        <v>339.92761139481178</v>
      </c>
      <c r="E17" s="578">
        <f>PIB_Nominal!K12</f>
        <v>590.02672908236457</v>
      </c>
      <c r="F17" s="153"/>
      <c r="G17" s="161" t="s">
        <v>202</v>
      </c>
      <c r="H17" s="161" t="s">
        <v>202</v>
      </c>
      <c r="I17" s="200">
        <f>0.6*I11+0.4*I22</f>
        <v>7.5348308999735574</v>
      </c>
      <c r="J17" s="200">
        <f>J16</f>
        <v>5.0278602013912099</v>
      </c>
      <c r="K17" s="366">
        <f>D17*(1+J17/100)</f>
        <v>357.01869648167127</v>
      </c>
      <c r="L17" s="366">
        <f>E17*(1+I17/100)*(1+J17/100)</f>
        <v>666.38522624109351</v>
      </c>
      <c r="M17" s="200">
        <f t="shared" si="0"/>
        <v>2.4952862305861241</v>
      </c>
      <c r="N17" s="568"/>
      <c r="O17" s="569"/>
      <c r="P17" s="569"/>
      <c r="Q17" s="569"/>
      <c r="R17" s="577"/>
    </row>
    <row r="18" spans="2:26" ht="15" customHeight="1">
      <c r="B18" s="154"/>
      <c r="C18" s="153" t="str">
        <f>PIB_Nominal!C13</f>
        <v>Variación de saldos</v>
      </c>
      <c r="D18" s="164">
        <f>PIB_real!K13</f>
        <v>264.96964359485759</v>
      </c>
      <c r="E18" s="578">
        <f>PIB_Nominal!K13</f>
        <v>304.15632718976411</v>
      </c>
      <c r="F18" s="153"/>
      <c r="G18" s="161" t="s">
        <v>202</v>
      </c>
      <c r="H18" s="161" t="s">
        <v>202</v>
      </c>
      <c r="I18" s="200">
        <f>0.6*I11+0.4*I22</f>
        <v>7.5348308999735574</v>
      </c>
      <c r="J18" s="200">
        <f>J17</f>
        <v>5.0278602013912099</v>
      </c>
      <c r="K18" s="366">
        <f>D18*(1+J18/100)</f>
        <v>278.29194685093154</v>
      </c>
      <c r="L18" s="366">
        <f>E18*(1+I18/100)*(1+J18/100)</f>
        <v>343.51881519373882</v>
      </c>
      <c r="M18" s="200">
        <f t="shared" si="0"/>
        <v>1.286309683567437</v>
      </c>
      <c r="N18" s="568"/>
      <c r="O18" s="569"/>
      <c r="P18" s="569"/>
      <c r="Q18" s="569"/>
      <c r="R18" s="577"/>
    </row>
    <row r="19" spans="2:26" ht="15" customHeight="1">
      <c r="B19" s="154"/>
      <c r="C19" s="153"/>
      <c r="D19" s="164"/>
      <c r="E19" s="578"/>
      <c r="F19" s="153"/>
      <c r="G19" s="161"/>
      <c r="H19" s="161"/>
      <c r="I19" s="200"/>
      <c r="J19" s="200"/>
      <c r="K19" s="345"/>
      <c r="L19" s="345"/>
      <c r="M19" s="200"/>
      <c r="N19" s="568"/>
      <c r="O19" s="569"/>
      <c r="P19" s="569"/>
      <c r="Q19" s="569"/>
      <c r="R19" s="577"/>
    </row>
    <row r="20" spans="2:26" ht="15" customHeight="1">
      <c r="B20" s="154"/>
      <c r="C20" s="153" t="str">
        <f>PIB_Nominal!C15</f>
        <v>Exportaciones de bienes y servicios</v>
      </c>
      <c r="D20" s="164">
        <f>PIB_real!K15</f>
        <v>6523</v>
      </c>
      <c r="E20" s="578">
        <f>PIB_Nominal!K15</f>
        <v>9484.617355424296</v>
      </c>
      <c r="F20" s="153"/>
      <c r="G20" s="200">
        <f>'Exportaciones reales de bienes'!F17</f>
        <v>1.5</v>
      </c>
      <c r="H20" s="200">
        <f>'TC nominal'!I16</f>
        <v>6.210417196895035</v>
      </c>
      <c r="I20" s="200">
        <f>((1+G20/100)*(1+H20/100)-1)*100</f>
        <v>7.8035734548484559</v>
      </c>
      <c r="J20" s="200">
        <f>'Exportaciones reales de bienes'!O25</f>
        <v>4.2607595513330896</v>
      </c>
      <c r="K20" s="345">
        <f>D20*(1+J20/100)</f>
        <v>6800.9293455334573</v>
      </c>
      <c r="L20" s="345">
        <f>E20*(1+I20/100)*(1+J20/100)</f>
        <v>10660.408724184541</v>
      </c>
      <c r="M20" s="200">
        <f>L20/L$26*100</f>
        <v>39.91800846475234</v>
      </c>
      <c r="N20" s="568"/>
      <c r="O20" s="569"/>
      <c r="P20" s="569"/>
      <c r="Q20" s="569"/>
      <c r="R20" s="577"/>
    </row>
    <row r="21" spans="2:26" ht="15" customHeight="1">
      <c r="B21" s="154"/>
      <c r="C21" s="153"/>
      <c r="D21" s="164"/>
      <c r="E21" s="578"/>
      <c r="F21" s="153"/>
      <c r="G21" s="200"/>
      <c r="H21" s="200"/>
      <c r="I21" s="200"/>
      <c r="J21" s="200"/>
      <c r="K21" s="345"/>
      <c r="L21" s="200"/>
      <c r="M21" s="200"/>
      <c r="N21" s="568"/>
      <c r="O21" s="569"/>
      <c r="P21" s="569"/>
      <c r="Q21" s="569"/>
      <c r="R21" s="577"/>
    </row>
    <row r="22" spans="2:26" ht="15" customHeight="1">
      <c r="B22" s="154"/>
      <c r="C22" s="153" t="str">
        <f>PIB_Nominal!C16</f>
        <v>Importaciones de bienes y servicios</v>
      </c>
      <c r="D22" s="164">
        <f>PIB_real!K16</f>
        <v>7295</v>
      </c>
      <c r="E22" s="578">
        <f>PIB_Nominal!K16</f>
        <v>10781.028510392291</v>
      </c>
      <c r="F22" s="153"/>
      <c r="G22" s="200">
        <f>'Importaciones reales de bienes'!F16</f>
        <v>1.5</v>
      </c>
      <c r="H22" s="200">
        <f>H20</f>
        <v>6.210417196895035</v>
      </c>
      <c r="I22" s="200">
        <f>((1+G22/100)*(1+H22/100)-1)*100</f>
        <v>7.8035734548484559</v>
      </c>
      <c r="J22" s="200">
        <f>'Importaciones reales de bienes'!O24</f>
        <v>5.3384818676777321</v>
      </c>
      <c r="K22" s="345">
        <f>D22*(1+J22/100)</f>
        <v>7684.4422522470904</v>
      </c>
      <c r="L22" s="345">
        <f>E22*(1+I22/100)*(1+J22/100)</f>
        <v>12242.790182013381</v>
      </c>
      <c r="M22" s="200">
        <f>L22/L$26*100</f>
        <v>45.843251864170931</v>
      </c>
      <c r="N22" s="568"/>
      <c r="O22" s="569"/>
      <c r="P22" s="569"/>
      <c r="Q22" s="569"/>
      <c r="R22" s="577"/>
    </row>
    <row r="23" spans="2:26" ht="15" customHeight="1">
      <c r="B23" s="154"/>
      <c r="C23" s="153"/>
      <c r="D23" s="164"/>
      <c r="E23" s="204"/>
      <c r="F23" s="153"/>
      <c r="G23" s="161"/>
      <c r="H23" s="161"/>
      <c r="I23" s="200"/>
      <c r="J23" s="200"/>
      <c r="K23" s="345"/>
      <c r="L23" s="345"/>
      <c r="M23" s="200"/>
      <c r="N23" s="568"/>
      <c r="O23" s="569"/>
      <c r="P23" s="569"/>
      <c r="Q23" s="569"/>
      <c r="R23" s="577"/>
    </row>
    <row r="24" spans="2:26" ht="15" customHeight="1">
      <c r="B24" s="154"/>
      <c r="C24" s="153" t="s">
        <v>208</v>
      </c>
      <c r="D24" s="164">
        <f>PIB_real!K17</f>
        <v>0</v>
      </c>
      <c r="E24" s="204">
        <f>PIB_Nominal!K17</f>
        <v>0</v>
      </c>
      <c r="F24" s="153"/>
      <c r="G24" s="161" t="s">
        <v>202</v>
      </c>
      <c r="H24" s="161" t="s">
        <v>202</v>
      </c>
      <c r="I24" s="200">
        <f>I28</f>
        <v>8.1255597800072472</v>
      </c>
      <c r="J24" s="200">
        <v>-100</v>
      </c>
      <c r="K24" s="200">
        <f>D24*(1+J24/100)</f>
        <v>0</v>
      </c>
      <c r="L24" s="200">
        <f>K24*(1+I24/100)</f>
        <v>0</v>
      </c>
      <c r="M24" s="200">
        <f>L24/L$26*100</f>
        <v>0</v>
      </c>
      <c r="N24" s="568"/>
      <c r="O24" s="569"/>
      <c r="P24" s="569"/>
      <c r="Q24" s="569"/>
      <c r="R24" s="577"/>
    </row>
    <row r="25" spans="2:26" ht="15" customHeight="1">
      <c r="B25" s="154"/>
      <c r="C25" s="153"/>
      <c r="D25" s="164"/>
      <c r="E25" s="187"/>
      <c r="F25" s="153"/>
      <c r="G25" s="161"/>
      <c r="H25" s="161"/>
      <c r="I25" s="200"/>
      <c r="J25" s="200"/>
      <c r="K25" s="200"/>
      <c r="L25" s="200"/>
      <c r="M25" s="200"/>
      <c r="N25" s="567"/>
      <c r="O25" s="577"/>
      <c r="P25" s="577"/>
      <c r="Q25" s="577"/>
      <c r="R25" s="577"/>
    </row>
    <row r="26" spans="2:26" ht="15" customHeight="1">
      <c r="B26" s="154"/>
      <c r="C26" s="153" t="s">
        <v>209</v>
      </c>
      <c r="D26" s="164">
        <f>D10+D15+D20-D22+D24</f>
        <v>12774.630811636434</v>
      </c>
      <c r="E26" s="164">
        <f>E10+E15+E20-E22+E24</f>
        <v>23646.18591178826</v>
      </c>
      <c r="F26" s="153"/>
      <c r="G26" s="161" t="s">
        <v>202</v>
      </c>
      <c r="H26" s="161" t="s">
        <v>202</v>
      </c>
      <c r="I26" s="570">
        <f>(L26/E26/(1+J26/100)-1)*100</f>
        <v>8.1255597800073076</v>
      </c>
      <c r="J26" s="570">
        <f>((K26/D26)-1)*100</f>
        <v>4.4517020977380417</v>
      </c>
      <c r="K26" s="345">
        <f>K10+K15+K20-K22+K24</f>
        <v>13343.319319456345</v>
      </c>
      <c r="L26" s="345">
        <f>L10+L15+L20-L22+L24</f>
        <v>26705.762973114495</v>
      </c>
      <c r="M26" s="200">
        <v>100</v>
      </c>
      <c r="N26" s="568"/>
      <c r="O26" s="1003"/>
      <c r="P26" s="577"/>
      <c r="Q26" s="577"/>
      <c r="R26" s="577"/>
    </row>
    <row r="27" spans="2:26" ht="15" customHeight="1" thickBot="1">
      <c r="B27" s="154"/>
      <c r="C27" s="153"/>
      <c r="D27" s="167"/>
      <c r="E27" s="187"/>
      <c r="F27" s="153"/>
      <c r="G27" s="156"/>
      <c r="H27" s="156"/>
      <c r="I27" s="570"/>
      <c r="J27" s="570"/>
      <c r="K27" s="345"/>
      <c r="L27" s="345"/>
      <c r="M27" s="185"/>
      <c r="N27" s="571"/>
      <c r="O27" s="577"/>
      <c r="P27" s="577"/>
      <c r="Q27" s="577"/>
      <c r="R27" s="577"/>
    </row>
    <row r="28" spans="2:26" ht="15" customHeight="1" thickBot="1">
      <c r="B28" s="154"/>
      <c r="C28" s="153" t="s">
        <v>210</v>
      </c>
      <c r="D28" s="167"/>
      <c r="E28" s="187"/>
      <c r="F28" s="153"/>
      <c r="G28" s="156" t="s">
        <v>202</v>
      </c>
      <c r="H28" s="156" t="s">
        <v>202</v>
      </c>
      <c r="I28" s="1081">
        <v>8.1255597800072472</v>
      </c>
      <c r="J28" s="1130">
        <v>4.4517020977380968</v>
      </c>
      <c r="K28" s="345">
        <f>D26*(1+J28/100)</f>
        <v>13343.31931945635</v>
      </c>
      <c r="L28" s="1045">
        <f>E26*(1+I28/100)*(1+J28/100)</f>
        <v>26705.762973114492</v>
      </c>
      <c r="M28" s="185"/>
      <c r="N28" s="571"/>
      <c r="O28" s="581"/>
      <c r="P28" s="1080" t="s">
        <v>1191</v>
      </c>
      <c r="X28" s="1072"/>
      <c r="Y28" s="1076" t="s">
        <v>1192</v>
      </c>
      <c r="Z28" s="1077" t="s">
        <v>1193</v>
      </c>
    </row>
    <row r="29" spans="2:26" ht="15" customHeight="1">
      <c r="B29" s="154"/>
      <c r="C29" s="153" t="s">
        <v>211</v>
      </c>
      <c r="D29" s="167"/>
      <c r="E29" s="187"/>
      <c r="F29" s="153"/>
      <c r="G29" s="200"/>
      <c r="H29" s="200"/>
      <c r="I29" s="200"/>
      <c r="J29" s="1070"/>
      <c r="K29" s="570">
        <f>K26-K28</f>
        <v>0</v>
      </c>
      <c r="L29" s="570">
        <f>L26-L28</f>
        <v>0</v>
      </c>
      <c r="M29" s="200"/>
      <c r="N29" s="568"/>
      <c r="O29" s="1012"/>
      <c r="P29" s="1071" t="s">
        <v>1194</v>
      </c>
      <c r="X29" s="1078" t="s">
        <v>1195</v>
      </c>
      <c r="Y29" s="1073">
        <v>7.48</v>
      </c>
      <c r="Z29" s="1074">
        <v>4.63</v>
      </c>
    </row>
    <row r="30" spans="2:26" ht="15" customHeight="1" thickBot="1">
      <c r="B30" s="206"/>
      <c r="C30" s="300"/>
      <c r="D30" s="300"/>
      <c r="E30" s="300"/>
      <c r="F30" s="300"/>
      <c r="G30" s="300"/>
      <c r="H30" s="300"/>
      <c r="I30" s="579"/>
      <c r="J30" s="300"/>
      <c r="K30" s="580"/>
      <c r="L30" s="580"/>
      <c r="M30" s="300"/>
      <c r="N30" s="208"/>
      <c r="P30" s="1071" t="s">
        <v>1196</v>
      </c>
      <c r="X30" s="1079" t="s">
        <v>1197</v>
      </c>
      <c r="Y30" s="986">
        <v>9.2087336055157856</v>
      </c>
      <c r="Z30" s="1075">
        <v>5.3055559645740509</v>
      </c>
    </row>
    <row r="31" spans="2:26">
      <c r="B31" s="153"/>
      <c r="C31" s="153" t="s">
        <v>212</v>
      </c>
      <c r="D31" s="153"/>
      <c r="E31" s="153"/>
      <c r="F31" s="153"/>
      <c r="G31" s="153"/>
      <c r="H31" s="153"/>
      <c r="I31" s="153"/>
      <c r="J31" s="153"/>
      <c r="K31" s="153"/>
      <c r="L31" s="153"/>
      <c r="M31" s="153"/>
      <c r="N31" s="153"/>
    </row>
    <row r="32" spans="2:26" outlineLevel="1">
      <c r="B32" s="153"/>
      <c r="C32" s="153" t="s">
        <v>213</v>
      </c>
      <c r="D32" s="204">
        <f>PIB_real!K19</f>
        <v>12671.8214887493</v>
      </c>
      <c r="E32" s="204"/>
      <c r="F32" s="204"/>
      <c r="G32" s="204"/>
      <c r="H32" s="204"/>
      <c r="I32" s="204"/>
      <c r="J32" s="204"/>
      <c r="K32" s="204">
        <f>PIB_real!L19</f>
        <v>13178.694348299272</v>
      </c>
      <c r="L32" s="204"/>
      <c r="M32" s="204"/>
      <c r="N32" s="204"/>
    </row>
    <row r="33" spans="2:22" outlineLevel="1">
      <c r="B33" s="153"/>
      <c r="C33" s="153" t="s">
        <v>214</v>
      </c>
      <c r="D33" s="204">
        <f>D10+D15</f>
        <v>13546.630811636434</v>
      </c>
      <c r="E33" s="204">
        <f>D33/D$26*100</f>
        <v>106.04322748252564</v>
      </c>
      <c r="F33" s="204"/>
      <c r="G33" s="204"/>
      <c r="H33" s="204"/>
      <c r="I33" s="204"/>
      <c r="J33" s="204"/>
      <c r="K33" s="204">
        <f>K10+K15</f>
        <v>14226.83222616998</v>
      </c>
      <c r="L33" s="204">
        <f>L10+L15</f>
        <v>28288.144430943335</v>
      </c>
      <c r="M33" s="204">
        <f>M10+M15</f>
        <v>105.92524339941859</v>
      </c>
      <c r="N33" s="204"/>
      <c r="V33" s="582"/>
    </row>
    <row r="34" spans="2:22" outlineLevel="1">
      <c r="B34" s="153"/>
      <c r="C34" s="153" t="s">
        <v>215</v>
      </c>
      <c r="D34" s="204">
        <f>D20-D22</f>
        <v>-772</v>
      </c>
      <c r="E34" s="204">
        <f>D34/D$26*100</f>
        <v>-6.04322748252563</v>
      </c>
      <c r="F34" s="204"/>
      <c r="G34" s="204"/>
      <c r="H34" s="204"/>
      <c r="I34" s="204"/>
      <c r="J34" s="204"/>
      <c r="K34" s="204">
        <f>K20-K22</f>
        <v>-883.51290671363313</v>
      </c>
      <c r="L34" s="204">
        <f>L20-L22</f>
        <v>-1582.3814578288402</v>
      </c>
      <c r="M34" s="204">
        <f>L34/L$26*100</f>
        <v>-5.9252433994185889</v>
      </c>
      <c r="N34" s="204"/>
    </row>
    <row r="35" spans="2:22" outlineLevel="1">
      <c r="B35" s="153"/>
      <c r="C35" s="153"/>
      <c r="D35" s="204"/>
      <c r="E35" s="204"/>
      <c r="F35" s="204"/>
      <c r="G35" s="204"/>
      <c r="H35" s="204"/>
      <c r="I35" s="204"/>
      <c r="J35" s="204"/>
      <c r="K35" s="204"/>
      <c r="L35" s="204"/>
      <c r="M35" s="204"/>
      <c r="N35" s="204"/>
    </row>
    <row r="36" spans="2:22" outlineLevel="1" collapsed="1">
      <c r="B36" s="153"/>
      <c r="C36" s="153" t="s">
        <v>216</v>
      </c>
      <c r="D36" s="204"/>
      <c r="E36" s="204"/>
      <c r="F36" s="204"/>
      <c r="G36" s="204"/>
      <c r="H36" s="204"/>
      <c r="I36" s="204"/>
      <c r="J36" s="204"/>
      <c r="K36" s="1034">
        <v>0.02</v>
      </c>
      <c r="L36" s="204"/>
      <c r="M36" s="204"/>
      <c r="N36" s="204"/>
    </row>
    <row r="37" spans="2:22" outlineLevel="1">
      <c r="B37" s="153"/>
      <c r="C37" s="153" t="s">
        <v>217</v>
      </c>
      <c r="D37" s="204"/>
      <c r="E37" s="204"/>
      <c r="F37" s="204"/>
      <c r="G37" s="204"/>
      <c r="H37" s="204"/>
      <c r="I37" s="204"/>
      <c r="J37" s="204"/>
      <c r="K37" s="187">
        <f>'TC nominal'!I34*100</f>
        <v>-0.31602131898871566</v>
      </c>
      <c r="L37" s="204"/>
      <c r="M37" s="204"/>
      <c r="N37" s="204"/>
    </row>
    <row r="38" spans="2:22" outlineLevel="1">
      <c r="B38" s="153"/>
      <c r="C38" s="153" t="s">
        <v>218</v>
      </c>
      <c r="D38" s="204"/>
      <c r="E38" s="204"/>
      <c r="F38" s="204"/>
      <c r="G38" s="204"/>
      <c r="H38" s="204"/>
      <c r="I38" s="204"/>
      <c r="J38" s="204"/>
      <c r="K38" s="187">
        <f>Inflación!K29</f>
        <v>-0.31525678486062586</v>
      </c>
      <c r="L38" s="204"/>
      <c r="M38" s="204"/>
      <c r="N38" s="204"/>
    </row>
    <row r="39" spans="2:22" outlineLevel="1">
      <c r="B39" s="153"/>
      <c r="C39" s="153" t="s">
        <v>219</v>
      </c>
      <c r="D39" s="204"/>
      <c r="E39" s="204"/>
      <c r="F39" s="204"/>
      <c r="G39" s="204"/>
      <c r="H39" s="204"/>
      <c r="I39" s="204"/>
      <c r="J39" s="204"/>
      <c r="K39" s="204">
        <f>'Hoja-Gob_Exp_Proy.'!I41</f>
        <v>-4.0927261579781771E-12</v>
      </c>
      <c r="L39" s="204"/>
      <c r="M39" s="204"/>
      <c r="N39" s="204"/>
    </row>
    <row r="40" spans="2:22" outlineLevel="1">
      <c r="B40" s="153"/>
      <c r="C40" s="153"/>
      <c r="D40" s="204"/>
      <c r="E40" s="204"/>
      <c r="F40" s="204"/>
      <c r="G40" s="204"/>
      <c r="H40" s="204"/>
      <c r="I40" s="204"/>
      <c r="J40" s="204"/>
      <c r="K40" s="204"/>
      <c r="L40" s="204"/>
      <c r="M40" s="204"/>
      <c r="N40" s="204"/>
    </row>
    <row r="41" spans="2:22">
      <c r="B41" s="153"/>
      <c r="C41" s="153"/>
      <c r="D41" s="153"/>
      <c r="E41" s="153"/>
      <c r="F41" s="153"/>
      <c r="G41" s="153"/>
      <c r="H41" s="153"/>
      <c r="I41" s="153"/>
      <c r="J41" s="153"/>
      <c r="K41" s="153"/>
      <c r="L41" s="153"/>
      <c r="M41" s="153"/>
      <c r="N41" s="153"/>
    </row>
    <row r="42" spans="2:22">
      <c r="B42" s="153"/>
      <c r="C42" s="153" t="s">
        <v>220</v>
      </c>
      <c r="D42" s="153"/>
      <c r="E42" s="153"/>
      <c r="F42" s="153"/>
      <c r="G42" s="153"/>
      <c r="H42" s="153"/>
      <c r="I42" s="153"/>
      <c r="J42" s="153"/>
      <c r="K42" s="153"/>
      <c r="L42" s="153"/>
      <c r="M42" s="153"/>
      <c r="N42" s="153"/>
    </row>
    <row r="43" spans="2:22">
      <c r="B43" s="153"/>
      <c r="C43" s="885" t="s">
        <v>221</v>
      </c>
      <c r="D43" s="153"/>
      <c r="E43" s="153"/>
      <c r="F43" s="153"/>
      <c r="G43" s="153"/>
      <c r="H43" s="153"/>
      <c r="I43" s="153"/>
      <c r="J43" s="153"/>
      <c r="K43" s="153"/>
      <c r="L43" s="153"/>
      <c r="M43" s="153"/>
      <c r="N43" s="153"/>
    </row>
    <row r="44" spans="2:22">
      <c r="B44" s="153"/>
      <c r="C44" s="153" t="s">
        <v>222</v>
      </c>
      <c r="D44" s="187">
        <f>E11/D11</f>
        <v>1.7923809945995506</v>
      </c>
      <c r="E44" s="153"/>
      <c r="F44" s="153"/>
      <c r="G44" s="153"/>
      <c r="H44" s="153"/>
      <c r="I44" s="153"/>
      <c r="J44" s="153"/>
      <c r="K44" s="153"/>
      <c r="L44" s="153"/>
      <c r="M44" s="153"/>
      <c r="N44" s="153"/>
    </row>
    <row r="45" spans="2:22">
      <c r="B45" s="153"/>
      <c r="C45" s="153" t="s">
        <v>223</v>
      </c>
      <c r="D45" s="187">
        <f>E12/D12</f>
        <v>2.5332228173516138</v>
      </c>
      <c r="E45" s="153"/>
      <c r="F45" s="153"/>
      <c r="G45" s="153"/>
      <c r="H45" s="153"/>
      <c r="I45" s="153"/>
      <c r="J45" s="153"/>
      <c r="K45" s="153"/>
      <c r="L45" s="153"/>
      <c r="M45" s="153"/>
      <c r="N45" s="153"/>
    </row>
    <row r="46" spans="2:22" ht="13.5" customHeight="1"/>
    <row r="47" spans="2:22" ht="15" customHeight="1"/>
    <row r="50" spans="3:3">
      <c r="C50" s="310"/>
    </row>
    <row r="57" spans="3:3">
      <c r="C57" s="310"/>
    </row>
  </sheetData>
  <dataConsolidate/>
  <mergeCells count="4">
    <mergeCell ref="K5:L5"/>
    <mergeCell ref="D4:E4"/>
    <mergeCell ref="G4:M4"/>
    <mergeCell ref="D5:E5"/>
  </mergeCells>
  <pageMargins left="0.7" right="0.7" top="0.75" bottom="0.75" header="0.3" footer="0.3"/>
  <pageSetup scale="82"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499984740745262"/>
  </sheetPr>
  <dimension ref="B1:V78"/>
  <sheetViews>
    <sheetView topLeftCell="A7" zoomScaleNormal="100" workbookViewId="0">
      <selection activeCell="L6" sqref="L6"/>
    </sheetView>
  </sheetViews>
  <sheetFormatPr baseColWidth="10" defaultColWidth="9.42578125" defaultRowHeight="15" outlineLevelRow="1"/>
  <cols>
    <col min="1" max="1" width="9.42578125" style="2"/>
    <col min="2" max="2" width="2.5703125" style="3" customWidth="1"/>
    <col min="3" max="3" width="58.140625" style="3" customWidth="1"/>
    <col min="4" max="12" width="11.42578125" style="4" customWidth="1"/>
    <col min="13" max="13" width="3.42578125" style="4" customWidth="1"/>
    <col min="14" max="16384" width="9.42578125" style="2"/>
  </cols>
  <sheetData>
    <row r="1" spans="2:14" ht="15.75" thickBot="1"/>
    <row r="2" spans="2:14" s="1" customFormat="1" ht="33" customHeight="1">
      <c r="B2" s="358" t="s">
        <v>224</v>
      </c>
      <c r="C2" s="359"/>
      <c r="D2" s="359"/>
      <c r="E2" s="359"/>
      <c r="F2" s="359"/>
      <c r="G2" s="359"/>
      <c r="H2" s="359"/>
      <c r="I2" s="359"/>
      <c r="J2" s="359"/>
      <c r="K2" s="536"/>
      <c r="L2" s="359"/>
      <c r="M2" s="360"/>
    </row>
    <row r="3" spans="2:14" s="1" customFormat="1" ht="33" customHeight="1">
      <c r="B3" s="14"/>
      <c r="C3" s="16"/>
      <c r="D3" s="351">
        <v>2006</v>
      </c>
      <c r="E3" s="351">
        <v>2007</v>
      </c>
      <c r="F3" s="351">
        <v>2008</v>
      </c>
      <c r="G3" s="351">
        <v>2009</v>
      </c>
      <c r="H3" s="351">
        <v>2010</v>
      </c>
      <c r="I3" s="351">
        <v>2011</v>
      </c>
      <c r="J3" s="351">
        <v>2012</v>
      </c>
      <c r="K3" s="351">
        <v>2013</v>
      </c>
      <c r="L3" s="351">
        <v>2014</v>
      </c>
      <c r="M3" s="15"/>
    </row>
    <row r="4" spans="2:14" s="1" customFormat="1" ht="33" customHeight="1">
      <c r="B4" s="106" t="s">
        <v>225</v>
      </c>
      <c r="C4" s="107"/>
      <c r="D4" s="107"/>
      <c r="E4" s="107"/>
      <c r="F4" s="107"/>
      <c r="G4" s="107"/>
      <c r="H4" s="107"/>
      <c r="I4" s="107"/>
      <c r="J4" s="107"/>
      <c r="K4" s="107"/>
      <c r="L4" s="107"/>
      <c r="M4" s="108"/>
    </row>
    <row r="5" spans="2:14" s="1" customFormat="1" ht="15" customHeight="1" thickBot="1">
      <c r="B5" s="30"/>
      <c r="C5" s="21" t="s">
        <v>226</v>
      </c>
      <c r="D5" s="31"/>
      <c r="E5" s="31"/>
      <c r="F5" s="31"/>
      <c r="G5" s="31"/>
      <c r="H5" s="31"/>
      <c r="I5" s="31"/>
      <c r="J5" s="357"/>
      <c r="K5" s="31"/>
      <c r="L5" s="265"/>
      <c r="M5" s="32"/>
    </row>
    <row r="6" spans="2:14" ht="15.75" thickBot="1">
      <c r="B6" s="6"/>
      <c r="C6" s="18" t="s">
        <v>227</v>
      </c>
      <c r="D6" s="7">
        <v>10964.620135876014</v>
      </c>
      <c r="E6" s="7">
        <v>12956.322039467186</v>
      </c>
      <c r="F6" s="7">
        <v>14737.185928738949</v>
      </c>
      <c r="G6" s="7">
        <v>15747.009032492888</v>
      </c>
      <c r="H6" s="7">
        <v>17629.077878645952</v>
      </c>
      <c r="I6" s="7">
        <v>19427.849144138439</v>
      </c>
      <c r="J6" s="7">
        <v>21157.293165921488</v>
      </c>
      <c r="K6" s="7">
        <v>23646.185911788263</v>
      </c>
      <c r="L6" s="396">
        <f>'Cuadro PIB'!L26</f>
        <v>26705.762973114495</v>
      </c>
      <c r="M6" s="8"/>
      <c r="N6" s="262"/>
    </row>
    <row r="7" spans="2:14" ht="15.75" thickBot="1">
      <c r="B7" s="6"/>
      <c r="C7" s="18" t="s">
        <v>228</v>
      </c>
      <c r="D7" s="7">
        <v>8700.4436797596009</v>
      </c>
      <c r="E7" s="7">
        <v>10352.870824252879</v>
      </c>
      <c r="F7" s="7">
        <v>12200.565181223052</v>
      </c>
      <c r="G7" s="7">
        <v>13108.59111546975</v>
      </c>
      <c r="H7" s="7">
        <v>14576.65740171303</v>
      </c>
      <c r="I7" s="7">
        <v>16016.788216375171</v>
      </c>
      <c r="J7" s="7">
        <v>17760.342685383461</v>
      </c>
      <c r="K7" s="7">
        <v>19985.487114723568</v>
      </c>
      <c r="L7" s="398">
        <f>L8+L9</f>
        <v>22689.508514864097</v>
      </c>
      <c r="M7" s="8"/>
      <c r="N7" s="261"/>
    </row>
    <row r="8" spans="2:14" ht="15.75" thickBot="1">
      <c r="B8" s="6"/>
      <c r="C8" s="19" t="s">
        <v>229</v>
      </c>
      <c r="D8" s="7">
        <v>7624.2096147854409</v>
      </c>
      <c r="E8" s="7">
        <v>9087.1639391898589</v>
      </c>
      <c r="F8" s="7">
        <v>10645.096778111301</v>
      </c>
      <c r="G8" s="7">
        <v>11176.637622127901</v>
      </c>
      <c r="H8" s="7">
        <v>12277.7573727089</v>
      </c>
      <c r="I8" s="7">
        <v>13520.438186146001</v>
      </c>
      <c r="J8" s="7">
        <v>15027.228142208456</v>
      </c>
      <c r="K8" s="7">
        <v>16647.634677840626</v>
      </c>
      <c r="L8" s="397">
        <f>'Cuadro PIB'!L11</f>
        <v>18389.330140428639</v>
      </c>
      <c r="M8" s="8"/>
    </row>
    <row r="9" spans="2:14" ht="15.75" thickBot="1">
      <c r="B9" s="6"/>
      <c r="C9" s="19" t="s">
        <v>230</v>
      </c>
      <c r="D9" s="7">
        <v>1076.23406497416</v>
      </c>
      <c r="E9" s="7">
        <v>1265.7068850630199</v>
      </c>
      <c r="F9" s="7">
        <v>1555.4684031117501</v>
      </c>
      <c r="G9" s="7">
        <v>1931.9534933418499</v>
      </c>
      <c r="H9" s="7">
        <v>2298.9000290041299</v>
      </c>
      <c r="I9" s="7">
        <v>2496.35003022917</v>
      </c>
      <c r="J9" s="7">
        <v>2733.1145431750042</v>
      </c>
      <c r="K9" s="7">
        <v>3337.8524368829435</v>
      </c>
      <c r="L9" s="398">
        <f>'Cuadro PIB'!L12</f>
        <v>4300.178374435458</v>
      </c>
      <c r="M9" s="8"/>
    </row>
    <row r="10" spans="2:14" ht="16.5" customHeight="1" thickBot="1">
      <c r="B10" s="6"/>
      <c r="C10" s="18" t="s">
        <v>231</v>
      </c>
      <c r="D10" s="7">
        <v>2919.211486831869</v>
      </c>
      <c r="E10" s="7">
        <v>3202.1678246978909</v>
      </c>
      <c r="F10" s="7">
        <v>4044.0792657905199</v>
      </c>
      <c r="G10" s="7">
        <v>2463.1897589157516</v>
      </c>
      <c r="H10" s="7">
        <v>3463.168307037306</v>
      </c>
      <c r="I10" s="7">
        <v>4287.2834080595767</v>
      </c>
      <c r="J10" s="7">
        <v>4493.8592022856728</v>
      </c>
      <c r="K10" s="7">
        <v>4957.1099520326898</v>
      </c>
      <c r="L10" s="397">
        <f>L11+L12+L13</f>
        <v>5598.6359160792381</v>
      </c>
      <c r="M10" s="8"/>
    </row>
    <row r="11" spans="2:14" ht="15.75" thickBot="1">
      <c r="B11" s="6"/>
      <c r="C11" s="19" t="s">
        <v>232</v>
      </c>
      <c r="D11" s="7">
        <v>1935.570838863257</v>
      </c>
      <c r="E11" s="7">
        <v>2523.1835841621228</v>
      </c>
      <c r="F11" s="7">
        <v>3083.0457646726099</v>
      </c>
      <c r="G11" s="7">
        <v>3105.0590588653949</v>
      </c>
      <c r="H11" s="7">
        <v>2992.8913871982295</v>
      </c>
      <c r="I11" s="7">
        <v>3513.9263072449162</v>
      </c>
      <c r="J11" s="7">
        <v>3683.2391444617197</v>
      </c>
      <c r="K11" s="7">
        <v>4062.9268957605614</v>
      </c>
      <c r="L11" s="398">
        <f>'Cuadro PIB'!L16</f>
        <v>4588.7318746444053</v>
      </c>
      <c r="M11" s="8"/>
    </row>
    <row r="12" spans="2:14" ht="15.75" thickBot="1">
      <c r="B12" s="6"/>
      <c r="C12" s="19" t="s">
        <v>233</v>
      </c>
      <c r="D12" s="7">
        <v>234.02446092770001</v>
      </c>
      <c r="E12" s="7">
        <v>286.08395379112</v>
      </c>
      <c r="F12" s="7">
        <v>335.24812478955999</v>
      </c>
      <c r="G12" s="7">
        <v>328.85774901422667</v>
      </c>
      <c r="H12" s="7">
        <v>425.53619082492668</v>
      </c>
      <c r="I12" s="7">
        <v>510.29971704969</v>
      </c>
      <c r="J12" s="7">
        <v>534.88768087422363</v>
      </c>
      <c r="K12" s="7">
        <v>590.02672908236457</v>
      </c>
      <c r="L12" s="398">
        <f>'Cuadro PIB'!L17</f>
        <v>666.38522624109351</v>
      </c>
      <c r="M12" s="8"/>
    </row>
    <row r="13" spans="2:14" ht="15.75" thickBot="1">
      <c r="B13" s="6"/>
      <c r="C13" s="19" t="s">
        <v>234</v>
      </c>
      <c r="D13" s="7">
        <v>749.616187040912</v>
      </c>
      <c r="E13" s="7">
        <v>392.90028674464799</v>
      </c>
      <c r="F13" s="7">
        <v>625.78537632835003</v>
      </c>
      <c r="G13" s="7">
        <v>-970.72704896386995</v>
      </c>
      <c r="H13" s="7">
        <v>44.740729014149998</v>
      </c>
      <c r="I13" s="7">
        <v>263.05738376496998</v>
      </c>
      <c r="J13" s="7">
        <v>275.73237694972954</v>
      </c>
      <c r="K13" s="7">
        <v>304.15632718976411</v>
      </c>
      <c r="L13" s="397">
        <f>'Cuadro PIB'!L18</f>
        <v>343.51881519373882</v>
      </c>
      <c r="M13" s="8"/>
    </row>
    <row r="14" spans="2:14" ht="15.75" thickBot="1">
      <c r="B14" s="6"/>
      <c r="C14" s="18" t="s">
        <v>235</v>
      </c>
      <c r="D14" s="7">
        <v>-708.14400839873997</v>
      </c>
      <c r="E14" s="7">
        <v>-653.40526324004009</v>
      </c>
      <c r="F14" s="7">
        <v>-1531.9167000147099</v>
      </c>
      <c r="G14" s="7">
        <v>98.335100961800705</v>
      </c>
      <c r="H14" s="7">
        <v>-432.63939541484001</v>
      </c>
      <c r="I14" s="7">
        <v>-937.22061144215877</v>
      </c>
      <c r="J14" s="7">
        <v>-1096.9087217476426</v>
      </c>
      <c r="K14" s="7">
        <v>-1296.4111549679947</v>
      </c>
      <c r="L14" s="398">
        <f>+L15-L16</f>
        <v>-1582.3814578288402</v>
      </c>
      <c r="M14" s="8"/>
    </row>
    <row r="15" spans="2:14" ht="15.75" thickBot="1">
      <c r="B15" s="6"/>
      <c r="C15" s="19" t="s">
        <v>236</v>
      </c>
      <c r="D15" s="7">
        <v>5658.5975829816398</v>
      </c>
      <c r="E15" s="7">
        <v>6623.9268252727406</v>
      </c>
      <c r="F15" s="7">
        <v>7134.12576704807</v>
      </c>
      <c r="G15" s="7">
        <v>7122.0183968381598</v>
      </c>
      <c r="H15" s="7">
        <v>7248.1127840448607</v>
      </c>
      <c r="I15" s="7">
        <v>7780.10970326194</v>
      </c>
      <c r="J15" s="7">
        <v>8683.133295820624</v>
      </c>
      <c r="K15" s="7">
        <v>9484.617355424296</v>
      </c>
      <c r="L15" s="397">
        <f>'Cuadro PIB'!L20</f>
        <v>10660.408724184541</v>
      </c>
      <c r="M15" s="8"/>
    </row>
    <row r="16" spans="2:14" ht="15.75" thickBot="1">
      <c r="B16" s="9"/>
      <c r="C16" s="19" t="s">
        <v>237</v>
      </c>
      <c r="D16" s="7">
        <v>6366.7415913803798</v>
      </c>
      <c r="E16" s="7">
        <v>7277.3320885127805</v>
      </c>
      <c r="F16" s="7">
        <v>8666.0424670627799</v>
      </c>
      <c r="G16" s="7">
        <v>7023.6832958763607</v>
      </c>
      <c r="H16" s="7">
        <v>7680.7521794597005</v>
      </c>
      <c r="I16" s="7">
        <v>8717.3303147040988</v>
      </c>
      <c r="J16" s="7">
        <v>9780.0420175682666</v>
      </c>
      <c r="K16" s="7">
        <v>10781.028510392291</v>
      </c>
      <c r="L16" s="398">
        <f>'Cuadro PIB'!L22</f>
        <v>12242.790182013381</v>
      </c>
      <c r="M16" s="8"/>
    </row>
    <row r="17" spans="2:13" ht="15.75" thickBot="1">
      <c r="B17" s="9"/>
      <c r="C17" s="18" t="s">
        <v>208</v>
      </c>
      <c r="D17" s="7">
        <v>53.108977683282355</v>
      </c>
      <c r="E17" s="7">
        <v>54.688653756457427</v>
      </c>
      <c r="F17" s="7">
        <v>24.458181740087369</v>
      </c>
      <c r="G17" s="7">
        <v>76.893057145586184</v>
      </c>
      <c r="H17" s="7">
        <v>21.891565310454101</v>
      </c>
      <c r="I17" s="7">
        <v>60.998131145846791</v>
      </c>
      <c r="J17" s="7">
        <v>0</v>
      </c>
      <c r="K17" s="7">
        <v>0</v>
      </c>
      <c r="L17" s="420">
        <f>L6-L7-L10-L14</f>
        <v>0</v>
      </c>
      <c r="M17" s="8"/>
    </row>
    <row r="18" spans="2:13">
      <c r="B18" s="5"/>
      <c r="C18" s="20"/>
      <c r="D18" s="7"/>
      <c r="E18" s="7"/>
      <c r="F18" s="7"/>
      <c r="G18" s="7"/>
      <c r="H18" s="7"/>
      <c r="I18" s="7"/>
      <c r="J18" s="7"/>
      <c r="K18" s="7"/>
      <c r="L18" s="7"/>
      <c r="M18" s="8"/>
    </row>
    <row r="19" spans="2:13" s="1" customFormat="1" ht="15" customHeight="1" thickBot="1">
      <c r="B19" s="30"/>
      <c r="C19" s="21" t="s">
        <v>238</v>
      </c>
      <c r="D19" s="31"/>
      <c r="E19" s="31"/>
      <c r="F19" s="31"/>
      <c r="G19" s="31"/>
      <c r="H19" s="31"/>
      <c r="I19" s="31"/>
      <c r="J19" s="31"/>
      <c r="K19" s="7"/>
      <c r="L19" s="31"/>
      <c r="M19" s="32"/>
    </row>
    <row r="20" spans="2:13" ht="15.75" thickBot="1">
      <c r="B20" s="5"/>
      <c r="C20" s="18" t="s">
        <v>239</v>
      </c>
      <c r="D20" s="7">
        <v>10926.691476914197</v>
      </c>
      <c r="E20" s="7">
        <v>12650.86033007546</v>
      </c>
      <c r="F20" s="7">
        <v>14469.740470197039</v>
      </c>
      <c r="G20" s="7">
        <v>15202.126519426261</v>
      </c>
      <c r="H20" s="7">
        <v>17226.00119118797</v>
      </c>
      <c r="I20" s="7">
        <v>19020.27573741844</v>
      </c>
      <c r="J20" s="7">
        <v>20691.47546799235</v>
      </c>
      <c r="K20" s="7">
        <v>23187.477573867101</v>
      </c>
      <c r="L20" s="396">
        <f>L6+L40</f>
        <v>26214.645972789014</v>
      </c>
      <c r="M20" s="8"/>
    </row>
    <row r="21" spans="2:13" ht="15.75" thickBot="1">
      <c r="B21" s="5"/>
      <c r="C21" s="18" t="s">
        <v>240</v>
      </c>
      <c r="D21" s="7">
        <v>11105.186941557173</v>
      </c>
      <c r="E21" s="7">
        <v>12893.515518267888</v>
      </c>
      <c r="F21" s="7">
        <v>14702.494437791931</v>
      </c>
      <c r="G21" s="7">
        <v>15407.822238302144</v>
      </c>
      <c r="H21" s="7">
        <v>17418.717593250694</v>
      </c>
      <c r="I21" s="7">
        <v>19183.79229741844</v>
      </c>
      <c r="J21" s="7">
        <v>20861.824203063054</v>
      </c>
      <c r="K21" s="7">
        <v>23369.291713949642</v>
      </c>
      <c r="L21" s="398">
        <f t="shared" ref="L21" si="0">L6+L40+L41</f>
        <v>26413.196140664913</v>
      </c>
      <c r="M21" s="8"/>
    </row>
    <row r="22" spans="2:13" ht="15.75" thickBot="1">
      <c r="B22" s="5"/>
      <c r="C22" s="18" t="s">
        <v>241</v>
      </c>
      <c r="D22" s="7">
        <v>11619.65516659147</v>
      </c>
      <c r="E22" s="7">
        <v>13555.038648950769</v>
      </c>
      <c r="F22" s="7">
        <v>16244.644447013572</v>
      </c>
      <c r="G22" s="7">
        <v>15571.780874385502</v>
      </c>
      <c r="H22" s="7">
        <v>18039.825708750337</v>
      </c>
      <c r="I22" s="7">
        <v>20304.07162443475</v>
      </c>
      <c r="J22" s="7">
        <v>22254.201887669133</v>
      </c>
      <c r="K22" s="7">
        <v>24942.597066756258</v>
      </c>
      <c r="L22" s="397">
        <f t="shared" ref="L22" si="1">L7+L10</f>
        <v>28288.144430943335</v>
      </c>
      <c r="M22" s="8"/>
    </row>
    <row r="23" spans="2:13" ht="15.75" thickBot="1">
      <c r="B23" s="5"/>
      <c r="C23" s="18" t="s">
        <v>242</v>
      </c>
      <c r="D23" s="7">
        <v>2404.7432617975719</v>
      </c>
      <c r="E23" s="7">
        <v>2540.644694015009</v>
      </c>
      <c r="F23" s="7">
        <v>2501.9292565688793</v>
      </c>
      <c r="G23" s="7">
        <v>2299.2311228323942</v>
      </c>
      <c r="H23" s="7">
        <v>2842.0601915376647</v>
      </c>
      <c r="I23" s="7">
        <v>3167.0040810432693</v>
      </c>
      <c r="J23" s="7">
        <v>3101.4815176795928</v>
      </c>
      <c r="K23" s="7">
        <v>3383.8045992260741</v>
      </c>
      <c r="L23" s="398">
        <f t="shared" ref="L23" si="2">L21-L7</f>
        <v>3723.687625800816</v>
      </c>
      <c r="M23" s="8"/>
    </row>
    <row r="24" spans="2:13" ht="15.75" thickBot="1">
      <c r="B24" s="5"/>
      <c r="C24" s="18" t="s">
        <v>173</v>
      </c>
      <c r="D24" s="7">
        <v>2919.211486831869</v>
      </c>
      <c r="E24" s="7">
        <v>3202.1678246978909</v>
      </c>
      <c r="F24" s="7">
        <v>4044.0792657905199</v>
      </c>
      <c r="G24" s="7">
        <v>2463.1897589157516</v>
      </c>
      <c r="H24" s="7">
        <v>3463.168307037306</v>
      </c>
      <c r="I24" s="7">
        <v>4287.2834080595767</v>
      </c>
      <c r="J24" s="7">
        <v>4493.8592022856728</v>
      </c>
      <c r="K24" s="7">
        <v>4957.1099520326898</v>
      </c>
      <c r="L24" s="398">
        <f t="shared" ref="L24" si="3">L10</f>
        <v>5598.6359160792381</v>
      </c>
      <c r="M24" s="8"/>
    </row>
    <row r="25" spans="2:13" ht="15.75" thickBot="1">
      <c r="B25" s="5"/>
      <c r="C25" s="18" t="s">
        <v>243</v>
      </c>
      <c r="D25" s="7">
        <v>-514.46822503429712</v>
      </c>
      <c r="E25" s="7">
        <v>-661.52313068288186</v>
      </c>
      <c r="F25" s="7">
        <v>-1542.1500092216406</v>
      </c>
      <c r="G25" s="7">
        <v>-163.95863608335731</v>
      </c>
      <c r="H25" s="7">
        <v>-621.10811549964137</v>
      </c>
      <c r="I25" s="7">
        <v>-1120.2793270163074</v>
      </c>
      <c r="J25" s="7">
        <v>-1392.37768460608</v>
      </c>
      <c r="K25" s="7">
        <v>-1573.3053528066157</v>
      </c>
      <c r="L25" s="420">
        <f t="shared" ref="L25" si="4">L23-L24</f>
        <v>-1874.9482902784221</v>
      </c>
      <c r="M25" s="8"/>
    </row>
    <row r="26" spans="2:13">
      <c r="B26" s="5"/>
      <c r="C26" s="20" t="s">
        <v>244</v>
      </c>
      <c r="D26" s="7">
        <v>-514.46822503429962</v>
      </c>
      <c r="E26" s="7">
        <v>-661.52313068288095</v>
      </c>
      <c r="F26" s="7">
        <v>-1542.1500092216402</v>
      </c>
      <c r="G26" s="7">
        <v>-163.95863608335571</v>
      </c>
      <c r="H26" s="7">
        <v>-621.10811549964342</v>
      </c>
      <c r="I26" s="7">
        <v>-1120.279327016312</v>
      </c>
      <c r="J26" s="7">
        <v>-1392.3776846060775</v>
      </c>
      <c r="K26" s="7">
        <v>-1573.3053528066146</v>
      </c>
      <c r="L26" s="7">
        <f>L14+L40+L41</f>
        <v>-1874.9482902784202</v>
      </c>
      <c r="M26" s="8"/>
    </row>
    <row r="27" spans="2:13" s="1" customFormat="1" ht="33" customHeight="1">
      <c r="B27" s="106" t="s">
        <v>245</v>
      </c>
      <c r="C27" s="107"/>
      <c r="D27" s="107"/>
      <c r="E27" s="107"/>
      <c r="F27" s="107"/>
      <c r="G27" s="107"/>
      <c r="H27" s="107"/>
      <c r="I27" s="107"/>
      <c r="J27" s="107"/>
      <c r="K27" s="107"/>
      <c r="L27" s="107"/>
      <c r="M27" s="108"/>
    </row>
    <row r="28" spans="2:13" ht="15.75" thickBot="1">
      <c r="B28" s="5"/>
      <c r="C28" s="21" t="s">
        <v>246</v>
      </c>
      <c r="D28" s="7"/>
      <c r="E28" s="7"/>
      <c r="F28" s="7"/>
      <c r="G28" s="7"/>
      <c r="H28" s="7"/>
      <c r="I28" s="7"/>
      <c r="J28" s="7"/>
      <c r="K28" s="7"/>
      <c r="L28" s="7"/>
      <c r="M28" s="8"/>
    </row>
    <row r="29" spans="2:13" ht="15.75" thickBot="1">
      <c r="B29" s="5"/>
      <c r="C29" s="18" t="s">
        <v>241</v>
      </c>
      <c r="D29" s="13">
        <v>105.97407865113536</v>
      </c>
      <c r="E29" s="13">
        <v>104.62103834452239</v>
      </c>
      <c r="F29" s="13">
        <v>110.22894415232241</v>
      </c>
      <c r="G29" s="13">
        <v>98.887228947758814</v>
      </c>
      <c r="H29" s="13">
        <v>102.32994506537364</v>
      </c>
      <c r="I29" s="13">
        <v>104.51013631923674</v>
      </c>
      <c r="J29" s="13">
        <v>105.18454186528199</v>
      </c>
      <c r="K29" s="13">
        <v>105.48253811335255</v>
      </c>
      <c r="L29" s="425">
        <f>L22/L6*100</f>
        <v>105.92524339941858</v>
      </c>
      <c r="M29" s="8"/>
    </row>
    <row r="30" spans="2:13" ht="15.75" thickBot="1">
      <c r="B30" s="5"/>
      <c r="C30" s="19" t="s">
        <v>228</v>
      </c>
      <c r="D30" s="13">
        <v>79.350160533988102</v>
      </c>
      <c r="E30" s="13">
        <v>79.905939299102428</v>
      </c>
      <c r="F30" s="13">
        <v>82.78761793614045</v>
      </c>
      <c r="G30" s="13">
        <v>83.244958381754003</v>
      </c>
      <c r="H30" s="13">
        <v>82.685308341451531</v>
      </c>
      <c r="I30" s="13">
        <v>82.442416026313353</v>
      </c>
      <c r="J30" s="13">
        <v>83.944304907540968</v>
      </c>
      <c r="K30" s="13">
        <v>84.518861474231514</v>
      </c>
      <c r="L30" s="416">
        <f>L7/L6*100</f>
        <v>84.961094493747723</v>
      </c>
      <c r="M30" s="8"/>
    </row>
    <row r="31" spans="2:13" ht="15.75" thickBot="1">
      <c r="B31" s="5"/>
      <c r="C31" s="19" t="s">
        <v>231</v>
      </c>
      <c r="D31" s="13">
        <v>26.623918117147245</v>
      </c>
      <c r="E31" s="13">
        <v>24.715099045419965</v>
      </c>
      <c r="F31" s="13">
        <v>27.44132621618196</v>
      </c>
      <c r="G31" s="13">
        <v>15.642270566004795</v>
      </c>
      <c r="H31" s="13">
        <v>19.64463672392208</v>
      </c>
      <c r="I31" s="13">
        <v>22.067720292923365</v>
      </c>
      <c r="J31" s="13">
        <v>21.240236957741029</v>
      </c>
      <c r="K31" s="13">
        <v>20.963676639121054</v>
      </c>
      <c r="L31" s="426">
        <f>L10/L6*100</f>
        <v>20.964148905670868</v>
      </c>
      <c r="M31" s="8"/>
    </row>
    <row r="32" spans="2:13" ht="15.75" thickBot="1">
      <c r="B32" s="5"/>
      <c r="C32" s="18" t="s">
        <v>236</v>
      </c>
      <c r="D32" s="13">
        <v>51.607784974390711</v>
      </c>
      <c r="E32" s="13">
        <v>51.125055436991452</v>
      </c>
      <c r="F32" s="13">
        <v>48.409009708806281</v>
      </c>
      <c r="G32" s="13">
        <v>45.227753296783895</v>
      </c>
      <c r="H32" s="13">
        <v>41.114531536697548</v>
      </c>
      <c r="I32" s="13">
        <v>40.046171068861064</v>
      </c>
      <c r="J32" s="13">
        <v>41.040851623716854</v>
      </c>
      <c r="K32" s="13">
        <v>40.110559017029281</v>
      </c>
      <c r="L32" s="416">
        <f>L15/L6*100</f>
        <v>39.91800846475234</v>
      </c>
      <c r="M32" s="8"/>
    </row>
    <row r="33" spans="2:13" ht="15.75" thickBot="1">
      <c r="B33" s="5"/>
      <c r="C33" s="18" t="s">
        <v>237</v>
      </c>
      <c r="D33" s="13">
        <v>58.066230407276322</v>
      </c>
      <c r="E33" s="13">
        <v>56.168193923744525</v>
      </c>
      <c r="F33" s="13">
        <v>58.803916222317262</v>
      </c>
      <c r="G33" s="13">
        <v>44.603284861166117</v>
      </c>
      <c r="H33" s="13">
        <v>43.568655333716414</v>
      </c>
      <c r="I33" s="13">
        <v>44.870280029604807</v>
      </c>
      <c r="J33" s="13">
        <v>46.225393488998833</v>
      </c>
      <c r="K33" s="13">
        <v>45.593097130381842</v>
      </c>
      <c r="L33" s="426">
        <f>L16/L6*100</f>
        <v>45.843251864170931</v>
      </c>
      <c r="M33" s="8"/>
    </row>
    <row r="34" spans="2:13" ht="15.75" thickBot="1">
      <c r="B34" s="5"/>
      <c r="C34" s="18" t="s">
        <v>242</v>
      </c>
      <c r="D34" s="13">
        <v>21.931842891020921</v>
      </c>
      <c r="E34" s="13">
        <v>19.609304911345738</v>
      </c>
      <c r="F34" s="13">
        <v>16.976981010261081</v>
      </c>
      <c r="G34" s="13">
        <v>14.60106562514879</v>
      </c>
      <c r="H34" s="13">
        <v>16.121434207175653</v>
      </c>
      <c r="I34" s="13">
        <v>16.301362325529396</v>
      </c>
      <c r="J34" s="13">
        <v>14.659160287456888</v>
      </c>
      <c r="K34" s="13">
        <v>14.310149686927549</v>
      </c>
      <c r="L34" s="416">
        <f>L23/L6*100</f>
        <v>13.943386038247871</v>
      </c>
      <c r="M34" s="8"/>
    </row>
    <row r="35" spans="2:13" ht="15.75" thickBot="1">
      <c r="B35" s="5"/>
      <c r="C35" s="18" t="s">
        <v>173</v>
      </c>
      <c r="D35" s="13">
        <v>26.623918117147245</v>
      </c>
      <c r="E35" s="13">
        <v>24.715099045419965</v>
      </c>
      <c r="F35" s="13">
        <v>27.44132621618196</v>
      </c>
      <c r="G35" s="13">
        <v>15.642270566004795</v>
      </c>
      <c r="H35" s="13">
        <v>19.64463672392208</v>
      </c>
      <c r="I35" s="13">
        <v>22.067720292923365</v>
      </c>
      <c r="J35" s="13">
        <v>21.240236957741029</v>
      </c>
      <c r="K35" s="13">
        <v>20.963676639121054</v>
      </c>
      <c r="L35" s="426">
        <f>L10/L6*100</f>
        <v>20.964148905670868</v>
      </c>
      <c r="M35" s="8"/>
    </row>
    <row r="36" spans="2:13" ht="15.75" thickBot="1">
      <c r="B36" s="5"/>
      <c r="C36" s="18" t="s">
        <v>243</v>
      </c>
      <c r="D36" s="13">
        <v>-4.6920752261263257</v>
      </c>
      <c r="E36" s="13">
        <v>-5.1057941340742268</v>
      </c>
      <c r="F36" s="13">
        <v>-10.464345205920878</v>
      </c>
      <c r="G36" s="13">
        <v>-1.0412049408560049</v>
      </c>
      <c r="H36" s="13">
        <v>-3.5232025167464243</v>
      </c>
      <c r="I36" s="13">
        <v>-5.7663579673939669</v>
      </c>
      <c r="J36" s="13">
        <v>-6.5810766702841414</v>
      </c>
      <c r="K36" s="13">
        <v>-6.6535269521935057</v>
      </c>
      <c r="L36" s="416">
        <f>L25/L6*100</f>
        <v>-7.020762867422996</v>
      </c>
      <c r="M36" s="8"/>
    </row>
    <row r="37" spans="2:13">
      <c r="B37" s="5"/>
      <c r="C37" s="256"/>
      <c r="D37" s="255"/>
      <c r="E37" s="255"/>
      <c r="F37" s="255"/>
      <c r="G37" s="255"/>
      <c r="H37" s="255"/>
      <c r="I37" s="255"/>
      <c r="J37" s="255"/>
      <c r="K37" s="255"/>
      <c r="L37" s="255"/>
      <c r="M37" s="8"/>
    </row>
    <row r="38" spans="2:13" s="1" customFormat="1" ht="33" customHeight="1">
      <c r="B38" s="106" t="s">
        <v>225</v>
      </c>
      <c r="C38" s="107"/>
      <c r="D38" s="107"/>
      <c r="E38" s="107"/>
      <c r="F38" s="107"/>
      <c r="G38" s="107"/>
      <c r="H38" s="107"/>
      <c r="I38" s="107"/>
      <c r="J38" s="107"/>
      <c r="K38" s="107"/>
      <c r="L38" s="107"/>
      <c r="M38" s="108"/>
    </row>
    <row r="39" spans="2:13" ht="15.75" thickBot="1">
      <c r="B39" s="5"/>
      <c r="C39" s="21" t="s">
        <v>247</v>
      </c>
      <c r="D39" s="7"/>
      <c r="E39" s="7"/>
      <c r="F39" s="7"/>
      <c r="G39" s="7"/>
      <c r="H39" s="7"/>
      <c r="I39" s="7"/>
      <c r="J39" s="7"/>
      <c r="K39" s="7"/>
      <c r="L39" s="103"/>
      <c r="M39" s="8"/>
    </row>
    <row r="40" spans="2:13" ht="15.75" thickBot="1">
      <c r="B40" s="5"/>
      <c r="C40" s="18" t="s">
        <v>248</v>
      </c>
      <c r="D40" s="7">
        <v>-37.928658961817419</v>
      </c>
      <c r="E40" s="7">
        <v>-305.46170939172652</v>
      </c>
      <c r="F40" s="7">
        <v>-267.44545854191006</v>
      </c>
      <c r="G40" s="7">
        <v>-544.88251306662596</v>
      </c>
      <c r="H40" s="7">
        <v>-403.07668745798145</v>
      </c>
      <c r="I40" s="7">
        <v>-407.57340672000009</v>
      </c>
      <c r="J40" s="13">
        <v>-465.81769792913826</v>
      </c>
      <c r="K40" s="13">
        <v>-458.70833792116014</v>
      </c>
      <c r="L40" s="416">
        <f>BP!L12*BP!L58/1000</f>
        <v>-491.11700032547958</v>
      </c>
      <c r="M40" s="8"/>
    </row>
    <row r="41" spans="2:13" ht="15.75" thickBot="1">
      <c r="B41" s="5"/>
      <c r="C41" s="18" t="s">
        <v>249</v>
      </c>
      <c r="D41" s="7">
        <v>178.49546464297549</v>
      </c>
      <c r="E41" s="7">
        <v>242.65518819242834</v>
      </c>
      <c r="F41" s="7">
        <v>232.75396759489234</v>
      </c>
      <c r="G41" s="7">
        <v>205.69571887588333</v>
      </c>
      <c r="H41" s="7">
        <v>192.71640206272403</v>
      </c>
      <c r="I41" s="13">
        <v>163.51655999999997</v>
      </c>
      <c r="J41" s="13">
        <v>170.34873507070353</v>
      </c>
      <c r="K41" s="13">
        <v>181.81414008254029</v>
      </c>
      <c r="L41" s="427">
        <f>BP!L17*'TC nominal'!I13/1000</f>
        <v>198.55016787589972</v>
      </c>
      <c r="M41" s="8"/>
    </row>
    <row r="42" spans="2:13" outlineLevel="1">
      <c r="B42" s="5"/>
      <c r="C42" s="246"/>
      <c r="D42" s="247"/>
      <c r="E42" s="247"/>
      <c r="F42" s="247"/>
      <c r="G42" s="247"/>
      <c r="H42" s="247"/>
      <c r="I42" s="496"/>
      <c r="J42" s="496"/>
      <c r="K42" s="7"/>
      <c r="L42" s="7"/>
      <c r="M42" s="361"/>
    </row>
    <row r="43" spans="2:13" ht="15.75" outlineLevel="1" thickBot="1">
      <c r="B43" s="10"/>
      <c r="C43" s="17"/>
      <c r="D43" s="11"/>
      <c r="E43" s="11"/>
      <c r="F43" s="11"/>
      <c r="G43" s="11"/>
      <c r="H43" s="11"/>
      <c r="I43" s="861"/>
      <c r="J43" s="861"/>
      <c r="K43" s="11"/>
      <c r="L43" s="11"/>
      <c r="M43" s="12"/>
    </row>
    <row r="44" spans="2:13" outlineLevel="1">
      <c r="D44" s="3"/>
      <c r="E44" s="3"/>
      <c r="F44" s="3"/>
      <c r="G44" s="3"/>
      <c r="H44" s="3"/>
      <c r="I44" s="3"/>
      <c r="J44" s="3"/>
      <c r="K44" s="3"/>
      <c r="L44" s="3"/>
      <c r="M44" s="3"/>
    </row>
    <row r="45" spans="2:13" outlineLevel="1">
      <c r="D45" s="3"/>
      <c r="E45" s="3"/>
      <c r="F45" s="3"/>
      <c r="G45" s="3"/>
      <c r="H45" s="3"/>
      <c r="I45" s="3"/>
      <c r="J45" s="3"/>
      <c r="K45" s="3"/>
      <c r="L45" s="3"/>
      <c r="M45" s="3"/>
    </row>
    <row r="46" spans="2:13" outlineLevel="1">
      <c r="D46" s="3"/>
      <c r="E46" s="3"/>
      <c r="F46" s="3"/>
      <c r="G46" s="3"/>
      <c r="H46" s="3"/>
      <c r="I46" s="3"/>
      <c r="J46" s="3"/>
      <c r="K46" s="3"/>
      <c r="L46" s="3"/>
      <c r="M46" s="3"/>
    </row>
    <row r="47" spans="2:13" outlineLevel="1">
      <c r="D47" s="3"/>
      <c r="E47" s="3"/>
      <c r="F47" s="3"/>
      <c r="G47" s="3"/>
      <c r="H47" s="3"/>
      <c r="I47" s="3"/>
      <c r="J47" s="3"/>
      <c r="K47" s="3"/>
      <c r="L47" s="3"/>
      <c r="M47" s="3"/>
    </row>
    <row r="48" spans="2:13" outlineLevel="1">
      <c r="D48" s="3"/>
      <c r="E48" s="3"/>
      <c r="F48" s="3"/>
      <c r="G48" s="3"/>
      <c r="H48" s="3"/>
      <c r="I48" s="3"/>
      <c r="J48" s="3"/>
      <c r="K48" s="3"/>
      <c r="L48" s="3"/>
      <c r="M48" s="3"/>
    </row>
    <row r="49" spans="4:17">
      <c r="D49" s="3"/>
      <c r="E49" s="3"/>
      <c r="F49" s="3"/>
      <c r="G49" s="3"/>
      <c r="H49" s="3"/>
      <c r="I49" s="3"/>
      <c r="J49" s="3"/>
      <c r="K49" s="3"/>
      <c r="L49" s="3"/>
      <c r="M49" s="3"/>
    </row>
    <row r="50" spans="4:17">
      <c r="D50" s="3"/>
      <c r="E50" s="3"/>
      <c r="F50" s="3"/>
      <c r="G50" s="3"/>
      <c r="H50" s="3"/>
      <c r="I50" s="3"/>
      <c r="J50" s="3"/>
      <c r="K50" s="3"/>
      <c r="L50" s="3"/>
      <c r="M50" s="3"/>
    </row>
    <row r="51" spans="4:17" outlineLevel="1">
      <c r="D51" s="3"/>
      <c r="E51" s="3"/>
      <c r="F51" s="3"/>
      <c r="G51" s="3"/>
      <c r="H51" s="3"/>
      <c r="I51" s="3"/>
      <c r="J51" s="3"/>
      <c r="K51" s="3"/>
      <c r="L51" s="3"/>
      <c r="M51" s="3"/>
    </row>
    <row r="52" spans="4:17" outlineLevel="1">
      <c r="D52" s="3"/>
      <c r="E52" s="3"/>
      <c r="F52" s="3"/>
      <c r="G52" s="3"/>
      <c r="H52" s="3"/>
      <c r="I52" s="3"/>
      <c r="J52" s="3"/>
      <c r="K52" s="3"/>
      <c r="L52" s="3"/>
      <c r="M52" s="3"/>
    </row>
    <row r="53" spans="4:17" outlineLevel="1">
      <c r="D53" s="3"/>
      <c r="E53" s="3"/>
      <c r="F53" s="3"/>
      <c r="G53" s="3"/>
      <c r="H53" s="3"/>
      <c r="I53" s="3"/>
      <c r="J53" s="3"/>
      <c r="K53" s="3"/>
      <c r="L53" s="3"/>
      <c r="M53" s="3"/>
    </row>
    <row r="54" spans="4:17" outlineLevel="1">
      <c r="D54" s="3"/>
      <c r="E54" s="3"/>
      <c r="F54" s="3"/>
      <c r="G54" s="3"/>
      <c r="H54" s="3"/>
      <c r="I54" s="3"/>
      <c r="J54" s="3"/>
      <c r="K54" s="3"/>
      <c r="L54" s="3"/>
      <c r="M54" s="3"/>
    </row>
    <row r="55" spans="4:17" outlineLevel="1">
      <c r="D55" s="3"/>
      <c r="E55" s="3"/>
      <c r="F55" s="3"/>
      <c r="G55" s="3"/>
      <c r="H55" s="3"/>
      <c r="I55" s="3"/>
      <c r="J55" s="3"/>
      <c r="K55" s="3"/>
      <c r="L55" s="3"/>
      <c r="M55" s="3"/>
    </row>
    <row r="56" spans="4:17" outlineLevel="1">
      <c r="D56" s="3"/>
      <c r="E56" s="3"/>
      <c r="F56" s="3"/>
      <c r="G56" s="3"/>
      <c r="H56" s="3"/>
      <c r="I56" s="3"/>
      <c r="J56" s="3"/>
      <c r="K56" s="3"/>
      <c r="L56" s="3"/>
      <c r="M56" s="3"/>
      <c r="O56" s="250"/>
    </row>
    <row r="57" spans="4:17" outlineLevel="1">
      <c r="D57" s="3"/>
      <c r="E57" s="3"/>
      <c r="F57" s="3"/>
      <c r="G57" s="3"/>
      <c r="H57" s="3"/>
      <c r="I57" s="3"/>
      <c r="J57" s="3"/>
      <c r="K57" s="3"/>
      <c r="L57" s="3"/>
      <c r="M57" s="3"/>
      <c r="P57" s="250"/>
    </row>
    <row r="58" spans="4:17" outlineLevel="1">
      <c r="D58" s="3"/>
      <c r="E58" s="3"/>
      <c r="F58" s="3"/>
      <c r="G58" s="3"/>
      <c r="H58" s="3"/>
      <c r="I58" s="3"/>
      <c r="J58" s="3"/>
      <c r="K58" s="3"/>
      <c r="L58" s="3"/>
      <c r="M58" s="3"/>
      <c r="P58" s="250"/>
    </row>
    <row r="59" spans="4:17" outlineLevel="1">
      <c r="D59" s="3"/>
      <c r="E59" s="3"/>
      <c r="F59" s="3"/>
      <c r="G59" s="3"/>
      <c r="H59" s="3"/>
      <c r="I59" s="3"/>
      <c r="J59" s="3"/>
      <c r="K59" s="3"/>
      <c r="L59" s="3"/>
      <c r="M59" s="3"/>
      <c r="P59" s="250"/>
    </row>
    <row r="60" spans="4:17" outlineLevel="1">
      <c r="D60" s="3"/>
      <c r="E60" s="3"/>
      <c r="F60" s="3"/>
      <c r="G60" s="3"/>
      <c r="H60" s="3"/>
      <c r="I60" s="3"/>
      <c r="J60" s="3"/>
      <c r="K60" s="3"/>
      <c r="L60" s="3"/>
      <c r="M60" s="3"/>
      <c r="P60" s="250"/>
    </row>
    <row r="61" spans="4:17" outlineLevel="1">
      <c r="D61" s="3"/>
      <c r="E61" s="3"/>
      <c r="F61" s="3"/>
      <c r="G61" s="3"/>
      <c r="H61" s="3"/>
      <c r="I61" s="3"/>
      <c r="J61" s="3"/>
      <c r="K61" s="3"/>
      <c r="L61" s="3"/>
      <c r="M61" s="3"/>
      <c r="P61" s="250"/>
    </row>
    <row r="62" spans="4:17" outlineLevel="1">
      <c r="D62" s="3"/>
      <c r="E62" s="3"/>
      <c r="F62" s="3"/>
      <c r="G62" s="3"/>
      <c r="H62" s="3"/>
      <c r="I62" s="3"/>
      <c r="J62" s="3"/>
      <c r="K62" s="3"/>
      <c r="L62" s="3"/>
      <c r="M62" s="3"/>
      <c r="P62" s="250"/>
    </row>
    <row r="63" spans="4:17" outlineLevel="1">
      <c r="D63" s="3"/>
      <c r="E63" s="3"/>
      <c r="F63" s="3"/>
      <c r="G63" s="3"/>
      <c r="H63" s="3"/>
      <c r="I63" s="3"/>
      <c r="J63" s="3"/>
      <c r="K63" s="3"/>
      <c r="L63" s="3"/>
      <c r="M63" s="3"/>
      <c r="Q63" s="250"/>
    </row>
    <row r="64" spans="4:17" outlineLevel="1">
      <c r="D64" s="3"/>
      <c r="E64" s="3"/>
      <c r="F64" s="3"/>
      <c r="G64" s="3"/>
      <c r="H64" s="3"/>
      <c r="I64" s="3"/>
      <c r="J64" s="3"/>
      <c r="K64" s="3"/>
      <c r="L64" s="3"/>
      <c r="M64" s="3"/>
      <c r="Q64" s="250"/>
    </row>
    <row r="65" spans="4:22" outlineLevel="1">
      <c r="D65" s="3"/>
      <c r="E65" s="3"/>
      <c r="F65" s="3"/>
      <c r="G65" s="3"/>
      <c r="H65" s="3"/>
      <c r="I65" s="3"/>
      <c r="J65" s="3"/>
      <c r="K65" s="3"/>
      <c r="L65" s="3"/>
      <c r="M65" s="3"/>
      <c r="Q65" s="250"/>
    </row>
    <row r="66" spans="4:22" outlineLevel="1">
      <c r="D66" s="3"/>
      <c r="E66" s="3"/>
      <c r="F66" s="3"/>
      <c r="G66" s="3"/>
      <c r="H66" s="3"/>
      <c r="I66" s="3"/>
      <c r="J66" s="3"/>
      <c r="K66" s="3"/>
      <c r="L66" s="3"/>
      <c r="M66" s="3"/>
      <c r="R66" s="250"/>
    </row>
    <row r="67" spans="4:22" outlineLevel="1">
      <c r="D67" s="3"/>
      <c r="E67" s="3"/>
      <c r="F67" s="3"/>
      <c r="G67" s="3"/>
      <c r="H67" s="3"/>
      <c r="I67" s="3"/>
      <c r="J67" s="3"/>
      <c r="K67" s="3"/>
      <c r="L67" s="3"/>
      <c r="M67" s="3"/>
      <c r="R67" s="250"/>
    </row>
    <row r="68" spans="4:22" outlineLevel="1">
      <c r="D68" s="3"/>
      <c r="E68" s="3"/>
      <c r="F68" s="3"/>
      <c r="G68" s="3"/>
      <c r="H68" s="3"/>
      <c r="I68" s="3"/>
      <c r="J68" s="3"/>
      <c r="K68" s="3"/>
      <c r="L68" s="3"/>
      <c r="M68" s="3"/>
      <c r="R68" s="250"/>
    </row>
    <row r="69" spans="4:22" outlineLevel="1">
      <c r="D69" s="3"/>
      <c r="E69" s="3"/>
      <c r="F69" s="3"/>
      <c r="G69" s="3"/>
      <c r="H69" s="3"/>
      <c r="I69" s="3"/>
      <c r="J69" s="3"/>
      <c r="K69" s="3"/>
      <c r="L69" s="3"/>
      <c r="M69" s="3"/>
      <c r="S69" s="250"/>
    </row>
    <row r="70" spans="4:22" outlineLevel="1">
      <c r="D70" s="3"/>
      <c r="E70" s="3"/>
      <c r="F70" s="3"/>
      <c r="G70" s="3"/>
      <c r="H70" s="3"/>
      <c r="I70" s="3"/>
      <c r="J70" s="3"/>
      <c r="K70" s="3"/>
      <c r="L70" s="3"/>
      <c r="M70" s="3"/>
      <c r="T70" s="250"/>
    </row>
    <row r="71" spans="4:22" outlineLevel="1">
      <c r="D71" s="3"/>
      <c r="E71" s="3"/>
      <c r="F71" s="3"/>
      <c r="G71" s="3"/>
      <c r="H71" s="3"/>
      <c r="I71" s="3"/>
      <c r="J71" s="3"/>
      <c r="K71" s="3"/>
      <c r="L71" s="3"/>
      <c r="M71" s="3"/>
      <c r="T71" s="250"/>
    </row>
    <row r="72" spans="4:22" outlineLevel="1">
      <c r="D72" s="3"/>
      <c r="E72" s="3"/>
      <c r="F72" s="3"/>
      <c r="G72" s="3"/>
      <c r="H72" s="3"/>
      <c r="I72" s="3"/>
      <c r="J72" s="3"/>
      <c r="K72" s="3"/>
      <c r="L72" s="3"/>
      <c r="M72" s="3"/>
      <c r="T72" s="250"/>
    </row>
    <row r="73" spans="4:22" outlineLevel="1">
      <c r="D73" s="3"/>
      <c r="E73" s="3"/>
      <c r="F73" s="3"/>
      <c r="G73" s="3"/>
      <c r="H73" s="3"/>
      <c r="I73" s="3"/>
      <c r="J73" s="3"/>
      <c r="K73" s="3"/>
      <c r="L73" s="3"/>
      <c r="M73" s="3"/>
      <c r="U73" s="250"/>
    </row>
    <row r="74" spans="4:22" outlineLevel="1">
      <c r="D74" s="3"/>
      <c r="E74" s="3"/>
      <c r="F74" s="3"/>
      <c r="G74" s="3"/>
      <c r="H74" s="3"/>
      <c r="I74" s="3"/>
      <c r="J74" s="3"/>
      <c r="K74" s="3"/>
      <c r="L74" s="3"/>
      <c r="M74" s="3"/>
      <c r="U74" s="250"/>
    </row>
    <row r="75" spans="4:22" outlineLevel="1">
      <c r="D75" s="3"/>
      <c r="E75" s="3"/>
      <c r="F75" s="3"/>
      <c r="G75" s="3"/>
      <c r="H75" s="3"/>
      <c r="I75" s="3"/>
      <c r="J75" s="3"/>
      <c r="K75" s="3"/>
      <c r="L75" s="3"/>
      <c r="M75" s="3"/>
      <c r="U75" s="250"/>
    </row>
    <row r="76" spans="4:22">
      <c r="D76" s="3"/>
      <c r="E76" s="3"/>
      <c r="F76" s="3"/>
      <c r="G76" s="3"/>
      <c r="H76" s="3"/>
      <c r="I76" s="3"/>
      <c r="J76" s="3"/>
      <c r="K76" s="3"/>
      <c r="L76" s="3"/>
      <c r="M76" s="3"/>
      <c r="V76" s="250"/>
    </row>
    <row r="77" spans="4:22">
      <c r="D77" s="3"/>
      <c r="E77" s="3"/>
      <c r="F77" s="3"/>
      <c r="G77" s="3"/>
      <c r="H77" s="3"/>
      <c r="I77" s="3"/>
      <c r="J77" s="3"/>
      <c r="K77" s="3"/>
      <c r="L77" s="3"/>
      <c r="M77" s="3"/>
      <c r="V77" s="250"/>
    </row>
    <row r="78" spans="4:22">
      <c r="D78" s="3"/>
      <c r="E78" s="3"/>
      <c r="F78" s="3"/>
      <c r="G78" s="3"/>
      <c r="H78" s="3"/>
      <c r="I78" s="3"/>
      <c r="J78" s="3"/>
      <c r="K78" s="3"/>
      <c r="L78" s="3"/>
      <c r="M78" s="3"/>
      <c r="V78" s="250"/>
    </row>
  </sheetData>
  <pageMargins left="0.7" right="0.7" top="0.75" bottom="0.75" header="0.3" footer="0.3"/>
  <pageSetup orientation="portrait"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AA106"/>
  <sheetViews>
    <sheetView topLeftCell="A31" zoomScaleNormal="100" workbookViewId="0"/>
  </sheetViews>
  <sheetFormatPr baseColWidth="10" defaultColWidth="9.42578125" defaultRowHeight="15"/>
  <cols>
    <col min="1" max="1" width="4.42578125" style="2" customWidth="1"/>
    <col min="2" max="2" width="15.5703125" style="2" customWidth="1"/>
    <col min="3" max="10" width="14.42578125" style="2" customWidth="1"/>
    <col min="11" max="13" width="10.42578125" style="2" customWidth="1"/>
    <col min="14" max="16384" width="9.42578125" style="2"/>
  </cols>
  <sheetData>
    <row r="1" spans="2:10">
      <c r="B1" s="2" t="s">
        <v>250</v>
      </c>
    </row>
    <row r="2" spans="2:10" ht="15.75" thickBot="1"/>
    <row r="3" spans="2:10">
      <c r="B3" s="273" t="s">
        <v>251</v>
      </c>
      <c r="C3" s="273"/>
    </row>
    <row r="4" spans="2:10">
      <c r="B4" s="29" t="s">
        <v>252</v>
      </c>
      <c r="C4" s="258">
        <v>0.99405164286437342</v>
      </c>
      <c r="D4" s="267"/>
      <c r="E4" s="267"/>
      <c r="F4" s="267"/>
      <c r="G4" s="267"/>
      <c r="H4" s="267"/>
      <c r="I4" s="267"/>
      <c r="J4" s="267"/>
    </row>
    <row r="5" spans="2:10">
      <c r="B5" s="29" t="s">
        <v>253</v>
      </c>
      <c r="C5" s="258">
        <v>0.98813866868135969</v>
      </c>
      <c r="D5" s="267"/>
      <c r="E5" s="267"/>
      <c r="F5" s="267"/>
      <c r="G5" s="267"/>
      <c r="H5" s="267"/>
      <c r="I5" s="267"/>
      <c r="J5" s="267"/>
    </row>
    <row r="6" spans="2:10">
      <c r="B6" s="29" t="s">
        <v>254</v>
      </c>
      <c r="C6" s="258">
        <v>0.98784936791749034</v>
      </c>
      <c r="D6" s="267"/>
      <c r="E6" s="267"/>
      <c r="F6" s="267"/>
      <c r="G6" s="267"/>
      <c r="H6" s="267"/>
      <c r="I6" s="267"/>
      <c r="J6" s="267"/>
    </row>
    <row r="7" spans="2:10">
      <c r="B7" s="29" t="s">
        <v>255</v>
      </c>
      <c r="C7" s="258">
        <v>5.6005920303721618E-2</v>
      </c>
      <c r="D7" s="267"/>
      <c r="E7" s="267"/>
      <c r="F7" s="267"/>
      <c r="G7" s="267"/>
      <c r="H7" s="267"/>
      <c r="I7" s="267"/>
      <c r="J7" s="267"/>
    </row>
    <row r="8" spans="2:10" ht="15.75" thickBot="1">
      <c r="B8" s="138" t="s">
        <v>256</v>
      </c>
      <c r="C8" s="274">
        <v>43</v>
      </c>
      <c r="D8" s="267"/>
      <c r="E8" s="267"/>
      <c r="F8" s="267"/>
      <c r="G8" s="267"/>
      <c r="H8" s="267"/>
      <c r="I8" s="267"/>
      <c r="J8" s="267"/>
    </row>
    <row r="9" spans="2:10">
      <c r="C9" s="267"/>
      <c r="D9" s="267"/>
      <c r="E9" s="267"/>
      <c r="F9" s="267"/>
      <c r="G9" s="267"/>
      <c r="H9" s="267"/>
      <c r="I9" s="267"/>
      <c r="J9" s="267"/>
    </row>
    <row r="10" spans="2:10" ht="15.75" thickBot="1">
      <c r="B10" s="29" t="s">
        <v>257</v>
      </c>
      <c r="C10" s="258"/>
      <c r="D10" s="258"/>
      <c r="E10" s="258"/>
      <c r="F10" s="258"/>
      <c r="G10" s="258"/>
      <c r="H10" s="267"/>
      <c r="I10" s="267"/>
      <c r="J10" s="267"/>
    </row>
    <row r="11" spans="2:10">
      <c r="B11" s="275"/>
      <c r="C11" s="276" t="s">
        <v>258</v>
      </c>
      <c r="D11" s="276" t="s">
        <v>259</v>
      </c>
      <c r="E11" s="276" t="s">
        <v>260</v>
      </c>
      <c r="F11" s="276" t="s">
        <v>261</v>
      </c>
      <c r="G11" s="276" t="s">
        <v>262</v>
      </c>
      <c r="H11" s="267"/>
      <c r="I11" s="267"/>
      <c r="J11" s="267"/>
    </row>
    <row r="12" spans="2:10">
      <c r="B12" s="29" t="s">
        <v>263</v>
      </c>
      <c r="C12" s="258">
        <v>1</v>
      </c>
      <c r="D12" s="258">
        <v>10.71361882091589</v>
      </c>
      <c r="E12" s="258">
        <v>10.71361882091589</v>
      </c>
      <c r="F12" s="258">
        <v>3415.6102993487489</v>
      </c>
      <c r="G12" s="258">
        <v>4.1219774841544552E-41</v>
      </c>
      <c r="H12" s="267"/>
      <c r="I12" s="267"/>
      <c r="J12" s="267"/>
    </row>
    <row r="13" spans="2:10">
      <c r="B13" s="29" t="s">
        <v>264</v>
      </c>
      <c r="C13" s="258">
        <v>41</v>
      </c>
      <c r="D13" s="258">
        <v>0.12860318747173952</v>
      </c>
      <c r="E13" s="258">
        <v>3.1366631090668177E-3</v>
      </c>
      <c r="F13" s="258"/>
      <c r="G13" s="258"/>
      <c r="H13" s="267"/>
      <c r="I13" s="267"/>
      <c r="J13" s="267"/>
    </row>
    <row r="14" spans="2:10" ht="15.75" thickBot="1">
      <c r="B14" s="138" t="s">
        <v>265</v>
      </c>
      <c r="C14" s="274">
        <v>42</v>
      </c>
      <c r="D14" s="274">
        <v>10.84222200838763</v>
      </c>
      <c r="E14" s="274"/>
      <c r="F14" s="274"/>
      <c r="G14" s="274"/>
      <c r="H14" s="267"/>
      <c r="I14" s="267"/>
      <c r="J14" s="267"/>
    </row>
    <row r="15" spans="2:10" ht="15.75" thickBot="1">
      <c r="C15" s="267"/>
      <c r="D15" s="267"/>
      <c r="E15" s="267"/>
      <c r="F15" s="267"/>
      <c r="G15" s="267"/>
      <c r="H15" s="267"/>
      <c r="I15" s="267"/>
      <c r="J15" s="267"/>
    </row>
    <row r="16" spans="2:10">
      <c r="B16" s="275"/>
      <c r="C16" s="276" t="s">
        <v>266</v>
      </c>
      <c r="D16" s="276" t="s">
        <v>255</v>
      </c>
      <c r="E16" s="276" t="s">
        <v>267</v>
      </c>
      <c r="F16" s="276" t="s">
        <v>268</v>
      </c>
      <c r="G16" s="276" t="s">
        <v>269</v>
      </c>
      <c r="H16" s="276" t="s">
        <v>270</v>
      </c>
      <c r="I16" s="276" t="s">
        <v>271</v>
      </c>
      <c r="J16" s="276" t="s">
        <v>272</v>
      </c>
    </row>
    <row r="17" spans="2:11">
      <c r="B17" s="29" t="s">
        <v>273</v>
      </c>
      <c r="C17" s="258">
        <v>7.6744177290308579</v>
      </c>
      <c r="D17" s="258">
        <v>1.7383999035556565E-2</v>
      </c>
      <c r="E17" s="258">
        <v>441.46445897367448</v>
      </c>
      <c r="F17" s="258">
        <v>5.1572066654491421E-77</v>
      </c>
      <c r="G17" s="258">
        <v>7.6393100311339666</v>
      </c>
      <c r="H17" s="258">
        <v>7.7095254269277493</v>
      </c>
      <c r="I17" s="258">
        <v>7.6393100311339666</v>
      </c>
      <c r="J17" s="258">
        <v>7.7095254269277493</v>
      </c>
    </row>
    <row r="18" spans="2:11" ht="15.75" thickBot="1">
      <c r="B18" s="138" t="s">
        <v>274</v>
      </c>
      <c r="C18" s="274">
        <v>4.0222911838950312E-2</v>
      </c>
      <c r="D18" s="274">
        <v>6.8823911249580629E-4</v>
      </c>
      <c r="E18" s="274">
        <v>58.443222869283538</v>
      </c>
      <c r="F18" s="274">
        <v>4.121977484154572E-41</v>
      </c>
      <c r="G18" s="274">
        <v>3.8832984769068025E-2</v>
      </c>
      <c r="H18" s="274">
        <v>4.1612838908832599E-2</v>
      </c>
      <c r="I18" s="274">
        <v>3.8832984769068025E-2</v>
      </c>
      <c r="J18" s="274">
        <v>4.1612838908832599E-2</v>
      </c>
    </row>
    <row r="19" spans="2:11">
      <c r="C19" s="267"/>
      <c r="D19" s="267"/>
      <c r="E19" s="267"/>
      <c r="F19" s="267"/>
      <c r="G19" s="267"/>
      <c r="H19" s="267"/>
      <c r="I19" s="267"/>
      <c r="J19" s="267"/>
    </row>
    <row r="20" spans="2:11" ht="18">
      <c r="B20" s="268" t="s">
        <v>275</v>
      </c>
      <c r="C20" s="269"/>
      <c r="D20" s="269"/>
      <c r="E20" s="269"/>
      <c r="F20" s="269"/>
      <c r="G20" s="269"/>
      <c r="H20" s="269"/>
      <c r="I20" s="269"/>
      <c r="J20" s="269"/>
      <c r="K20" s="269"/>
    </row>
    <row r="21" spans="2:11">
      <c r="B21" s="270" t="s">
        <v>276</v>
      </c>
      <c r="C21" s="270" t="s">
        <v>28</v>
      </c>
      <c r="D21" s="270"/>
      <c r="E21" s="270"/>
      <c r="F21" s="270"/>
      <c r="G21" s="270"/>
      <c r="H21" s="270"/>
      <c r="I21" s="270"/>
      <c r="J21" s="270"/>
      <c r="K21" s="270"/>
    </row>
    <row r="22" spans="2:11">
      <c r="B22" s="270" t="s">
        <v>277</v>
      </c>
      <c r="C22" s="270" t="s">
        <v>278</v>
      </c>
      <c r="D22" s="270"/>
      <c r="E22" s="270"/>
      <c r="F22" s="270"/>
      <c r="G22" s="270"/>
      <c r="H22" s="270"/>
      <c r="I22" s="270"/>
      <c r="J22" s="270"/>
      <c r="K22" s="270"/>
    </row>
    <row r="23" spans="2:11">
      <c r="B23" s="222" t="s">
        <v>279</v>
      </c>
      <c r="C23" s="270" t="s">
        <v>280</v>
      </c>
      <c r="D23" s="270"/>
      <c r="E23" s="270"/>
      <c r="F23" s="270"/>
      <c r="G23" s="270"/>
      <c r="H23" s="270"/>
      <c r="I23" s="270"/>
      <c r="J23" s="270"/>
      <c r="K23" s="270"/>
    </row>
    <row r="24" spans="2:11" ht="15" customHeight="1">
      <c r="B24" s="127"/>
      <c r="C24" s="127" t="s">
        <v>276</v>
      </c>
      <c r="D24" s="127" t="s">
        <v>281</v>
      </c>
      <c r="E24" s="127" t="s">
        <v>280</v>
      </c>
      <c r="F24" s="127"/>
      <c r="G24" s="127"/>
      <c r="H24" s="127"/>
      <c r="I24" s="127"/>
      <c r="J24" s="127"/>
      <c r="K24" s="127"/>
    </row>
    <row r="25" spans="2:11">
      <c r="B25" s="127"/>
      <c r="C25" s="127" t="s">
        <v>282</v>
      </c>
      <c r="D25" s="130" t="s">
        <v>283</v>
      </c>
      <c r="E25" s="127" t="s">
        <v>280</v>
      </c>
      <c r="F25" s="130" t="s">
        <v>284</v>
      </c>
      <c r="G25" s="127" t="s">
        <v>285</v>
      </c>
      <c r="H25" s="127" t="s">
        <v>286</v>
      </c>
      <c r="I25" s="127" t="s">
        <v>287</v>
      </c>
      <c r="J25" s="127" t="s">
        <v>288</v>
      </c>
      <c r="K25" s="127" t="s">
        <v>289</v>
      </c>
    </row>
    <row r="26" spans="2:11">
      <c r="B26" s="127">
        <v>1970</v>
      </c>
      <c r="C26" s="271">
        <v>2113.5784960000001</v>
      </c>
      <c r="D26" s="271">
        <f>LN(C26)</f>
        <v>7.656137759605782</v>
      </c>
      <c r="E26" s="271">
        <v>1</v>
      </c>
      <c r="F26" s="271">
        <f>$C$17+$C$18*G26</f>
        <v>7.7146406408698081</v>
      </c>
      <c r="G26" s="271">
        <v>1</v>
      </c>
      <c r="H26" s="271">
        <v>7.7146406408698081</v>
      </c>
      <c r="I26" s="271">
        <v>-5.850288126402603E-2</v>
      </c>
      <c r="J26" s="271">
        <f>F26+I26</f>
        <v>7.656137759605782</v>
      </c>
      <c r="K26" s="271">
        <f>J26-D26</f>
        <v>0</v>
      </c>
    </row>
    <row r="27" spans="2:11">
      <c r="B27" s="127">
        <f>B26+1</f>
        <v>1971</v>
      </c>
      <c r="C27" s="271">
        <v>2256.8475290000001</v>
      </c>
      <c r="D27" s="271">
        <f t="shared" ref="D27:D68" si="0">LN(C27)</f>
        <v>7.7217242198169602</v>
      </c>
      <c r="E27" s="271">
        <f>E26+1</f>
        <v>2</v>
      </c>
      <c r="F27" s="271">
        <f t="shared" ref="F27:F68" si="1">$C$17+$C$18*G27</f>
        <v>7.7548635527087582</v>
      </c>
      <c r="G27" s="271">
        <v>2</v>
      </c>
      <c r="H27" s="271">
        <v>7.7548635527087582</v>
      </c>
      <c r="I27" s="271">
        <v>-3.3139332891797935E-2</v>
      </c>
      <c r="J27" s="271">
        <f t="shared" ref="J27:J68" si="2">F27+I27</f>
        <v>7.7217242198169602</v>
      </c>
      <c r="K27" s="271">
        <f t="shared" ref="K27:K68" si="3">J27-D27</f>
        <v>0</v>
      </c>
    </row>
    <row r="28" spans="2:11">
      <c r="B28" s="127">
        <f t="shared" ref="B28:B68" si="4">B27+1</f>
        <v>1972</v>
      </c>
      <c r="C28" s="271">
        <v>2441.4135390000001</v>
      </c>
      <c r="D28" s="271">
        <f t="shared" si="0"/>
        <v>7.8003324698089189</v>
      </c>
      <c r="E28" s="271">
        <f t="shared" ref="E28:E68" si="5">E27+1</f>
        <v>3</v>
      </c>
      <c r="F28" s="271">
        <f t="shared" si="1"/>
        <v>7.7950864645477091</v>
      </c>
      <c r="G28" s="271">
        <v>3</v>
      </c>
      <c r="H28" s="271">
        <v>7.7950864645477091</v>
      </c>
      <c r="I28" s="271">
        <v>5.2460052612097741E-3</v>
      </c>
      <c r="J28" s="271">
        <f t="shared" si="2"/>
        <v>7.8003324698089189</v>
      </c>
      <c r="K28" s="271">
        <f t="shared" si="3"/>
        <v>0</v>
      </c>
    </row>
    <row r="29" spans="2:11">
      <c r="B29" s="127">
        <f t="shared" si="4"/>
        <v>1973</v>
      </c>
      <c r="C29" s="271">
        <v>2629.6200530000001</v>
      </c>
      <c r="D29" s="271">
        <f t="shared" si="0"/>
        <v>7.8745946481955906</v>
      </c>
      <c r="E29" s="271">
        <f t="shared" si="5"/>
        <v>4</v>
      </c>
      <c r="F29" s="271">
        <f t="shared" si="1"/>
        <v>7.8353093763866593</v>
      </c>
      <c r="G29" s="271">
        <v>4</v>
      </c>
      <c r="H29" s="271">
        <v>7.8353093763866593</v>
      </c>
      <c r="I29" s="271">
        <v>3.9285271808931377E-2</v>
      </c>
      <c r="J29" s="271">
        <f t="shared" si="2"/>
        <v>7.8745946481955906</v>
      </c>
      <c r="K29" s="271">
        <f t="shared" si="3"/>
        <v>0</v>
      </c>
    </row>
    <row r="30" spans="2:11">
      <c r="B30" s="127">
        <f t="shared" si="4"/>
        <v>1974</v>
      </c>
      <c r="C30" s="271">
        <v>2775.4298549999999</v>
      </c>
      <c r="D30" s="271">
        <f t="shared" si="0"/>
        <v>7.9285609168870526</v>
      </c>
      <c r="E30" s="271">
        <f t="shared" si="5"/>
        <v>5</v>
      </c>
      <c r="F30" s="271">
        <f t="shared" si="1"/>
        <v>7.8755322882256094</v>
      </c>
      <c r="G30" s="271">
        <v>5</v>
      </c>
      <c r="H30" s="271">
        <v>7.8755322882256094</v>
      </c>
      <c r="I30" s="271">
        <v>5.30286286614432E-2</v>
      </c>
      <c r="J30" s="271">
        <f t="shared" si="2"/>
        <v>7.9285609168870526</v>
      </c>
      <c r="K30" s="271">
        <f t="shared" si="3"/>
        <v>0</v>
      </c>
    </row>
    <row r="31" spans="2:11">
      <c r="B31" s="127">
        <f t="shared" si="4"/>
        <v>1975</v>
      </c>
      <c r="C31" s="271">
        <v>2833.715854</v>
      </c>
      <c r="D31" s="271">
        <f t="shared" si="0"/>
        <v>7.9493441519917516</v>
      </c>
      <c r="E31" s="271">
        <f t="shared" si="5"/>
        <v>6</v>
      </c>
      <c r="F31" s="271">
        <f t="shared" si="1"/>
        <v>7.9157552000645595</v>
      </c>
      <c r="G31" s="271">
        <v>6</v>
      </c>
      <c r="H31" s="271">
        <v>7.9157552000645595</v>
      </c>
      <c r="I31" s="271">
        <v>3.3588951927192134E-2</v>
      </c>
      <c r="J31" s="271">
        <f t="shared" si="2"/>
        <v>7.9493441519917516</v>
      </c>
      <c r="K31" s="271">
        <f t="shared" si="3"/>
        <v>0</v>
      </c>
    </row>
    <row r="32" spans="2:11">
      <c r="B32" s="127">
        <f t="shared" si="4"/>
        <v>1976</v>
      </c>
      <c r="C32" s="271">
        <v>2990.0679519999999</v>
      </c>
      <c r="D32" s="271">
        <f t="shared" si="0"/>
        <v>8.0030513925478957</v>
      </c>
      <c r="E32" s="271">
        <f t="shared" si="5"/>
        <v>7</v>
      </c>
      <c r="F32" s="271">
        <f t="shared" si="1"/>
        <v>7.9559781119035105</v>
      </c>
      <c r="G32" s="271">
        <v>7</v>
      </c>
      <c r="H32" s="271">
        <v>7.9559781119035105</v>
      </c>
      <c r="I32" s="271">
        <v>4.7073280644385207E-2</v>
      </c>
      <c r="J32" s="271">
        <f t="shared" si="2"/>
        <v>8.0030513925478957</v>
      </c>
      <c r="K32" s="271">
        <f t="shared" si="3"/>
        <v>0</v>
      </c>
    </row>
    <row r="33" spans="2:14">
      <c r="B33" s="127">
        <f t="shared" si="4"/>
        <v>1977</v>
      </c>
      <c r="C33" s="271">
        <v>3256.3177879999998</v>
      </c>
      <c r="D33" s="271">
        <f t="shared" si="0"/>
        <v>8.0883523230968901</v>
      </c>
      <c r="E33" s="271">
        <f t="shared" si="5"/>
        <v>8</v>
      </c>
      <c r="F33" s="271">
        <f t="shared" si="1"/>
        <v>7.9962010237424606</v>
      </c>
      <c r="G33" s="271">
        <v>8</v>
      </c>
      <c r="H33" s="271">
        <v>7.9962010237424606</v>
      </c>
      <c r="I33" s="271">
        <v>9.2151299354429561E-2</v>
      </c>
      <c r="J33" s="271">
        <f t="shared" si="2"/>
        <v>8.0883523230968901</v>
      </c>
      <c r="K33" s="271">
        <f t="shared" si="3"/>
        <v>0</v>
      </c>
    </row>
    <row r="34" spans="2:14">
      <c r="B34" s="127">
        <f t="shared" si="4"/>
        <v>1978</v>
      </c>
      <c r="C34" s="271">
        <v>3460.4135889999998</v>
      </c>
      <c r="D34" s="271">
        <f t="shared" si="0"/>
        <v>8.1491433953011665</v>
      </c>
      <c r="E34" s="271">
        <f t="shared" si="5"/>
        <v>9</v>
      </c>
      <c r="F34" s="271">
        <f t="shared" si="1"/>
        <v>8.0364239355814107</v>
      </c>
      <c r="G34" s="271">
        <v>9</v>
      </c>
      <c r="H34" s="271">
        <v>8.0364239355814107</v>
      </c>
      <c r="I34" s="271">
        <v>0.11271945971975583</v>
      </c>
      <c r="J34" s="271">
        <f t="shared" si="2"/>
        <v>8.1491433953011665</v>
      </c>
      <c r="K34" s="271">
        <f t="shared" si="3"/>
        <v>0</v>
      </c>
    </row>
    <row r="35" spans="2:14">
      <c r="B35" s="127">
        <f t="shared" si="4"/>
        <v>1979</v>
      </c>
      <c r="C35" s="271">
        <v>3631.4035490000001</v>
      </c>
      <c r="D35" s="271">
        <f t="shared" si="0"/>
        <v>8.197374505145115</v>
      </c>
      <c r="E35" s="271">
        <f t="shared" si="5"/>
        <v>10</v>
      </c>
      <c r="F35" s="271">
        <f t="shared" si="1"/>
        <v>8.0766468474203617</v>
      </c>
      <c r="G35" s="271">
        <v>10</v>
      </c>
      <c r="H35" s="271">
        <v>8.0766468474203617</v>
      </c>
      <c r="I35" s="271">
        <v>0.12072765772475336</v>
      </c>
      <c r="J35" s="271">
        <f t="shared" si="2"/>
        <v>8.197374505145115</v>
      </c>
      <c r="K35" s="271">
        <f t="shared" si="3"/>
        <v>0</v>
      </c>
    </row>
    <row r="36" spans="2:14">
      <c r="B36" s="127">
        <f t="shared" si="4"/>
        <v>1980</v>
      </c>
      <c r="C36" s="271">
        <v>3658.707332</v>
      </c>
      <c r="D36" s="271">
        <f t="shared" si="0"/>
        <v>8.2048651760317064</v>
      </c>
      <c r="E36" s="271">
        <f t="shared" si="5"/>
        <v>11</v>
      </c>
      <c r="F36" s="271">
        <f t="shared" si="1"/>
        <v>8.1168697592593109</v>
      </c>
      <c r="G36" s="271">
        <v>11</v>
      </c>
      <c r="H36" s="271">
        <v>8.1168697592593109</v>
      </c>
      <c r="I36" s="271">
        <v>8.7995416772395529E-2</v>
      </c>
      <c r="J36" s="271">
        <f t="shared" si="2"/>
        <v>8.2048651760317064</v>
      </c>
      <c r="K36" s="271">
        <f t="shared" si="3"/>
        <v>0</v>
      </c>
    </row>
    <row r="37" spans="2:14">
      <c r="B37" s="127">
        <f t="shared" si="4"/>
        <v>1981</v>
      </c>
      <c r="C37" s="271">
        <v>3575.8790250000002</v>
      </c>
      <c r="D37" s="271">
        <f t="shared" si="0"/>
        <v>8.1819663060231811</v>
      </c>
      <c r="E37" s="271">
        <f t="shared" si="5"/>
        <v>12</v>
      </c>
      <c r="F37" s="271">
        <f t="shared" si="1"/>
        <v>8.1570926710982619</v>
      </c>
      <c r="G37" s="271">
        <v>12</v>
      </c>
      <c r="H37" s="271">
        <v>8.1570926710982619</v>
      </c>
      <c r="I37" s="271">
        <v>2.487363492491923E-2</v>
      </c>
      <c r="J37" s="271">
        <f t="shared" si="2"/>
        <v>8.1819663060231811</v>
      </c>
      <c r="K37" s="271">
        <f t="shared" si="3"/>
        <v>0</v>
      </c>
    </row>
    <row r="38" spans="2:14">
      <c r="B38" s="127">
        <f t="shared" si="4"/>
        <v>1982</v>
      </c>
      <c r="C38" s="271">
        <v>3315.3264039999999</v>
      </c>
      <c r="D38" s="271">
        <f t="shared" si="0"/>
        <v>8.1063113605179229</v>
      </c>
      <c r="E38" s="271">
        <f t="shared" si="5"/>
        <v>13</v>
      </c>
      <c r="F38" s="271">
        <f t="shared" si="1"/>
        <v>8.1973155829372111</v>
      </c>
      <c r="G38" s="271">
        <v>13</v>
      </c>
      <c r="H38" s="271">
        <v>8.1973155829372111</v>
      </c>
      <c r="I38" s="271">
        <v>-9.1004222419288183E-2</v>
      </c>
      <c r="J38" s="271">
        <f t="shared" si="2"/>
        <v>8.1063113605179229</v>
      </c>
      <c r="K38" s="271">
        <f t="shared" si="3"/>
        <v>0</v>
      </c>
    </row>
    <row r="39" spans="2:14">
      <c r="B39" s="127">
        <f t="shared" si="4"/>
        <v>1983</v>
      </c>
      <c r="C39" s="271">
        <v>3453.1152980000002</v>
      </c>
      <c r="D39" s="271">
        <f t="shared" si="0"/>
        <v>8.147032087507311</v>
      </c>
      <c r="E39" s="271">
        <f t="shared" si="5"/>
        <v>14</v>
      </c>
      <c r="F39" s="271">
        <f t="shared" si="1"/>
        <v>8.2375384947761621</v>
      </c>
      <c r="G39" s="271">
        <v>14</v>
      </c>
      <c r="H39" s="271">
        <v>8.2375384947761621</v>
      </c>
      <c r="I39" s="271">
        <v>-9.0506407268851063E-2</v>
      </c>
      <c r="J39" s="271">
        <f t="shared" si="2"/>
        <v>8.147032087507311</v>
      </c>
      <c r="K39" s="271">
        <f t="shared" si="3"/>
        <v>0</v>
      </c>
    </row>
    <row r="40" spans="2:14">
      <c r="B40" s="127">
        <f t="shared" si="4"/>
        <v>1984</v>
      </c>
      <c r="C40" s="271">
        <v>3730.3475060000001</v>
      </c>
      <c r="D40" s="271">
        <f t="shared" si="0"/>
        <v>8.2242566734457121</v>
      </c>
      <c r="E40" s="271">
        <f t="shared" si="5"/>
        <v>15</v>
      </c>
      <c r="F40" s="271">
        <f t="shared" si="1"/>
        <v>8.2777614066151131</v>
      </c>
      <c r="G40" s="271">
        <v>15</v>
      </c>
      <c r="H40" s="271">
        <v>8.2777614066151131</v>
      </c>
      <c r="I40" s="271">
        <v>-5.3504733169400964E-2</v>
      </c>
      <c r="J40" s="271">
        <f t="shared" si="2"/>
        <v>8.2242566734457121</v>
      </c>
      <c r="K40" s="271">
        <f t="shared" si="3"/>
        <v>0</v>
      </c>
      <c r="M40" s="272" t="s">
        <v>1190</v>
      </c>
      <c r="N40" s="272"/>
    </row>
    <row r="41" spans="2:14">
      <c r="B41" s="127">
        <f t="shared" si="4"/>
        <v>1985</v>
      </c>
      <c r="C41" s="271">
        <v>3757.265758</v>
      </c>
      <c r="D41" s="271">
        <f t="shared" si="0"/>
        <v>8.2314467798302946</v>
      </c>
      <c r="E41" s="271">
        <f t="shared" si="5"/>
        <v>16</v>
      </c>
      <c r="F41" s="271">
        <f t="shared" si="1"/>
        <v>8.3179843184540623</v>
      </c>
      <c r="G41" s="271">
        <v>16</v>
      </c>
      <c r="H41" s="271">
        <v>8.3179843184540623</v>
      </c>
      <c r="I41" s="271">
        <v>-8.6537538623767674E-2</v>
      </c>
      <c r="J41" s="271">
        <f t="shared" si="2"/>
        <v>8.2314467798302946</v>
      </c>
      <c r="K41" s="271">
        <f t="shared" si="3"/>
        <v>0</v>
      </c>
    </row>
    <row r="42" spans="2:14">
      <c r="B42" s="127">
        <f t="shared" si="4"/>
        <v>1986</v>
      </c>
      <c r="C42" s="271">
        <v>3965.277415</v>
      </c>
      <c r="D42" s="271">
        <f t="shared" si="0"/>
        <v>8.2853310975735255</v>
      </c>
      <c r="E42" s="271">
        <f t="shared" si="5"/>
        <v>17</v>
      </c>
      <c r="F42" s="271">
        <f t="shared" si="1"/>
        <v>8.3582072302930133</v>
      </c>
      <c r="G42" s="271">
        <v>17</v>
      </c>
      <c r="H42" s="271">
        <v>8.3582072302930133</v>
      </c>
      <c r="I42" s="271">
        <v>-7.2876132719487785E-2</v>
      </c>
      <c r="J42" s="271">
        <f t="shared" si="2"/>
        <v>8.2853310975735255</v>
      </c>
      <c r="K42" s="271">
        <f t="shared" si="3"/>
        <v>0</v>
      </c>
    </row>
    <row r="43" spans="2:14">
      <c r="B43" s="127">
        <f t="shared" si="4"/>
        <v>1987</v>
      </c>
      <c r="C43" s="271">
        <v>4154.204377</v>
      </c>
      <c r="D43" s="271">
        <f t="shared" si="0"/>
        <v>8.3318762032739215</v>
      </c>
      <c r="E43" s="271">
        <f t="shared" si="5"/>
        <v>18</v>
      </c>
      <c r="F43" s="271">
        <f t="shared" si="1"/>
        <v>8.3984301421319643</v>
      </c>
      <c r="G43" s="271">
        <v>18</v>
      </c>
      <c r="H43" s="271">
        <v>8.3984301421319643</v>
      </c>
      <c r="I43" s="271">
        <v>-6.6553938858042727E-2</v>
      </c>
      <c r="J43" s="271">
        <f t="shared" si="2"/>
        <v>8.3318762032739215</v>
      </c>
      <c r="K43" s="271">
        <f t="shared" si="3"/>
        <v>0</v>
      </c>
    </row>
    <row r="44" spans="2:14">
      <c r="B44" s="127">
        <f t="shared" si="4"/>
        <v>1988</v>
      </c>
      <c r="C44" s="271">
        <v>4296.7827939999997</v>
      </c>
      <c r="D44" s="271">
        <f t="shared" si="0"/>
        <v>8.3656218342078823</v>
      </c>
      <c r="E44" s="271">
        <f t="shared" si="5"/>
        <v>19</v>
      </c>
      <c r="F44" s="271">
        <f t="shared" si="1"/>
        <v>8.4386530539709135</v>
      </c>
      <c r="G44" s="271">
        <v>19</v>
      </c>
      <c r="H44" s="271">
        <v>8.4386530539709135</v>
      </c>
      <c r="I44" s="271">
        <v>-7.3031219763031174E-2</v>
      </c>
      <c r="J44" s="271">
        <f t="shared" si="2"/>
        <v>8.3656218342078823</v>
      </c>
      <c r="K44" s="271">
        <f t="shared" si="3"/>
        <v>0</v>
      </c>
    </row>
    <row r="45" spans="2:14">
      <c r="B45" s="127">
        <f t="shared" si="4"/>
        <v>1989</v>
      </c>
      <c r="C45" s="271">
        <v>4540.2374559999998</v>
      </c>
      <c r="D45" s="271">
        <f t="shared" si="0"/>
        <v>8.4207345927513355</v>
      </c>
      <c r="E45" s="271">
        <f t="shared" si="5"/>
        <v>20</v>
      </c>
      <c r="F45" s="271">
        <f t="shared" si="1"/>
        <v>8.4788759658098645</v>
      </c>
      <c r="G45" s="271">
        <v>20</v>
      </c>
      <c r="H45" s="271">
        <v>8.4788759658098645</v>
      </c>
      <c r="I45" s="271">
        <v>-5.8141373058528956E-2</v>
      </c>
      <c r="J45" s="271">
        <f t="shared" si="2"/>
        <v>8.4207345927513355</v>
      </c>
      <c r="K45" s="271">
        <f t="shared" si="3"/>
        <v>0</v>
      </c>
    </row>
    <row r="46" spans="2:14">
      <c r="B46" s="127">
        <f t="shared" si="4"/>
        <v>1990</v>
      </c>
      <c r="C46" s="271">
        <v>4703.6860040000001</v>
      </c>
      <c r="D46" s="271">
        <f t="shared" si="0"/>
        <v>8.4561017365001856</v>
      </c>
      <c r="E46" s="271">
        <f t="shared" si="5"/>
        <v>21</v>
      </c>
      <c r="F46" s="271">
        <f t="shared" si="1"/>
        <v>8.5190988776488137</v>
      </c>
      <c r="G46" s="271">
        <v>21</v>
      </c>
      <c r="H46" s="271">
        <v>8.5190988776488137</v>
      </c>
      <c r="I46" s="271">
        <v>-6.2997141148628089E-2</v>
      </c>
      <c r="J46" s="271">
        <f t="shared" si="2"/>
        <v>8.4561017365001856</v>
      </c>
      <c r="K46" s="271">
        <f t="shared" si="3"/>
        <v>0</v>
      </c>
    </row>
    <row r="47" spans="2:14">
      <c r="B47" s="127">
        <f t="shared" si="4"/>
        <v>1991</v>
      </c>
      <c r="C47" s="271">
        <v>4810.1336000000001</v>
      </c>
      <c r="D47" s="271">
        <f t="shared" si="0"/>
        <v>8.4784801381818511</v>
      </c>
      <c r="E47" s="271">
        <f t="shared" si="5"/>
        <v>22</v>
      </c>
      <c r="F47" s="271">
        <f t="shared" si="1"/>
        <v>8.5593217894877647</v>
      </c>
      <c r="G47" s="271">
        <v>22</v>
      </c>
      <c r="H47" s="271">
        <v>8.5593217894877647</v>
      </c>
      <c r="I47" s="271">
        <v>-8.0841651305913587E-2</v>
      </c>
      <c r="J47" s="271">
        <f t="shared" si="2"/>
        <v>8.4784801381818511</v>
      </c>
      <c r="K47" s="271">
        <f t="shared" si="3"/>
        <v>0</v>
      </c>
    </row>
    <row r="48" spans="2:14">
      <c r="B48" s="127">
        <f t="shared" si="4"/>
        <v>1992</v>
      </c>
      <c r="C48" s="271">
        <v>5250.3578120000002</v>
      </c>
      <c r="D48" s="271">
        <f t="shared" si="0"/>
        <v>8.5660515079299131</v>
      </c>
      <c r="E48" s="271">
        <f t="shared" si="5"/>
        <v>23</v>
      </c>
      <c r="F48" s="271">
        <f t="shared" si="1"/>
        <v>8.5995447013267157</v>
      </c>
      <c r="G48" s="271">
        <v>23</v>
      </c>
      <c r="H48" s="271">
        <v>8.5995447013267157</v>
      </c>
      <c r="I48" s="271">
        <v>-3.3493193396802567E-2</v>
      </c>
      <c r="J48" s="271">
        <f t="shared" si="2"/>
        <v>8.5660515079299131</v>
      </c>
      <c r="K48" s="271">
        <f t="shared" si="3"/>
        <v>0</v>
      </c>
    </row>
    <row r="49" spans="2:11">
      <c r="B49" s="127">
        <f t="shared" si="4"/>
        <v>1993</v>
      </c>
      <c r="C49" s="271">
        <v>5639.6028880000003</v>
      </c>
      <c r="D49" s="271">
        <f t="shared" si="0"/>
        <v>8.6375689320841307</v>
      </c>
      <c r="E49" s="271">
        <f t="shared" si="5"/>
        <v>24</v>
      </c>
      <c r="F49" s="271">
        <f t="shared" si="1"/>
        <v>8.6397676131656649</v>
      </c>
      <c r="G49" s="271">
        <v>24</v>
      </c>
      <c r="H49" s="271">
        <v>8.6397676131656649</v>
      </c>
      <c r="I49" s="271">
        <v>-2.1986810815342039E-3</v>
      </c>
      <c r="J49" s="271">
        <f t="shared" si="2"/>
        <v>8.6375689320841307</v>
      </c>
      <c r="K49" s="271">
        <f t="shared" si="3"/>
        <v>0</v>
      </c>
    </row>
    <row r="50" spans="2:11">
      <c r="B50" s="127">
        <f t="shared" si="4"/>
        <v>1994</v>
      </c>
      <c r="C50" s="271">
        <v>5906.3333259999999</v>
      </c>
      <c r="D50" s="271">
        <f t="shared" si="0"/>
        <v>8.6837804992483552</v>
      </c>
      <c r="E50" s="271">
        <f t="shared" si="5"/>
        <v>25</v>
      </c>
      <c r="F50" s="271">
        <f t="shared" si="1"/>
        <v>8.6799905250046159</v>
      </c>
      <c r="G50" s="271">
        <v>25</v>
      </c>
      <c r="H50" s="271">
        <v>8.6799905250046159</v>
      </c>
      <c r="I50" s="271">
        <v>3.7899742437392803E-3</v>
      </c>
      <c r="J50" s="271">
        <f t="shared" si="2"/>
        <v>8.6837804992483552</v>
      </c>
      <c r="K50" s="271">
        <f t="shared" si="3"/>
        <v>0</v>
      </c>
    </row>
    <row r="51" spans="2:11">
      <c r="B51" s="127">
        <f t="shared" si="4"/>
        <v>1995</v>
      </c>
      <c r="C51" s="271">
        <v>6137.9137739999996</v>
      </c>
      <c r="D51" s="271">
        <f t="shared" si="0"/>
        <v>8.7222401871826705</v>
      </c>
      <c r="E51" s="271">
        <f t="shared" si="5"/>
        <v>26</v>
      </c>
      <c r="F51" s="271">
        <f t="shared" si="1"/>
        <v>8.7202134368435651</v>
      </c>
      <c r="G51" s="271">
        <v>26</v>
      </c>
      <c r="H51" s="271">
        <v>8.7202134368435651</v>
      </c>
      <c r="I51" s="271">
        <v>2.0267503391053765E-3</v>
      </c>
      <c r="J51" s="271">
        <f t="shared" si="2"/>
        <v>8.7222401871826705</v>
      </c>
      <c r="K51" s="271">
        <f t="shared" si="3"/>
        <v>0</v>
      </c>
    </row>
    <row r="52" spans="2:11">
      <c r="B52" s="127">
        <f t="shared" si="4"/>
        <v>1996</v>
      </c>
      <c r="C52" s="271">
        <v>6192.3320910000002</v>
      </c>
      <c r="D52" s="271">
        <f t="shared" si="0"/>
        <v>8.7310670460988469</v>
      </c>
      <c r="E52" s="271">
        <f t="shared" si="5"/>
        <v>27</v>
      </c>
      <c r="F52" s="271">
        <f t="shared" si="1"/>
        <v>8.7604363486825161</v>
      </c>
      <c r="G52" s="271">
        <v>27</v>
      </c>
      <c r="H52" s="271">
        <v>8.7604363486825161</v>
      </c>
      <c r="I52" s="271">
        <v>-2.936930258366921E-2</v>
      </c>
      <c r="J52" s="271">
        <f t="shared" si="2"/>
        <v>8.7310670460988469</v>
      </c>
      <c r="K52" s="271">
        <f t="shared" si="3"/>
        <v>0</v>
      </c>
    </row>
    <row r="53" spans="2:11">
      <c r="B53" s="127">
        <f t="shared" si="4"/>
        <v>1997</v>
      </c>
      <c r="C53" s="271">
        <v>6537.7519570000004</v>
      </c>
      <c r="D53" s="271">
        <f t="shared" si="0"/>
        <v>8.785348647898207</v>
      </c>
      <c r="E53" s="271">
        <f t="shared" si="5"/>
        <v>28</v>
      </c>
      <c r="F53" s="271">
        <f t="shared" si="1"/>
        <v>8.8006592605214671</v>
      </c>
      <c r="G53" s="271">
        <v>28</v>
      </c>
      <c r="H53" s="271">
        <v>8.8006592605214671</v>
      </c>
      <c r="I53" s="271">
        <v>-1.5310612623260056E-2</v>
      </c>
      <c r="J53" s="271">
        <f t="shared" si="2"/>
        <v>8.785348647898207</v>
      </c>
      <c r="K53" s="271">
        <f t="shared" si="3"/>
        <v>0</v>
      </c>
    </row>
    <row r="54" spans="2:11">
      <c r="B54" s="127">
        <f t="shared" si="4"/>
        <v>1998</v>
      </c>
      <c r="C54" s="271">
        <v>7086.782314</v>
      </c>
      <c r="D54" s="271">
        <f t="shared" si="0"/>
        <v>8.865986682097498</v>
      </c>
      <c r="E54" s="271">
        <f t="shared" si="5"/>
        <v>29</v>
      </c>
      <c r="F54" s="271">
        <f t="shared" si="1"/>
        <v>8.8408821723604163</v>
      </c>
      <c r="G54" s="271">
        <v>29</v>
      </c>
      <c r="H54" s="271">
        <v>8.8408821723604163</v>
      </c>
      <c r="I54" s="271">
        <v>2.5104509737081671E-2</v>
      </c>
      <c r="J54" s="271">
        <f t="shared" si="2"/>
        <v>8.865986682097498</v>
      </c>
      <c r="K54" s="271">
        <f t="shared" si="3"/>
        <v>0</v>
      </c>
    </row>
    <row r="55" spans="2:11">
      <c r="B55" s="127">
        <f t="shared" si="4"/>
        <v>1999</v>
      </c>
      <c r="C55" s="271">
        <v>7669.471004</v>
      </c>
      <c r="D55" s="271">
        <f t="shared" si="0"/>
        <v>8.9450029224912715</v>
      </c>
      <c r="E55" s="271">
        <f t="shared" si="5"/>
        <v>30</v>
      </c>
      <c r="F55" s="271">
        <f t="shared" si="1"/>
        <v>8.8811050841993673</v>
      </c>
      <c r="G55" s="271">
        <v>30</v>
      </c>
      <c r="H55" s="271">
        <v>8.8811050841993673</v>
      </c>
      <c r="I55" s="271">
        <v>6.3897838291904208E-2</v>
      </c>
      <c r="J55" s="271">
        <f t="shared" si="2"/>
        <v>8.9450029224912715</v>
      </c>
      <c r="K55" s="271">
        <f t="shared" si="3"/>
        <v>0</v>
      </c>
    </row>
    <row r="56" spans="2:11">
      <c r="B56" s="127">
        <f t="shared" si="4"/>
        <v>2000</v>
      </c>
      <c r="C56" s="271">
        <v>7807.4973769999997</v>
      </c>
      <c r="D56" s="271">
        <f t="shared" si="0"/>
        <v>8.9628397531981641</v>
      </c>
      <c r="E56" s="271">
        <f t="shared" si="5"/>
        <v>31</v>
      </c>
      <c r="F56" s="271">
        <f t="shared" si="1"/>
        <v>8.9213279960383183</v>
      </c>
      <c r="G56" s="271">
        <v>31</v>
      </c>
      <c r="H56" s="271">
        <v>8.9213279960383183</v>
      </c>
      <c r="I56" s="271">
        <v>4.1511757159845786E-2</v>
      </c>
      <c r="J56" s="271">
        <f t="shared" si="2"/>
        <v>8.9628397531981641</v>
      </c>
      <c r="K56" s="271">
        <f t="shared" si="3"/>
        <v>0</v>
      </c>
    </row>
    <row r="57" spans="2:11">
      <c r="B57" s="127">
        <f t="shared" si="4"/>
        <v>2001</v>
      </c>
      <c r="C57" s="271">
        <v>7891.5374830000001</v>
      </c>
      <c r="D57" s="271">
        <f t="shared" si="0"/>
        <v>8.9735462596217737</v>
      </c>
      <c r="E57" s="271">
        <f t="shared" si="5"/>
        <v>32</v>
      </c>
      <c r="F57" s="271">
        <f t="shared" si="1"/>
        <v>8.9615509078772675</v>
      </c>
      <c r="G57" s="271">
        <v>32</v>
      </c>
      <c r="H57" s="271">
        <v>8.9615509078772675</v>
      </c>
      <c r="I57" s="271">
        <v>1.1995351744506166E-2</v>
      </c>
      <c r="J57" s="271">
        <f t="shared" si="2"/>
        <v>8.9735462596217737</v>
      </c>
      <c r="K57" s="271">
        <f t="shared" si="3"/>
        <v>0</v>
      </c>
    </row>
    <row r="58" spans="2:11">
      <c r="B58" s="127">
        <f t="shared" si="4"/>
        <v>2002</v>
      </c>
      <c r="C58" s="271">
        <v>8120.5642520000001</v>
      </c>
      <c r="D58" s="271">
        <f t="shared" si="0"/>
        <v>9.0021549199040258</v>
      </c>
      <c r="E58" s="271">
        <f t="shared" si="5"/>
        <v>33</v>
      </c>
      <c r="F58" s="271">
        <f t="shared" si="1"/>
        <v>9.0017738197162185</v>
      </c>
      <c r="G58" s="271">
        <v>33</v>
      </c>
      <c r="H58" s="271">
        <v>9.0017738197162185</v>
      </c>
      <c r="I58" s="271">
        <v>3.8110018780734833E-4</v>
      </c>
      <c r="J58" s="271">
        <f t="shared" si="2"/>
        <v>9.0021549199040258</v>
      </c>
      <c r="K58" s="271">
        <f t="shared" si="3"/>
        <v>0</v>
      </c>
    </row>
    <row r="59" spans="2:11">
      <c r="B59" s="127">
        <f t="shared" si="4"/>
        <v>2003</v>
      </c>
      <c r="C59" s="271">
        <v>8640.6466120000005</v>
      </c>
      <c r="D59" s="271">
        <f t="shared" si="0"/>
        <v>9.0642326983496293</v>
      </c>
      <c r="E59" s="271">
        <f t="shared" si="5"/>
        <v>34</v>
      </c>
      <c r="F59" s="271">
        <f t="shared" si="1"/>
        <v>9.0419967315551695</v>
      </c>
      <c r="G59" s="271">
        <v>34</v>
      </c>
      <c r="H59" s="271">
        <v>9.0419967315551695</v>
      </c>
      <c r="I59" s="271">
        <v>2.2235966794459827E-2</v>
      </c>
      <c r="J59" s="271">
        <f t="shared" si="2"/>
        <v>9.0642326983496293</v>
      </c>
      <c r="K59" s="271">
        <f t="shared" si="3"/>
        <v>0</v>
      </c>
    </row>
    <row r="60" spans="2:11">
      <c r="B60" s="127">
        <f t="shared" si="4"/>
        <v>2004</v>
      </c>
      <c r="C60" s="271">
        <v>9008.6912329999996</v>
      </c>
      <c r="D60" s="271">
        <f t="shared" si="0"/>
        <v>9.1059450828928288</v>
      </c>
      <c r="E60" s="271">
        <f t="shared" si="5"/>
        <v>35</v>
      </c>
      <c r="F60" s="271">
        <f t="shared" si="1"/>
        <v>9.0822196433941187</v>
      </c>
      <c r="G60" s="271">
        <v>35</v>
      </c>
      <c r="H60" s="271">
        <v>9.0822196433941187</v>
      </c>
      <c r="I60" s="271">
        <v>2.3725439498710088E-2</v>
      </c>
      <c r="J60" s="271">
        <f t="shared" si="2"/>
        <v>9.1059450828928288</v>
      </c>
      <c r="K60" s="271">
        <f t="shared" si="3"/>
        <v>0</v>
      </c>
    </row>
    <row r="61" spans="2:11">
      <c r="B61" s="127">
        <f t="shared" si="4"/>
        <v>2005</v>
      </c>
      <c r="C61" s="271">
        <v>9062.6782029999995</v>
      </c>
      <c r="D61" s="271">
        <f t="shared" si="0"/>
        <v>9.1119199627489103</v>
      </c>
      <c r="E61" s="271">
        <f t="shared" si="5"/>
        <v>36</v>
      </c>
      <c r="F61" s="271">
        <f t="shared" si="1"/>
        <v>9.1224425552330697</v>
      </c>
      <c r="G61" s="271">
        <v>36</v>
      </c>
      <c r="H61" s="271">
        <v>9.1224425552330697</v>
      </c>
      <c r="I61" s="271">
        <v>-1.0522592484159432E-2</v>
      </c>
      <c r="J61" s="271">
        <f t="shared" si="2"/>
        <v>9.1119199627489103</v>
      </c>
      <c r="K61" s="271">
        <f t="shared" si="3"/>
        <v>0</v>
      </c>
    </row>
    <row r="62" spans="2:11">
      <c r="B62" s="127">
        <f t="shared" si="4"/>
        <v>2006</v>
      </c>
      <c r="C62" s="271">
        <v>9864.1030350000001</v>
      </c>
      <c r="D62" s="271">
        <f t="shared" si="0"/>
        <v>9.1966574903492369</v>
      </c>
      <c r="E62" s="271">
        <f t="shared" si="5"/>
        <v>37</v>
      </c>
      <c r="F62" s="271">
        <f t="shared" si="1"/>
        <v>9.1626654670720189</v>
      </c>
      <c r="G62" s="271">
        <v>37</v>
      </c>
      <c r="H62" s="271">
        <v>9.1626654670720189</v>
      </c>
      <c r="I62" s="271">
        <v>3.3992023277217953E-2</v>
      </c>
      <c r="J62" s="271">
        <f t="shared" si="2"/>
        <v>9.1966574903492369</v>
      </c>
      <c r="K62" s="271">
        <f t="shared" si="3"/>
        <v>0</v>
      </c>
    </row>
    <row r="63" spans="2:11">
      <c r="B63" s="127">
        <f t="shared" si="4"/>
        <v>2007</v>
      </c>
      <c r="C63" s="271">
        <v>10508.007820000001</v>
      </c>
      <c r="D63" s="271">
        <f t="shared" si="0"/>
        <v>9.2598928950000534</v>
      </c>
      <c r="E63" s="271">
        <f t="shared" si="5"/>
        <v>38</v>
      </c>
      <c r="F63" s="271">
        <f t="shared" si="1"/>
        <v>9.2028883789109699</v>
      </c>
      <c r="G63" s="271">
        <v>38</v>
      </c>
      <c r="H63" s="271">
        <v>9.2028883789109699</v>
      </c>
      <c r="I63" s="271">
        <v>5.7004516089083523E-2</v>
      </c>
      <c r="J63" s="271">
        <f t="shared" si="2"/>
        <v>9.2598928950000534</v>
      </c>
      <c r="K63" s="271">
        <f t="shared" si="3"/>
        <v>0</v>
      </c>
    </row>
    <row r="64" spans="2:11">
      <c r="B64" s="127">
        <f t="shared" si="4"/>
        <v>2008</v>
      </c>
      <c r="C64" s="271">
        <v>10760.32494</v>
      </c>
      <c r="D64" s="271">
        <f t="shared" si="0"/>
        <v>9.2836210321445574</v>
      </c>
      <c r="E64" s="271">
        <f t="shared" si="5"/>
        <v>39</v>
      </c>
      <c r="F64" s="271">
        <f t="shared" si="1"/>
        <v>9.2431112907499209</v>
      </c>
      <c r="G64" s="271">
        <v>39</v>
      </c>
      <c r="H64" s="271">
        <v>9.2431112907499209</v>
      </c>
      <c r="I64" s="271">
        <v>4.0509741394636478E-2</v>
      </c>
      <c r="J64" s="271">
        <f t="shared" si="2"/>
        <v>9.2836210321445574</v>
      </c>
      <c r="K64" s="271">
        <f t="shared" si="3"/>
        <v>0</v>
      </c>
    </row>
    <row r="65" spans="2:19">
      <c r="B65" s="127">
        <f t="shared" si="4"/>
        <v>2009</v>
      </c>
      <c r="C65" s="271">
        <v>10584.875669999999</v>
      </c>
      <c r="D65" s="271">
        <f t="shared" si="0"/>
        <v>9.2671814376331891</v>
      </c>
      <c r="E65" s="271">
        <f t="shared" si="5"/>
        <v>40</v>
      </c>
      <c r="F65" s="271">
        <f t="shared" si="1"/>
        <v>9.2833342025888701</v>
      </c>
      <c r="G65" s="271">
        <v>40</v>
      </c>
      <c r="H65" s="271">
        <v>9.2833342025888701</v>
      </c>
      <c r="I65" s="271">
        <v>-1.6152764955680965E-2</v>
      </c>
      <c r="J65" s="271">
        <f t="shared" si="2"/>
        <v>9.2671814376331891</v>
      </c>
      <c r="K65" s="271">
        <f t="shared" si="3"/>
        <v>0</v>
      </c>
    </row>
    <row r="66" spans="2:19">
      <c r="B66" s="127">
        <f t="shared" si="4"/>
        <v>2010</v>
      </c>
      <c r="C66" s="271">
        <v>11099.24725</v>
      </c>
      <c r="D66" s="271">
        <f t="shared" si="0"/>
        <v>9.3146325696855481</v>
      </c>
      <c r="E66" s="271">
        <f t="shared" si="5"/>
        <v>41</v>
      </c>
      <c r="F66" s="271">
        <f t="shared" si="1"/>
        <v>9.3235571144278211</v>
      </c>
      <c r="G66" s="271">
        <v>41</v>
      </c>
      <c r="H66" s="271">
        <v>9.3235571144278211</v>
      </c>
      <c r="I66" s="271">
        <v>-8.9245447422729995E-3</v>
      </c>
      <c r="J66" s="271">
        <f t="shared" si="2"/>
        <v>9.3146325696855481</v>
      </c>
      <c r="K66" s="271">
        <f t="shared" si="3"/>
        <v>0</v>
      </c>
    </row>
    <row r="67" spans="2:19">
      <c r="B67" s="127">
        <f t="shared" si="4"/>
        <v>2011</v>
      </c>
      <c r="C67" s="271">
        <v>11726.952810000001</v>
      </c>
      <c r="D67" s="271">
        <f t="shared" si="0"/>
        <v>9.3696451304058979</v>
      </c>
      <c r="E67" s="271">
        <f t="shared" si="5"/>
        <v>42</v>
      </c>
      <c r="F67" s="271">
        <f t="shared" si="1"/>
        <v>9.3637800262667703</v>
      </c>
      <c r="G67" s="271">
        <v>42</v>
      </c>
      <c r="H67" s="271">
        <v>9.3637800262667703</v>
      </c>
      <c r="I67" s="271">
        <v>5.8651041391275527E-3</v>
      </c>
      <c r="J67" s="271">
        <f t="shared" si="2"/>
        <v>9.3696451304058979</v>
      </c>
      <c r="K67" s="271">
        <f t="shared" si="3"/>
        <v>0</v>
      </c>
    </row>
    <row r="68" spans="2:19">
      <c r="B68" s="127">
        <f t="shared" si="4"/>
        <v>2012</v>
      </c>
      <c r="C68" s="271">
        <v>12074.86771</v>
      </c>
      <c r="D68" s="271">
        <f t="shared" si="0"/>
        <v>9.3988815227671783</v>
      </c>
      <c r="E68" s="271">
        <f t="shared" si="5"/>
        <v>43</v>
      </c>
      <c r="F68" s="271">
        <f t="shared" si="1"/>
        <v>9.4040029381057213</v>
      </c>
      <c r="G68" s="271">
        <v>43</v>
      </c>
      <c r="H68" s="271">
        <v>9.4040029381057213</v>
      </c>
      <c r="I68" s="271">
        <v>-5.121415338543045E-3</v>
      </c>
      <c r="J68" s="271">
        <f t="shared" si="2"/>
        <v>9.3988815227671783</v>
      </c>
      <c r="K68" s="271">
        <f t="shared" si="3"/>
        <v>0</v>
      </c>
    </row>
    <row r="69" spans="2:19">
      <c r="O69" s="250"/>
    </row>
    <row r="70" spans="2:19">
      <c r="O70" s="250"/>
    </row>
    <row r="71" spans="2:19">
      <c r="P71" s="250"/>
    </row>
    <row r="72" spans="2:19">
      <c r="P72" s="250"/>
    </row>
    <row r="73" spans="2:19">
      <c r="P73" s="250"/>
    </row>
    <row r="74" spans="2:19">
      <c r="Q74" s="250"/>
    </row>
    <row r="75" spans="2:19">
      <c r="Q75" s="250"/>
    </row>
    <row r="76" spans="2:19">
      <c r="Q76" s="250"/>
    </row>
    <row r="77" spans="2:19">
      <c r="R77" s="250"/>
    </row>
    <row r="78" spans="2:19">
      <c r="R78" s="250"/>
    </row>
    <row r="79" spans="2:19">
      <c r="R79" s="250"/>
    </row>
    <row r="80" spans="2:19">
      <c r="S80" s="250"/>
    </row>
    <row r="81" spans="19:24">
      <c r="S81" s="250"/>
    </row>
    <row r="82" spans="19:24">
      <c r="S82" s="250"/>
    </row>
    <row r="83" spans="19:24">
      <c r="T83" s="250"/>
    </row>
    <row r="84" spans="19:24">
      <c r="T84" s="250"/>
    </row>
    <row r="85" spans="19:24">
      <c r="T85" s="250"/>
    </row>
    <row r="86" spans="19:24">
      <c r="U86" s="250"/>
    </row>
    <row r="87" spans="19:24">
      <c r="U87" s="250"/>
    </row>
    <row r="88" spans="19:24">
      <c r="U88" s="250"/>
    </row>
    <row r="89" spans="19:24">
      <c r="V89" s="250"/>
    </row>
    <row r="90" spans="19:24">
      <c r="V90" s="250"/>
    </row>
    <row r="91" spans="19:24">
      <c r="V91" s="250"/>
    </row>
    <row r="92" spans="19:24">
      <c r="W92" s="250"/>
    </row>
    <row r="93" spans="19:24">
      <c r="W93" s="250"/>
    </row>
    <row r="94" spans="19:24">
      <c r="W94" s="250"/>
    </row>
    <row r="95" spans="19:24">
      <c r="X95" s="250"/>
    </row>
    <row r="96" spans="19:24">
      <c r="X96" s="250"/>
    </row>
    <row r="97" spans="24:27">
      <c r="X97" s="250"/>
    </row>
    <row r="98" spans="24:27">
      <c r="Y98" s="250"/>
    </row>
    <row r="99" spans="24:27">
      <c r="Y99" s="250"/>
    </row>
    <row r="100" spans="24:27">
      <c r="Y100" s="250"/>
    </row>
    <row r="101" spans="24:27">
      <c r="Z101" s="250"/>
    </row>
    <row r="102" spans="24:27">
      <c r="Z102" s="250"/>
    </row>
    <row r="103" spans="24:27">
      <c r="Z103" s="250"/>
    </row>
    <row r="104" spans="24:27">
      <c r="AA104" s="250"/>
    </row>
    <row r="105" spans="24:27">
      <c r="AA105" s="250"/>
    </row>
    <row r="106" spans="24:27">
      <c r="AA106" s="250"/>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pageSetUpPr fitToPage="1"/>
  </sheetPr>
  <dimension ref="A1:M99"/>
  <sheetViews>
    <sheetView topLeftCell="A19" zoomScaleNormal="100" workbookViewId="0">
      <selection activeCell="L33" sqref="L33"/>
    </sheetView>
  </sheetViews>
  <sheetFormatPr baseColWidth="10" defaultColWidth="9.42578125" defaultRowHeight="15"/>
  <cols>
    <col min="1" max="1" width="9.42578125" style="2"/>
    <col min="2" max="2" width="3.5703125" style="3" customWidth="1"/>
    <col min="3" max="3" width="45.5703125" style="3" customWidth="1"/>
    <col min="4" max="12" width="10.140625" style="4" customWidth="1"/>
    <col min="13" max="13" width="3.5703125" style="4" customWidth="1"/>
    <col min="14" max="16384" width="9.42578125" style="2"/>
  </cols>
  <sheetData>
    <row r="1" spans="2:13" ht="15.75" thickBot="1">
      <c r="J1" s="3"/>
      <c r="K1" s="3"/>
      <c r="L1" s="3"/>
      <c r="M1" s="3"/>
    </row>
    <row r="2" spans="2:13" s="1" customFormat="1" ht="33" customHeight="1">
      <c r="B2" s="393" t="s">
        <v>290</v>
      </c>
      <c r="C2" s="282"/>
      <c r="D2" s="282"/>
      <c r="E2" s="282"/>
      <c r="F2" s="282"/>
      <c r="G2" s="282"/>
      <c r="H2" s="282"/>
      <c r="I2" s="282"/>
      <c r="J2" s="282"/>
      <c r="K2" s="283"/>
      <c r="L2" s="594"/>
      <c r="M2" s="593"/>
    </row>
    <row r="3" spans="2:13" s="1" customFormat="1" ht="33" customHeight="1">
      <c r="B3" s="14"/>
      <c r="C3" s="16"/>
      <c r="D3" s="346">
        <v>2006</v>
      </c>
      <c r="E3" s="346">
        <v>2007</v>
      </c>
      <c r="F3" s="346">
        <v>2008</v>
      </c>
      <c r="G3" s="346">
        <v>2009</v>
      </c>
      <c r="H3" s="346">
        <v>2010</v>
      </c>
      <c r="I3" s="346">
        <v>2011</v>
      </c>
      <c r="J3" s="346">
        <v>2012</v>
      </c>
      <c r="K3" s="346">
        <v>2013</v>
      </c>
      <c r="L3" s="346">
        <f>+K3+1</f>
        <v>2014</v>
      </c>
      <c r="M3" s="587"/>
    </row>
    <row r="4" spans="2:13" s="1" customFormat="1" ht="33" customHeight="1">
      <c r="B4" s="109" t="s">
        <v>225</v>
      </c>
      <c r="C4" s="110"/>
      <c r="D4" s="110"/>
      <c r="E4" s="110"/>
      <c r="F4" s="110"/>
      <c r="G4" s="110"/>
      <c r="H4" s="110"/>
      <c r="I4" s="110"/>
      <c r="J4" s="302"/>
      <c r="K4" s="302"/>
      <c r="L4" s="355"/>
      <c r="M4" s="588"/>
    </row>
    <row r="5" spans="2:13" s="1" customFormat="1" ht="15" customHeight="1">
      <c r="B5" s="30"/>
      <c r="C5" s="21" t="s">
        <v>291</v>
      </c>
      <c r="D5" s="31"/>
      <c r="E5" s="31"/>
      <c r="F5" s="31"/>
      <c r="G5" s="31"/>
      <c r="H5" s="31"/>
      <c r="I5" s="31"/>
      <c r="J5" s="7"/>
      <c r="K5" s="7"/>
      <c r="L5" s="260"/>
      <c r="M5" s="589"/>
    </row>
    <row r="6" spans="2:13">
      <c r="B6" s="6"/>
      <c r="C6" s="18" t="s">
        <v>227</v>
      </c>
      <c r="D6" s="7">
        <v>9864.1030354013474</v>
      </c>
      <c r="E6" s="7">
        <v>10508.007819926337</v>
      </c>
      <c r="F6" s="7">
        <v>10760.324940161812</v>
      </c>
      <c r="G6" s="7">
        <v>10584.875668060318</v>
      </c>
      <c r="H6" s="7">
        <v>11099.247251539817</v>
      </c>
      <c r="I6" s="7">
        <v>11726.952807166241</v>
      </c>
      <c r="J6" s="7">
        <v>12217.746771570535</v>
      </c>
      <c r="K6" s="7">
        <v>12774.630811636434</v>
      </c>
      <c r="L6" s="7">
        <f>L7+L10+L14+L17</f>
        <v>13343.319319456346</v>
      </c>
      <c r="M6" s="8"/>
    </row>
    <row r="7" spans="2:13">
      <c r="B7" s="6"/>
      <c r="C7" s="18" t="s">
        <v>228</v>
      </c>
      <c r="D7" s="7">
        <v>7726.1682583742768</v>
      </c>
      <c r="E7" s="7">
        <v>8269.9833215152976</v>
      </c>
      <c r="F7" s="7">
        <v>8549.1915453984784</v>
      </c>
      <c r="G7" s="7">
        <v>8737.0492765119434</v>
      </c>
      <c r="H7" s="7">
        <v>9135.110411798003</v>
      </c>
      <c r="I7" s="7">
        <v>9504.639896658482</v>
      </c>
      <c r="J7" s="7">
        <v>10043.48230993472</v>
      </c>
      <c r="K7" s="7">
        <v>10605.630811636434</v>
      </c>
      <c r="L7" s="7">
        <f>L8+L9</f>
        <v>11137.962857647064</v>
      </c>
      <c r="M7" s="8"/>
    </row>
    <row r="8" spans="2:13">
      <c r="B8" s="6"/>
      <c r="C8" s="19" t="s">
        <v>229</v>
      </c>
      <c r="D8" s="7">
        <v>6791.1229180638329</v>
      </c>
      <c r="E8" s="7">
        <v>7301.5719476151062</v>
      </c>
      <c r="F8" s="7">
        <v>7553.2800709883222</v>
      </c>
      <c r="G8" s="7">
        <v>7682.1636093113693</v>
      </c>
      <c r="H8" s="7">
        <v>8033.6929626220171</v>
      </c>
      <c r="I8" s="7">
        <v>8406.4346952201358</v>
      </c>
      <c r="J8" s="7">
        <v>8898.3740438299701</v>
      </c>
      <c r="K8" s="7">
        <v>9288</v>
      </c>
      <c r="L8" s="7">
        <f>K8*(1+L25/100)</f>
        <v>9556.7581590446443</v>
      </c>
      <c r="M8" s="8"/>
    </row>
    <row r="9" spans="2:13">
      <c r="B9" s="6"/>
      <c r="C9" s="19" t="s">
        <v>230</v>
      </c>
      <c r="D9" s="7">
        <v>935.04534031044352</v>
      </c>
      <c r="E9" s="7">
        <v>968.41137390019105</v>
      </c>
      <c r="F9" s="7">
        <v>995.91147441015687</v>
      </c>
      <c r="G9" s="7">
        <v>1054.8856672005736</v>
      </c>
      <c r="H9" s="7">
        <v>1101.4174491759868</v>
      </c>
      <c r="I9" s="7">
        <v>1098.205201438346</v>
      </c>
      <c r="J9" s="7">
        <v>1145.1082661047501</v>
      </c>
      <c r="K9" s="7">
        <v>1317.6308116364351</v>
      </c>
      <c r="L9" s="7">
        <f>K9*(1+L26/100)</f>
        <v>1581.2046986024204</v>
      </c>
      <c r="M9" s="8"/>
    </row>
    <row r="10" spans="2:13">
      <c r="B10" s="6"/>
      <c r="C10" s="18" t="s">
        <v>231</v>
      </c>
      <c r="D10" s="7">
        <v>2553.3827446892433</v>
      </c>
      <c r="E10" s="7">
        <v>2388.8262400127928</v>
      </c>
      <c r="F10" s="7">
        <v>2881.4149686360984</v>
      </c>
      <c r="G10" s="7">
        <v>1647.7264274364618</v>
      </c>
      <c r="H10" s="7">
        <v>2250.0575459191523</v>
      </c>
      <c r="I10" s="7">
        <v>2803.1321599982957</v>
      </c>
      <c r="J10" s="7">
        <v>2821.4848029518657</v>
      </c>
      <c r="K10" s="7">
        <v>2941</v>
      </c>
      <c r="L10" s="7">
        <f>L11+L12+L13</f>
        <v>3088.8693685229155</v>
      </c>
      <c r="M10" s="8"/>
    </row>
    <row r="11" spans="2:13">
      <c r="B11" s="6"/>
      <c r="C11" s="19" t="s">
        <v>232</v>
      </c>
      <c r="D11" s="7">
        <v>1667.8794568364867</v>
      </c>
      <c r="E11" s="7">
        <v>1987.7597677341118</v>
      </c>
      <c r="F11" s="7">
        <v>2155.8516861084545</v>
      </c>
      <c r="G11" s="7">
        <v>1924.3945576502415</v>
      </c>
      <c r="H11" s="7">
        <v>1897.396164787687</v>
      </c>
      <c r="I11" s="7">
        <v>2226.5912048958708</v>
      </c>
      <c r="J11" s="7">
        <v>2241.1691238288968</v>
      </c>
      <c r="K11" s="7">
        <v>2336.1027450103306</v>
      </c>
      <c r="L11" s="7">
        <f>K11*(1+L28/100)</f>
        <v>2453.5587251903125</v>
      </c>
      <c r="M11" s="8"/>
    </row>
    <row r="12" spans="2:13">
      <c r="B12" s="6"/>
      <c r="C12" s="19" t="s">
        <v>233</v>
      </c>
      <c r="D12" s="7">
        <v>202.05921774896137</v>
      </c>
      <c r="E12" s="7">
        <v>225.82414247105103</v>
      </c>
      <c r="F12" s="7">
        <v>234.8913859533701</v>
      </c>
      <c r="G12" s="7">
        <v>204.21806625972897</v>
      </c>
      <c r="H12" s="7">
        <v>270.31203890956834</v>
      </c>
      <c r="I12" s="7">
        <v>323.99252620612037</v>
      </c>
      <c r="J12" s="7">
        <v>326.11376730846274</v>
      </c>
      <c r="K12" s="7">
        <v>339.92761139481178</v>
      </c>
      <c r="L12" s="7">
        <f>K12*(1+L29/100)</f>
        <v>357.01869648167127</v>
      </c>
      <c r="M12" s="8"/>
    </row>
    <row r="13" spans="2:13">
      <c r="B13" s="6"/>
      <c r="C13" s="19" t="s">
        <v>234</v>
      </c>
      <c r="D13" s="7">
        <v>683.44407010379507</v>
      </c>
      <c r="E13" s="7">
        <v>175.24232980763</v>
      </c>
      <c r="F13" s="7">
        <v>490.67189657427372</v>
      </c>
      <c r="G13" s="7">
        <v>-480.88619647350856</v>
      </c>
      <c r="H13" s="7">
        <v>82.349342221897032</v>
      </c>
      <c r="I13" s="7">
        <v>252.54842889630447</v>
      </c>
      <c r="J13" s="7">
        <v>254.20191181450622</v>
      </c>
      <c r="K13" s="7">
        <v>264.96964359485759</v>
      </c>
      <c r="L13" s="7">
        <f>K13*(1+L30/100)</f>
        <v>278.29194685093154</v>
      </c>
      <c r="M13" s="8"/>
    </row>
    <row r="14" spans="2:13">
      <c r="B14" s="6"/>
      <c r="C14" s="18" t="s">
        <v>235</v>
      </c>
      <c r="D14" s="7">
        <v>-463.29411570196953</v>
      </c>
      <c r="E14" s="7">
        <v>-195.84423154202341</v>
      </c>
      <c r="F14" s="7">
        <v>-688.20384499659576</v>
      </c>
      <c r="G14" s="7">
        <v>148.11167328239753</v>
      </c>
      <c r="H14" s="7">
        <v>-299.6251042829108</v>
      </c>
      <c r="I14" s="7">
        <v>-617.3501890852649</v>
      </c>
      <c r="J14" s="7">
        <v>-680.52337370458372</v>
      </c>
      <c r="K14" s="7">
        <v>-772</v>
      </c>
      <c r="L14" s="7">
        <f>+L15-L16</f>
        <v>-883.51290671363313</v>
      </c>
      <c r="M14" s="8"/>
    </row>
    <row r="15" spans="2:13">
      <c r="B15" s="6"/>
      <c r="C15" s="19" t="s">
        <v>236</v>
      </c>
      <c r="D15" s="7">
        <v>5101.9329584294655</v>
      </c>
      <c r="E15" s="7">
        <v>5607.2953834145756</v>
      </c>
      <c r="F15" s="7">
        <v>5494.321136816654</v>
      </c>
      <c r="G15" s="7">
        <v>5163.498356908045</v>
      </c>
      <c r="H15" s="7">
        <v>5417.1860777347156</v>
      </c>
      <c r="I15" s="7">
        <v>5794.7037706909268</v>
      </c>
      <c r="J15" s="7">
        <v>6291.9219954944901</v>
      </c>
      <c r="K15" s="7">
        <v>6523</v>
      </c>
      <c r="L15" s="7">
        <f>+K15*(1+L32/100)</f>
        <v>6800.9293455334573</v>
      </c>
      <c r="M15" s="8"/>
    </row>
    <row r="16" spans="2:13">
      <c r="B16" s="9"/>
      <c r="C16" s="19" t="s">
        <v>237</v>
      </c>
      <c r="D16" s="7">
        <v>5565.2270741314351</v>
      </c>
      <c r="E16" s="7">
        <v>5803.139614956599</v>
      </c>
      <c r="F16" s="7">
        <v>6182.5249818132497</v>
      </c>
      <c r="G16" s="7">
        <v>5015.3866836256475</v>
      </c>
      <c r="H16" s="7">
        <v>5716.8111820176264</v>
      </c>
      <c r="I16" s="7">
        <v>6412.0539597761917</v>
      </c>
      <c r="J16" s="7">
        <v>6972.4453691990739</v>
      </c>
      <c r="K16" s="7">
        <v>7295</v>
      </c>
      <c r="L16" s="7">
        <f>+K16*(1+L33/100)</f>
        <v>7684.4422522470904</v>
      </c>
      <c r="M16" s="8"/>
    </row>
    <row r="17" spans="2:13">
      <c r="B17" s="9"/>
      <c r="C17" s="18" t="s">
        <v>208</v>
      </c>
      <c r="D17" s="7">
        <v>47.846148039798791</v>
      </c>
      <c r="E17" s="7">
        <v>45.042489940270229</v>
      </c>
      <c r="F17" s="7">
        <v>17.922271123832026</v>
      </c>
      <c r="G17" s="7">
        <v>51.988290829514774</v>
      </c>
      <c r="H17" s="7">
        <v>13.704398105569462</v>
      </c>
      <c r="I17" s="7">
        <v>36.530939594728338</v>
      </c>
      <c r="J17" s="7">
        <v>33.303032388534852</v>
      </c>
      <c r="K17" s="7">
        <v>0</v>
      </c>
      <c r="L17" s="7">
        <f>+K17*(1+L34/100)</f>
        <v>0</v>
      </c>
      <c r="M17" s="8"/>
    </row>
    <row r="18" spans="2:13">
      <c r="B18" s="5"/>
      <c r="C18" s="20"/>
      <c r="D18" s="7"/>
      <c r="E18" s="347"/>
      <c r="F18" s="347"/>
      <c r="G18" s="347"/>
      <c r="H18" s="347"/>
      <c r="I18" s="347"/>
      <c r="J18" s="7"/>
      <c r="K18" s="7"/>
      <c r="L18" s="7"/>
      <c r="M18" s="8"/>
    </row>
    <row r="19" spans="2:13">
      <c r="B19" s="5"/>
      <c r="C19" s="29" t="s">
        <v>292</v>
      </c>
      <c r="D19" s="7">
        <v>9649.9079456779909</v>
      </c>
      <c r="E19" s="7">
        <v>9961.0922632465245</v>
      </c>
      <c r="F19" s="7">
        <v>10371.120510330094</v>
      </c>
      <c r="G19" s="7">
        <v>10754.773334771355</v>
      </c>
      <c r="H19" s="7">
        <v>11237.044976394514</v>
      </c>
      <c r="I19" s="7">
        <v>11888.174551436117</v>
      </c>
      <c r="J19" s="7">
        <v>12184.443739181999</v>
      </c>
      <c r="K19" s="7">
        <v>12671.8214887493</v>
      </c>
      <c r="L19" s="7">
        <f>'PIB real y brecha del producto'!F14</f>
        <v>13178.694348299272</v>
      </c>
      <c r="M19" s="8"/>
    </row>
    <row r="20" spans="2:13">
      <c r="B20" s="5"/>
      <c r="C20" s="362"/>
      <c r="D20" s="7"/>
      <c r="E20" s="7"/>
      <c r="F20" s="7"/>
      <c r="G20" s="7"/>
      <c r="H20" s="7"/>
      <c r="I20" s="7"/>
      <c r="J20" s="7"/>
      <c r="K20" s="7"/>
      <c r="L20" s="347"/>
      <c r="M20" s="450"/>
    </row>
    <row r="21" spans="2:13" s="1" customFormat="1" ht="22.5" customHeight="1">
      <c r="B21" s="30"/>
      <c r="C21" s="31"/>
      <c r="D21" s="110"/>
      <c r="E21" s="110"/>
      <c r="F21" s="110"/>
      <c r="G21" s="110"/>
      <c r="H21" s="110"/>
      <c r="I21" s="284"/>
      <c r="J21" s="284"/>
      <c r="K21" s="284"/>
      <c r="L21" s="284"/>
      <c r="M21" s="590"/>
    </row>
    <row r="22" spans="2:13" s="1" customFormat="1" ht="15" customHeight="1">
      <c r="B22" s="30"/>
      <c r="C22" s="21" t="s">
        <v>293</v>
      </c>
      <c r="D22" s="31"/>
      <c r="E22" s="31"/>
      <c r="F22" s="31"/>
      <c r="G22" s="31"/>
      <c r="H22" s="31"/>
      <c r="I22" s="31"/>
      <c r="J22" s="31"/>
      <c r="K22" s="363"/>
      <c r="L22" s="363"/>
      <c r="M22" s="591"/>
    </row>
    <row r="23" spans="2:13">
      <c r="B23" s="6"/>
      <c r="C23" s="18" t="s">
        <v>227</v>
      </c>
      <c r="D23" s="13">
        <v>8.8431346108079936</v>
      </c>
      <c r="E23" s="13">
        <v>6.5277580963426232</v>
      </c>
      <c r="F23" s="13">
        <v>2.4011889271438065</v>
      </c>
      <c r="G23" s="13">
        <v>-1.6305202034061921</v>
      </c>
      <c r="H23" s="13">
        <v>4.8594957523365707</v>
      </c>
      <c r="I23" s="13">
        <v>5.6553885268151021</v>
      </c>
      <c r="J23" s="13">
        <v>4.185178984470511</v>
      </c>
      <c r="K23" s="13">
        <v>4.5579929792104679</v>
      </c>
      <c r="L23" s="13">
        <f>(L6/K6-1)*100</f>
        <v>4.4517020977380639</v>
      </c>
      <c r="M23" s="210"/>
    </row>
    <row r="24" spans="2:13">
      <c r="B24" s="6"/>
      <c r="C24" s="18" t="s">
        <v>228</v>
      </c>
      <c r="D24" s="13">
        <v>5.441797827470424</v>
      </c>
      <c r="E24" s="13">
        <v>7.0386127373240726</v>
      </c>
      <c r="F24" s="13">
        <v>3.376164292336469</v>
      </c>
      <c r="G24" s="13">
        <v>2.1973742208943463</v>
      </c>
      <c r="H24" s="13">
        <v>4.55601339408922</v>
      </c>
      <c r="I24" s="13">
        <v>4.0451561962867117</v>
      </c>
      <c r="J24" s="13">
        <v>5.6692564803604739</v>
      </c>
      <c r="K24" s="13">
        <v>5.5971473275325394</v>
      </c>
      <c r="L24" s="13">
        <f>(L7/K7-1)*100</f>
        <v>5.0193341203859099</v>
      </c>
      <c r="M24" s="210"/>
    </row>
    <row r="25" spans="2:13">
      <c r="B25" s="6"/>
      <c r="C25" s="19" t="s">
        <v>229</v>
      </c>
      <c r="D25" s="13">
        <v>5.7411311951301371</v>
      </c>
      <c r="E25" s="13">
        <v>7.5164157048832152</v>
      </c>
      <c r="F25" s="13">
        <v>3.44731415617197</v>
      </c>
      <c r="G25" s="13">
        <v>1.7063254256661367</v>
      </c>
      <c r="H25" s="13">
        <v>4.5759159943504386</v>
      </c>
      <c r="I25" s="13">
        <v>4.6397308726180597</v>
      </c>
      <c r="J25" s="13">
        <v>5.8519380265875185</v>
      </c>
      <c r="K25" s="13">
        <v>4.3786196697383417</v>
      </c>
      <c r="L25" s="13">
        <f>'Cuadro PIB'!J11</f>
        <v>2.8936063635297549</v>
      </c>
      <c r="M25" s="210"/>
    </row>
    <row r="26" spans="2:13">
      <c r="B26" s="6"/>
      <c r="C26" s="19" t="s">
        <v>230</v>
      </c>
      <c r="D26" s="13">
        <v>3.31760263847994</v>
      </c>
      <c r="E26" s="13">
        <v>3.5683867029025151</v>
      </c>
      <c r="F26" s="13">
        <v>2.8397126728501263</v>
      </c>
      <c r="G26" s="13">
        <v>5.92163001489115</v>
      </c>
      <c r="H26" s="13">
        <v>4.4110734861814791</v>
      </c>
      <c r="I26" s="13">
        <v>-0.29164670852492236</v>
      </c>
      <c r="J26" s="13">
        <v>4.2708834929004098</v>
      </c>
      <c r="K26" s="13">
        <v>15.066046647147616</v>
      </c>
      <c r="L26" s="13">
        <f>'Cuadro PIB'!J12</f>
        <v>20.003622003847887</v>
      </c>
      <c r="M26" s="210"/>
    </row>
    <row r="27" spans="2:13">
      <c r="B27" s="6"/>
      <c r="C27" s="18" t="s">
        <v>231</v>
      </c>
      <c r="D27" s="13">
        <v>15.027748898880617</v>
      </c>
      <c r="E27" s="13">
        <v>-6.4446470087067809</v>
      </c>
      <c r="F27" s="13">
        <v>20.620534067001344</v>
      </c>
      <c r="G27" s="13">
        <v>-42.815372121968117</v>
      </c>
      <c r="H27" s="13">
        <v>36.555286633339932</v>
      </c>
      <c r="I27" s="13">
        <v>24.580465289976019</v>
      </c>
      <c r="J27" s="13">
        <v>0.6547191465129174</v>
      </c>
      <c r="K27" s="13">
        <v>4.2358972454183004</v>
      </c>
      <c r="L27" s="13">
        <f>(L10/K10-1)*100</f>
        <v>5.0278602013912099</v>
      </c>
      <c r="M27" s="210"/>
    </row>
    <row r="28" spans="2:13">
      <c r="B28" s="6"/>
      <c r="C28" s="19" t="s">
        <v>232</v>
      </c>
      <c r="D28" s="13">
        <v>11.557972507128426</v>
      </c>
      <c r="E28" s="13">
        <v>19.178862692172657</v>
      </c>
      <c r="F28" s="13">
        <v>8.456349761317199</v>
      </c>
      <c r="G28" s="13">
        <v>-10.73622689119297</v>
      </c>
      <c r="H28" s="13">
        <v>-1.4029551660923687</v>
      </c>
      <c r="I28" s="13">
        <v>17.349831638614049</v>
      </c>
      <c r="J28" s="13">
        <v>0.6547191465129174</v>
      </c>
      <c r="K28" s="13">
        <v>4.2358972454183004</v>
      </c>
      <c r="L28" s="13">
        <f>'Cuadro PIB'!J16</f>
        <v>5.0278602013912099</v>
      </c>
      <c r="M28" s="210"/>
    </row>
    <row r="29" spans="2:13">
      <c r="B29" s="6"/>
      <c r="C29" s="19" t="s">
        <v>233</v>
      </c>
      <c r="D29" s="13">
        <v>6.6221781559361261</v>
      </c>
      <c r="E29" s="13">
        <v>11.761366289963178</v>
      </c>
      <c r="F29" s="13">
        <v>4.0151789720540734</v>
      </c>
      <c r="G29" s="13">
        <v>-13.05851194548714</v>
      </c>
      <c r="H29" s="13">
        <v>32.364410191691661</v>
      </c>
      <c r="I29" s="13">
        <v>19.858711255738996</v>
      </c>
      <c r="J29" s="13">
        <v>0.6547191465129174</v>
      </c>
      <c r="K29" s="13">
        <v>4.2358972454183004</v>
      </c>
      <c r="L29" s="13">
        <f>'Cuadro PIB'!J17</f>
        <v>5.0278602013912099</v>
      </c>
      <c r="M29" s="210"/>
    </row>
    <row r="30" spans="2:13">
      <c r="B30" s="6"/>
      <c r="C30" s="19" t="s">
        <v>234</v>
      </c>
      <c r="D30" s="13">
        <v>27.696678483036052</v>
      </c>
      <c r="E30" s="13">
        <v>-74.358936235847963</v>
      </c>
      <c r="F30" s="13">
        <v>179.9962184438557</v>
      </c>
      <c r="G30" s="13">
        <v>-198.00565303024567</v>
      </c>
      <c r="H30" s="13">
        <v>-117.12449698614577</v>
      </c>
      <c r="I30" s="13">
        <v>206.67935174975906</v>
      </c>
      <c r="J30" s="13">
        <v>0.65471914651294583</v>
      </c>
      <c r="K30" s="13">
        <v>4.2358972454183004</v>
      </c>
      <c r="L30" s="13">
        <f>'Cuadro PIB'!J18</f>
        <v>5.0278602013912099</v>
      </c>
      <c r="M30" s="210"/>
    </row>
    <row r="31" spans="2:13">
      <c r="B31" s="6"/>
      <c r="C31" s="18" t="s">
        <v>235</v>
      </c>
      <c r="D31" s="13" t="s">
        <v>151</v>
      </c>
      <c r="E31" s="7" t="s">
        <v>156</v>
      </c>
      <c r="F31" s="7" t="s">
        <v>156</v>
      </c>
      <c r="G31" s="7" t="s">
        <v>156</v>
      </c>
      <c r="H31" s="7" t="s">
        <v>156</v>
      </c>
      <c r="I31" s="7" t="s">
        <v>156</v>
      </c>
      <c r="J31" s="13" t="s">
        <v>156</v>
      </c>
      <c r="K31" s="13" t="s">
        <v>156</v>
      </c>
      <c r="L31" s="7" t="s">
        <v>156</v>
      </c>
      <c r="M31" s="8"/>
    </row>
    <row r="32" spans="2:13">
      <c r="B32" s="6"/>
      <c r="C32" s="19" t="s">
        <v>236</v>
      </c>
      <c r="D32" s="13">
        <v>10.278472936794472</v>
      </c>
      <c r="E32" s="13">
        <v>9.9053129294877351</v>
      </c>
      <c r="F32" s="13">
        <v>-2.014772521741591</v>
      </c>
      <c r="G32" s="13">
        <v>-6.021176623474247</v>
      </c>
      <c r="H32" s="13">
        <v>4.9130977351289573</v>
      </c>
      <c r="I32" s="13">
        <v>6.9688891527624435</v>
      </c>
      <c r="J32" s="13">
        <v>8.5805632950289379</v>
      </c>
      <c r="K32" s="13">
        <v>3.6726139432589946</v>
      </c>
      <c r="L32" s="13">
        <f>'Cuadro PIB'!J20</f>
        <v>4.2607595513330896</v>
      </c>
      <c r="M32" s="210"/>
    </row>
    <row r="33" spans="2:13">
      <c r="B33" s="9"/>
      <c r="C33" s="19" t="s">
        <v>237</v>
      </c>
      <c r="D33" s="13">
        <v>8.0920211958113555</v>
      </c>
      <c r="E33" s="13">
        <v>4.2749835299810286</v>
      </c>
      <c r="F33" s="13">
        <v>6.5375881338241442</v>
      </c>
      <c r="G33" s="13">
        <v>-18.87801992908885</v>
      </c>
      <c r="H33" s="13">
        <v>13.985452022712551</v>
      </c>
      <c r="I33" s="13">
        <v>12.161373808277403</v>
      </c>
      <c r="J33" s="13">
        <v>8.7396552327585511</v>
      </c>
      <c r="K33" s="13">
        <v>4.6261334972349459</v>
      </c>
      <c r="L33" s="13">
        <f>'Cuadro PIB'!J22</f>
        <v>5.3384818676777321</v>
      </c>
      <c r="M33" s="210"/>
    </row>
    <row r="34" spans="2:13">
      <c r="B34" s="9"/>
      <c r="C34" s="18" t="s">
        <v>208</v>
      </c>
      <c r="D34" s="13" t="s">
        <v>151</v>
      </c>
      <c r="E34" s="7" t="s">
        <v>156</v>
      </c>
      <c r="F34" s="13">
        <v>-60.21030110103078</v>
      </c>
      <c r="G34" s="13">
        <v>190.07646670618476</v>
      </c>
      <c r="H34" s="13">
        <v>-73.639452486502577</v>
      </c>
      <c r="I34" s="13">
        <v>166.56361930906093</v>
      </c>
      <c r="J34" s="13">
        <v>-8.836091384463856</v>
      </c>
      <c r="K34" s="13">
        <v>-100</v>
      </c>
      <c r="L34" s="13">
        <f>'Cuadro PIB'!J24</f>
        <v>-100</v>
      </c>
      <c r="M34" s="210"/>
    </row>
    <row r="35" spans="2:13">
      <c r="B35" s="9"/>
      <c r="C35" s="18"/>
      <c r="D35" s="13"/>
      <c r="E35" s="7"/>
      <c r="F35" s="7"/>
      <c r="G35" s="7"/>
      <c r="H35" s="7"/>
      <c r="I35" s="7"/>
      <c r="J35" s="13"/>
      <c r="K35" s="13"/>
      <c r="L35" s="7"/>
      <c r="M35" s="8"/>
    </row>
    <row r="36" spans="2:13">
      <c r="B36" s="9"/>
      <c r="C36" s="18" t="s">
        <v>292</v>
      </c>
      <c r="D36" s="13">
        <v>4.7601994879400138</v>
      </c>
      <c r="E36" s="13">
        <v>3.2247387158538316</v>
      </c>
      <c r="F36" s="13">
        <v>4.1162980549477766</v>
      </c>
      <c r="G36" s="13">
        <v>3.6992417941641378</v>
      </c>
      <c r="H36" s="13">
        <v>4.4842566794403922</v>
      </c>
      <c r="I36" s="13">
        <v>5.7944911354312438</v>
      </c>
      <c r="J36" s="13">
        <v>2.4921335606574928</v>
      </c>
      <c r="K36" s="13">
        <v>4.0000000000001563</v>
      </c>
      <c r="L36" s="13">
        <f>L19/K19*100-100</f>
        <v>4</v>
      </c>
      <c r="M36" s="210"/>
    </row>
    <row r="37" spans="2:13">
      <c r="B37" s="5"/>
      <c r="C37" s="20"/>
      <c r="D37" s="7"/>
      <c r="E37" s="7"/>
      <c r="F37" s="7"/>
      <c r="G37" s="7"/>
      <c r="H37" s="7"/>
      <c r="I37" s="7"/>
      <c r="J37" s="13"/>
      <c r="K37" s="13"/>
      <c r="L37" s="7"/>
      <c r="M37" s="8"/>
    </row>
    <row r="38" spans="2:13">
      <c r="B38" s="5"/>
      <c r="C38" s="20"/>
      <c r="D38" s="7"/>
      <c r="E38" s="7"/>
      <c r="F38" s="7"/>
      <c r="G38" s="7"/>
      <c r="H38" s="7"/>
      <c r="I38" s="7"/>
      <c r="J38" s="13"/>
      <c r="K38" s="13"/>
      <c r="L38" s="7"/>
      <c r="M38" s="8"/>
    </row>
    <row r="39" spans="2:13">
      <c r="B39" s="5"/>
      <c r="C39" s="21" t="s">
        <v>294</v>
      </c>
      <c r="D39" s="7"/>
      <c r="E39" s="7"/>
      <c r="F39" s="7"/>
      <c r="G39" s="7"/>
      <c r="H39" s="7"/>
      <c r="I39" s="7"/>
      <c r="J39" s="13"/>
      <c r="K39" s="13"/>
      <c r="L39" s="7"/>
      <c r="M39" s="8"/>
    </row>
    <row r="40" spans="2:13">
      <c r="B40" s="5"/>
      <c r="C40" s="18" t="s">
        <v>228</v>
      </c>
      <c r="D40" s="13" t="s">
        <v>151</v>
      </c>
      <c r="E40" s="13">
        <v>5.5130716010297052</v>
      </c>
      <c r="F40" s="13">
        <v>2.6570995060901859</v>
      </c>
      <c r="G40" s="13">
        <v>1.7458369720072784</v>
      </c>
      <c r="H40" s="13">
        <v>3.7606595275105814</v>
      </c>
      <c r="I40" s="13">
        <v>3.329320236642296</v>
      </c>
      <c r="J40" s="13">
        <v>4.59490561731395</v>
      </c>
      <c r="K40" s="13">
        <v>4.6010816250487174</v>
      </c>
      <c r="L40" s="13">
        <f t="shared" ref="L40" si="0">(L7-K7)/K6*100</f>
        <v>4.1671031739385178</v>
      </c>
      <c r="M40" s="210"/>
    </row>
    <row r="41" spans="2:13">
      <c r="B41" s="5"/>
      <c r="C41" s="18" t="s">
        <v>295</v>
      </c>
      <c r="D41" s="13"/>
      <c r="E41" s="13">
        <v>5.174814453167401</v>
      </c>
      <c r="F41" s="13">
        <v>2.3953933770005564</v>
      </c>
      <c r="G41" s="13">
        <v>1.1977662295494673</v>
      </c>
      <c r="H41" s="13">
        <v>3.3210532115306903</v>
      </c>
      <c r="I41" s="13">
        <v>3.3582613680978013</v>
      </c>
      <c r="J41" s="13">
        <v>4.1949460929800484</v>
      </c>
      <c r="K41" s="13">
        <v>3.1890164647760599</v>
      </c>
      <c r="L41" s="13">
        <f>(L8-K8)/K6*100</f>
        <v>2.1038428664398823</v>
      </c>
      <c r="M41" s="210"/>
    </row>
    <row r="42" spans="2:13">
      <c r="B42" s="5"/>
      <c r="C42" s="18" t="s">
        <v>296</v>
      </c>
      <c r="D42" s="13"/>
      <c r="E42" s="13">
        <v>0.33825714786230376</v>
      </c>
      <c r="F42" s="13">
        <v>0.26170612908963936</v>
      </c>
      <c r="G42" s="13">
        <v>0.54807074245780063</v>
      </c>
      <c r="H42" s="13">
        <v>0.43960631597990379</v>
      </c>
      <c r="I42" s="13">
        <v>-2.8941131455515568E-2</v>
      </c>
      <c r="J42" s="13">
        <v>0.39995952433390947</v>
      </c>
      <c r="K42" s="13">
        <v>1.4120651602726579</v>
      </c>
      <c r="L42" s="13">
        <f>(L9-K9)/K7*100</f>
        <v>2.4852259299540549</v>
      </c>
      <c r="M42" s="210"/>
    </row>
    <row r="43" spans="2:13">
      <c r="B43" s="5"/>
      <c r="C43" s="18" t="s">
        <v>231</v>
      </c>
      <c r="D43" s="13" t="s">
        <v>151</v>
      </c>
      <c r="E43" s="13">
        <v>-1.6682358658042449</v>
      </c>
      <c r="F43" s="13">
        <v>4.6877461176723667</v>
      </c>
      <c r="G43" s="13">
        <v>-11.465160653234738</v>
      </c>
      <c r="H43" s="13">
        <v>5.6904883663415564</v>
      </c>
      <c r="I43" s="13">
        <v>4.982992103382637</v>
      </c>
      <c r="J43" s="13">
        <v>0.15649967434297909</v>
      </c>
      <c r="K43" s="13">
        <v>0.97820980646148337</v>
      </c>
      <c r="L43" s="13">
        <f>(L10-K10)/K6*100</f>
        <v>1.1575236161676077</v>
      </c>
      <c r="M43" s="210"/>
    </row>
    <row r="44" spans="2:13">
      <c r="B44" s="5"/>
      <c r="C44" s="18" t="s">
        <v>297</v>
      </c>
      <c r="D44" s="13"/>
      <c r="E44" s="13">
        <v>3.2428727655175993</v>
      </c>
      <c r="F44" s="13">
        <v>1.5996554366431845</v>
      </c>
      <c r="G44" s="13">
        <v>-2.1510235958983261</v>
      </c>
      <c r="H44" s="13">
        <v>-0.25506575333729897</v>
      </c>
      <c r="I44" s="13">
        <v>2.9659222165945893</v>
      </c>
      <c r="J44" s="13">
        <v>0.12431122707441589</v>
      </c>
      <c r="K44" s="13">
        <v>0.77701414963301441</v>
      </c>
      <c r="L44" s="13">
        <f>(L11-K11)/K6*100</f>
        <v>0.9194471598583579</v>
      </c>
      <c r="M44" s="210"/>
    </row>
    <row r="45" spans="2:13">
      <c r="B45" s="5"/>
      <c r="C45" s="18" t="s">
        <v>298</v>
      </c>
      <c r="D45" s="13"/>
      <c r="E45" s="13">
        <v>0.24092332203748842</v>
      </c>
      <c r="F45" s="13">
        <v>8.6288891650088573E-2</v>
      </c>
      <c r="G45" s="13">
        <v>-0.28505941841176285</v>
      </c>
      <c r="H45" s="13">
        <v>0.6244189797077806</v>
      </c>
      <c r="I45" s="13">
        <v>0.48364079184833769</v>
      </c>
      <c r="J45" s="13">
        <v>1.8088595880134305E-2</v>
      </c>
      <c r="K45" s="13">
        <v>0.11306376162986501</v>
      </c>
      <c r="L45" s="13">
        <f>(L12-K12)/K6*100</f>
        <v>0.13378926826825552</v>
      </c>
      <c r="M45" s="210"/>
    </row>
    <row r="46" spans="2:13">
      <c r="B46" s="5"/>
      <c r="C46" s="18" t="s">
        <v>236</v>
      </c>
      <c r="D46" s="13" t="s">
        <v>151</v>
      </c>
      <c r="E46" s="13">
        <v>5.1232476300319592</v>
      </c>
      <c r="F46" s="13">
        <v>-1.075125261932985</v>
      </c>
      <c r="G46" s="13">
        <v>-3.0744683060066964</v>
      </c>
      <c r="H46" s="13">
        <v>2.3967000537584862</v>
      </c>
      <c r="I46" s="13">
        <v>3.4012909560496332</v>
      </c>
      <c r="J46" s="13">
        <v>4.2399609939567382</v>
      </c>
      <c r="K46" s="13">
        <v>1.8913307733894522</v>
      </c>
      <c r="L46" s="13">
        <f>(L15-K15)/K6*100</f>
        <v>2.1756350506841335</v>
      </c>
      <c r="M46" s="210"/>
    </row>
    <row r="47" spans="2:13">
      <c r="B47" s="5"/>
      <c r="C47" s="18" t="s">
        <v>237</v>
      </c>
      <c r="D47" s="13" t="s">
        <v>151</v>
      </c>
      <c r="E47" s="13">
        <v>-2.4119024301684391</v>
      </c>
      <c r="F47" s="13">
        <v>-3.6104404693839514</v>
      </c>
      <c r="G47" s="13">
        <v>10.846682648322059</v>
      </c>
      <c r="H47" s="13">
        <v>-6.6266673354370642</v>
      </c>
      <c r="I47" s="13">
        <v>-6.2638732339448806</v>
      </c>
      <c r="J47" s="13">
        <v>-4.7786617601158223</v>
      </c>
      <c r="K47" s="13">
        <v>-2.6400500585875477</v>
      </c>
      <c r="L47" s="13">
        <f>-(L16-K16)/K6*100</f>
        <v>-3.0485597430521967</v>
      </c>
      <c r="M47" s="210"/>
    </row>
    <row r="48" spans="2:13">
      <c r="B48" s="5"/>
      <c r="C48" s="20"/>
      <c r="D48" s="7"/>
      <c r="E48" s="7"/>
      <c r="F48" s="7"/>
      <c r="G48" s="7"/>
      <c r="H48" s="7"/>
      <c r="I48" s="7"/>
      <c r="J48" s="13"/>
      <c r="K48" s="13"/>
      <c r="L48" s="7"/>
      <c r="M48" s="8"/>
    </row>
    <row r="49" spans="2:13">
      <c r="B49" s="5"/>
      <c r="C49" s="21" t="s">
        <v>29</v>
      </c>
      <c r="D49" s="7"/>
      <c r="E49" s="7"/>
      <c r="F49" s="7"/>
      <c r="G49" s="7"/>
      <c r="H49" s="7"/>
      <c r="I49" s="7"/>
      <c r="J49" s="13"/>
      <c r="K49" s="13"/>
      <c r="L49" s="7"/>
      <c r="M49" s="8"/>
    </row>
    <row r="50" spans="2:13">
      <c r="B50" s="5"/>
      <c r="C50" s="18" t="s">
        <v>299</v>
      </c>
      <c r="D50" s="13">
        <v>2.2196594094899145</v>
      </c>
      <c r="E50" s="13">
        <v>5.4905179294219453</v>
      </c>
      <c r="F50" s="13">
        <v>3.752771259807973</v>
      </c>
      <c r="G50" s="13">
        <v>-1.5797419566411386</v>
      </c>
      <c r="H50" s="13">
        <v>-1.2262807984142379</v>
      </c>
      <c r="I50" s="13">
        <v>-1.3561522298677944</v>
      </c>
      <c r="J50" s="13">
        <v>0.27332419190744062</v>
      </c>
      <c r="K50" s="13">
        <v>0.8113223736493943</v>
      </c>
      <c r="L50" s="13">
        <f>(L6-L19)/L19*100</f>
        <v>1.2491751216486748</v>
      </c>
      <c r="M50" s="210"/>
    </row>
    <row r="51" spans="2:13" ht="15.75" thickBot="1">
      <c r="B51" s="10"/>
      <c r="C51" s="592"/>
      <c r="D51" s="293"/>
      <c r="E51" s="293"/>
      <c r="F51" s="293"/>
      <c r="G51" s="293"/>
      <c r="H51" s="293"/>
      <c r="I51" s="293"/>
      <c r="J51" s="293"/>
      <c r="K51" s="293"/>
      <c r="L51" s="293"/>
      <c r="M51" s="12"/>
    </row>
    <row r="52" spans="2:13">
      <c r="B52" s="2"/>
      <c r="C52" s="2"/>
      <c r="D52" s="2"/>
      <c r="E52" s="2"/>
      <c r="F52" s="2"/>
      <c r="G52" s="2"/>
      <c r="H52" s="2"/>
      <c r="I52" s="2"/>
      <c r="J52" s="2"/>
      <c r="K52" s="2"/>
      <c r="L52" s="2"/>
      <c r="M52" s="2"/>
    </row>
    <row r="53" spans="2:13">
      <c r="C53" s="2"/>
      <c r="D53" s="2"/>
      <c r="E53" s="2"/>
      <c r="F53" s="2"/>
      <c r="G53" s="2"/>
      <c r="H53" s="2"/>
      <c r="I53" s="2"/>
      <c r="J53" s="2"/>
      <c r="K53" s="2"/>
      <c r="L53" s="2"/>
      <c r="M53" s="2"/>
    </row>
    <row r="54" spans="2:13">
      <c r="C54" s="2"/>
      <c r="D54" s="2"/>
      <c r="E54" s="2"/>
      <c r="F54" s="2"/>
      <c r="G54" s="2"/>
      <c r="H54" s="2"/>
      <c r="I54" s="2"/>
      <c r="J54" s="2"/>
      <c r="K54" s="2"/>
      <c r="L54" s="2"/>
      <c r="M54" s="2"/>
    </row>
    <row r="76" spans="1:13">
      <c r="A76" s="248"/>
      <c r="B76" s="251"/>
      <c r="C76" s="251"/>
      <c r="D76" s="288"/>
      <c r="E76" s="288"/>
      <c r="F76" s="288"/>
      <c r="G76" s="288"/>
      <c r="H76" s="288"/>
      <c r="I76" s="288"/>
      <c r="J76" s="288"/>
      <c r="K76" s="288"/>
      <c r="L76" s="288"/>
      <c r="M76" s="288"/>
    </row>
    <row r="77" spans="1:13">
      <c r="A77" s="248"/>
      <c r="B77" s="251"/>
      <c r="C77" s="251"/>
      <c r="D77" s="288"/>
      <c r="E77" s="288"/>
      <c r="F77" s="288"/>
      <c r="G77" s="288"/>
      <c r="H77" s="288"/>
      <c r="I77" s="288"/>
      <c r="J77" s="288"/>
      <c r="K77" s="288"/>
      <c r="L77" s="288"/>
      <c r="M77" s="288"/>
    </row>
    <row r="78" spans="1:13">
      <c r="A78" s="248"/>
      <c r="B78" s="251"/>
      <c r="C78" s="251"/>
      <c r="D78" s="288"/>
      <c r="E78" s="288"/>
      <c r="F78" s="288"/>
      <c r="G78" s="288"/>
      <c r="H78" s="288"/>
      <c r="I78" s="288"/>
      <c r="J78" s="288"/>
      <c r="K78" s="288"/>
      <c r="L78" s="288"/>
      <c r="M78" s="288"/>
    </row>
    <row r="79" spans="1:13">
      <c r="A79" s="248" t="s">
        <v>300</v>
      </c>
      <c r="B79" s="251"/>
      <c r="C79" s="251"/>
      <c r="D79" s="288"/>
      <c r="E79" s="288"/>
      <c r="F79" s="288"/>
      <c r="G79" s="288"/>
      <c r="H79" s="288"/>
      <c r="I79" s="288"/>
      <c r="J79" s="288"/>
      <c r="K79" s="288"/>
      <c r="L79" s="583">
        <f>(AVERAGE('Regla de Taylor '!D8:D8)-AVERAGE('Regla de Taylor '!F8:F8))/100</f>
        <v>2.7301901362844702E-2</v>
      </c>
      <c r="M79" s="583"/>
    </row>
    <row r="80" spans="1:13">
      <c r="A80" s="248" t="s">
        <v>301</v>
      </c>
      <c r="B80" s="251"/>
      <c r="C80" s="251"/>
      <c r="D80" s="288"/>
      <c r="E80" s="288"/>
      <c r="F80" s="288"/>
      <c r="G80" s="288"/>
      <c r="H80" s="288"/>
      <c r="I80" s="288"/>
      <c r="J80" s="288"/>
      <c r="K80" s="288"/>
      <c r="L80" s="288"/>
      <c r="M80" s="288"/>
    </row>
    <row r="81" spans="1:13">
      <c r="A81" s="248"/>
      <c r="B81" s="251"/>
      <c r="C81" s="251"/>
      <c r="D81" s="288"/>
      <c r="E81" s="288"/>
      <c r="F81" s="288"/>
      <c r="G81" s="288"/>
      <c r="H81" s="288"/>
      <c r="I81" s="288"/>
      <c r="J81" s="288"/>
      <c r="K81" s="288"/>
      <c r="L81" s="288"/>
      <c r="M81" s="288"/>
    </row>
    <row r="82" spans="1:13">
      <c r="A82" s="248" t="s">
        <v>302</v>
      </c>
      <c r="B82" s="251"/>
      <c r="C82" s="251"/>
      <c r="D82" s="288"/>
      <c r="E82" s="288"/>
      <c r="F82" s="288"/>
      <c r="G82" s="288"/>
      <c r="H82" s="288"/>
      <c r="I82" s="288"/>
      <c r="J82" s="288"/>
      <c r="K82" s="288"/>
      <c r="L82" s="288"/>
      <c r="M82" s="288"/>
    </row>
    <row r="83" spans="1:13">
      <c r="A83" s="248" t="s">
        <v>303</v>
      </c>
      <c r="B83" s="251"/>
      <c r="C83" s="251"/>
      <c r="D83" s="288"/>
      <c r="E83" s="288"/>
      <c r="F83" s="288"/>
      <c r="G83" s="288"/>
      <c r="H83" s="288"/>
      <c r="I83" s="288"/>
      <c r="J83" s="288"/>
      <c r="K83" s="288"/>
      <c r="L83" s="584" t="e">
        <f>#REF!</f>
        <v>#REF!</v>
      </c>
      <c r="M83" s="584"/>
    </row>
    <row r="84" spans="1:13">
      <c r="A84" s="248"/>
      <c r="B84" s="251"/>
      <c r="C84" s="251"/>
      <c r="D84" s="288"/>
      <c r="E84" s="288"/>
      <c r="F84" s="288"/>
      <c r="G84" s="288"/>
      <c r="H84" s="288"/>
      <c r="I84" s="288"/>
      <c r="J84" s="288"/>
      <c r="K84" s="288"/>
      <c r="L84" s="288"/>
      <c r="M84" s="288"/>
    </row>
    <row r="85" spans="1:13">
      <c r="A85" s="248" t="s">
        <v>304</v>
      </c>
      <c r="B85" s="251"/>
      <c r="C85" s="251"/>
      <c r="D85" s="288"/>
      <c r="E85" s="288"/>
      <c r="F85" s="288"/>
      <c r="G85" s="288"/>
      <c r="H85" s="288"/>
      <c r="I85" s="288"/>
      <c r="J85" s="288"/>
      <c r="K85" s="288"/>
      <c r="L85" s="288"/>
      <c r="M85" s="288"/>
    </row>
    <row r="86" spans="1:13">
      <c r="A86" s="248" t="s">
        <v>305</v>
      </c>
      <c r="B86" s="251"/>
      <c r="C86" s="251"/>
      <c r="D86" s="288"/>
      <c r="E86" s="288"/>
      <c r="F86" s="288"/>
      <c r="G86" s="288"/>
      <c r="H86" s="288"/>
      <c r="I86" s="288"/>
      <c r="J86" s="288"/>
      <c r="K86" s="288"/>
      <c r="L86" s="584" t="e">
        <f>#REF!</f>
        <v>#REF!</v>
      </c>
      <c r="M86" s="584"/>
    </row>
    <row r="87" spans="1:13">
      <c r="A87" s="248"/>
      <c r="B87" s="251"/>
      <c r="C87" s="251"/>
      <c r="D87" s="288"/>
      <c r="E87" s="288"/>
      <c r="F87" s="288"/>
      <c r="G87" s="288"/>
      <c r="H87" s="288"/>
      <c r="I87" s="288"/>
      <c r="J87" s="288"/>
      <c r="K87" s="288"/>
      <c r="L87" s="288"/>
      <c r="M87" s="288"/>
    </row>
    <row r="88" spans="1:13">
      <c r="A88" s="248" t="s">
        <v>306</v>
      </c>
      <c r="B88" s="251"/>
      <c r="C88" s="251"/>
      <c r="D88" s="288"/>
      <c r="E88" s="288"/>
      <c r="F88" s="288"/>
      <c r="G88" s="288"/>
      <c r="H88" s="288"/>
      <c r="I88" s="288"/>
      <c r="J88" s="288"/>
      <c r="K88" s="288"/>
      <c r="L88" s="288"/>
      <c r="M88" s="288"/>
    </row>
    <row r="89" spans="1:13">
      <c r="A89" s="248"/>
      <c r="B89" s="251"/>
      <c r="C89" s="251"/>
      <c r="D89" s="288"/>
      <c r="E89" s="288"/>
      <c r="F89" s="288"/>
      <c r="G89" s="288"/>
      <c r="H89" s="288"/>
      <c r="I89" s="288"/>
      <c r="J89" s="288"/>
      <c r="K89" s="288"/>
      <c r="L89" s="584">
        <f>'TC nominal'!H22</f>
        <v>99.269809863715537</v>
      </c>
      <c r="M89" s="584"/>
    </row>
    <row r="90" spans="1:13">
      <c r="A90" s="248"/>
      <c r="B90" s="251"/>
      <c r="C90" s="251"/>
      <c r="D90" s="288"/>
      <c r="E90" s="288"/>
      <c r="F90" s="288"/>
      <c r="G90" s="288"/>
      <c r="H90" s="288"/>
      <c r="I90" s="288"/>
      <c r="J90" s="288"/>
      <c r="K90" s="288"/>
      <c r="L90" s="288"/>
      <c r="M90" s="288"/>
    </row>
    <row r="91" spans="1:13">
      <c r="A91" s="248"/>
      <c r="B91" s="251"/>
      <c r="C91" s="251"/>
      <c r="D91" s="288"/>
      <c r="E91" s="288"/>
      <c r="F91" s="288"/>
      <c r="G91" s="288"/>
      <c r="H91" s="288"/>
      <c r="I91" s="288"/>
      <c r="J91" s="288"/>
      <c r="K91" s="288"/>
      <c r="L91" s="288"/>
      <c r="M91" s="288"/>
    </row>
    <row r="92" spans="1:13">
      <c r="A92" s="248" t="s">
        <v>307</v>
      </c>
      <c r="B92" s="251"/>
      <c r="C92" s="251"/>
      <c r="D92" s="288"/>
      <c r="E92" s="288"/>
      <c r="F92" s="288"/>
      <c r="G92" s="288"/>
      <c r="H92" s="288"/>
      <c r="I92" s="288"/>
      <c r="J92" s="288"/>
      <c r="K92" s="288"/>
      <c r="L92" s="583">
        <f>L79-L93</f>
        <v>1.73019013628447E-2</v>
      </c>
      <c r="M92" s="583"/>
    </row>
    <row r="93" spans="1:13">
      <c r="A93" s="248" t="s">
        <v>308</v>
      </c>
      <c r="B93" s="251"/>
      <c r="C93" s="251"/>
      <c r="D93" s="288"/>
      <c r="E93" s="288"/>
      <c r="F93" s="288"/>
      <c r="G93" s="288"/>
      <c r="H93" s="288"/>
      <c r="I93" s="288"/>
      <c r="J93" s="288"/>
      <c r="K93" s="288"/>
      <c r="L93" s="585">
        <v>0.01</v>
      </c>
      <c r="M93" s="585"/>
    </row>
    <row r="94" spans="1:13">
      <c r="A94" s="248"/>
      <c r="B94" s="251"/>
      <c r="C94" s="251"/>
      <c r="D94" s="288"/>
      <c r="E94" s="288"/>
      <c r="F94" s="288"/>
      <c r="G94" s="288"/>
      <c r="H94" s="288"/>
      <c r="I94" s="288"/>
      <c r="J94" s="288"/>
      <c r="K94" s="288"/>
      <c r="L94" s="288"/>
      <c r="M94" s="288"/>
    </row>
    <row r="95" spans="1:13">
      <c r="A95" s="248"/>
      <c r="B95" s="251"/>
      <c r="C95" s="251"/>
      <c r="D95" s="288"/>
      <c r="E95" s="288"/>
      <c r="F95" s="288"/>
      <c r="G95" s="288"/>
      <c r="H95" s="288"/>
      <c r="I95" s="288"/>
      <c r="J95" s="288"/>
      <c r="K95" s="288"/>
      <c r="L95" s="288"/>
      <c r="M95" s="288"/>
    </row>
    <row r="96" spans="1:13">
      <c r="A96" s="248"/>
      <c r="B96" s="251"/>
      <c r="C96" s="251"/>
      <c r="D96" s="288"/>
      <c r="E96" s="288"/>
      <c r="F96" s="288"/>
      <c r="G96" s="288"/>
      <c r="H96" s="288"/>
      <c r="I96" s="288"/>
      <c r="J96" s="288"/>
      <c r="K96" s="288"/>
      <c r="L96" s="288"/>
      <c r="M96" s="288"/>
    </row>
    <row r="97" spans="1:13">
      <c r="A97" s="248"/>
      <c r="B97" s="251"/>
      <c r="C97" s="251"/>
      <c r="D97" s="288"/>
      <c r="E97" s="288"/>
      <c r="F97" s="288"/>
      <c r="G97" s="288"/>
      <c r="H97" s="288"/>
      <c r="I97" s="288"/>
      <c r="J97" s="288"/>
      <c r="K97" s="288"/>
      <c r="L97" s="288"/>
      <c r="M97" s="288"/>
    </row>
    <row r="98" spans="1:13">
      <c r="A98" s="248"/>
      <c r="B98" s="251"/>
      <c r="C98" s="251"/>
      <c r="D98" s="288"/>
      <c r="E98" s="288"/>
      <c r="F98" s="288"/>
      <c r="G98" s="288"/>
      <c r="H98" s="288"/>
      <c r="I98" s="288"/>
      <c r="J98" s="288"/>
      <c r="K98" s="288"/>
      <c r="L98" s="288"/>
      <c r="M98" s="288"/>
    </row>
    <row r="99" spans="1:13">
      <c r="A99" s="248"/>
      <c r="B99" s="251"/>
      <c r="C99" s="251"/>
      <c r="D99" s="288"/>
      <c r="E99" s="288"/>
      <c r="F99" s="288"/>
      <c r="G99" s="288"/>
      <c r="H99" s="288"/>
      <c r="I99" s="288"/>
      <c r="J99" s="288"/>
      <c r="K99" s="288"/>
      <c r="L99" s="288"/>
      <c r="M99" s="288"/>
    </row>
  </sheetData>
  <pageMargins left="0.7" right="0.7" top="0.75" bottom="0.75" header="0.3" footer="0.3"/>
  <pageSetup scale="5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499984740745262"/>
    <pageSetUpPr fitToPage="1"/>
  </sheetPr>
  <dimension ref="B1:S47"/>
  <sheetViews>
    <sheetView topLeftCell="A9" zoomScaleNormal="100" workbookViewId="0">
      <selection activeCell="K35" sqref="K35"/>
    </sheetView>
  </sheetViews>
  <sheetFormatPr baseColWidth="10" defaultColWidth="9.42578125" defaultRowHeight="15"/>
  <cols>
    <col min="1" max="1" width="9.42578125" style="2"/>
    <col min="2" max="2" width="3.5703125" style="3" customWidth="1"/>
    <col min="3" max="3" width="45.5703125" style="3" customWidth="1"/>
    <col min="4" max="12" width="9.140625" style="4" customWidth="1"/>
    <col min="13" max="13" width="3.5703125" style="4" customWidth="1"/>
    <col min="14" max="14" width="11.85546875" style="4" customWidth="1"/>
    <col min="15" max="15" width="9.42578125" style="4"/>
    <col min="16" max="16" width="11.5703125" style="2" bestFit="1" customWidth="1"/>
    <col min="17" max="16384" width="9.42578125" style="2"/>
  </cols>
  <sheetData>
    <row r="1" spans="2:19" ht="15.75" thickBot="1"/>
    <row r="2" spans="2:19" s="1" customFormat="1" ht="33" customHeight="1">
      <c r="B2" s="393"/>
      <c r="C2" s="282" t="s">
        <v>309</v>
      </c>
      <c r="D2" s="282"/>
      <c r="E2" s="282"/>
      <c r="F2" s="282"/>
      <c r="G2" s="282"/>
      <c r="H2" s="282"/>
      <c r="I2" s="282"/>
      <c r="J2" s="282"/>
      <c r="K2" s="282"/>
      <c r="L2" s="282"/>
      <c r="M2" s="607"/>
      <c r="N2" s="406"/>
      <c r="O2" s="595"/>
      <c r="P2" s="282"/>
      <c r="Q2" s="282"/>
      <c r="R2" s="282"/>
      <c r="S2" s="389"/>
    </row>
    <row r="3" spans="2:19" s="1" customFormat="1" ht="33" customHeight="1">
      <c r="B3" s="14"/>
      <c r="C3" s="16"/>
      <c r="D3" s="351">
        <v>2006</v>
      </c>
      <c r="E3" s="351">
        <v>2007</v>
      </c>
      <c r="F3" s="351">
        <v>2008</v>
      </c>
      <c r="G3" s="351">
        <v>2009</v>
      </c>
      <c r="H3" s="351">
        <v>2010</v>
      </c>
      <c r="I3" s="351">
        <v>2011</v>
      </c>
      <c r="J3" s="351">
        <v>2012</v>
      </c>
      <c r="K3" s="351">
        <v>2013</v>
      </c>
      <c r="L3" s="351">
        <v>2014</v>
      </c>
      <c r="M3" s="15"/>
      <c r="N3" s="407"/>
      <c r="O3" s="596"/>
      <c r="P3" s="351">
        <v>2012</v>
      </c>
      <c r="Q3" s="351">
        <v>2013</v>
      </c>
      <c r="R3" s="351">
        <v>2014</v>
      </c>
      <c r="S3" s="32"/>
    </row>
    <row r="4" spans="2:19" s="1" customFormat="1" ht="33" customHeight="1">
      <c r="B4" s="109"/>
      <c r="C4" s="110"/>
      <c r="D4" s="110" t="s">
        <v>225</v>
      </c>
      <c r="E4" s="216"/>
      <c r="F4" s="216"/>
      <c r="G4" s="216"/>
      <c r="H4" s="216"/>
      <c r="I4" s="216"/>
      <c r="J4" s="216"/>
      <c r="K4" s="216"/>
      <c r="L4" s="216"/>
      <c r="M4" s="15"/>
      <c r="N4" s="597"/>
      <c r="O4" s="596"/>
      <c r="P4" s="598" t="s">
        <v>310</v>
      </c>
      <c r="Q4" s="598"/>
      <c r="R4" s="598"/>
      <c r="S4" s="32"/>
    </row>
    <row r="5" spans="2:19" s="1" customFormat="1" ht="15" customHeight="1">
      <c r="B5" s="30"/>
      <c r="C5" s="21" t="s">
        <v>311</v>
      </c>
      <c r="D5" s="31"/>
      <c r="E5" s="31"/>
      <c r="F5" s="31"/>
      <c r="G5" s="31"/>
      <c r="H5" s="31"/>
      <c r="I5" s="31"/>
      <c r="J5" s="31"/>
      <c r="K5" s="31"/>
      <c r="L5" s="31"/>
      <c r="M5" s="32"/>
      <c r="O5" s="596"/>
      <c r="P5" s="31"/>
      <c r="Q5" s="31"/>
      <c r="R5" s="31"/>
      <c r="S5" s="32"/>
    </row>
    <row r="6" spans="2:19">
      <c r="B6" s="6"/>
      <c r="C6" s="18" t="s">
        <v>227</v>
      </c>
      <c r="D6" s="7">
        <v>10964.620135876014</v>
      </c>
      <c r="E6" s="7">
        <v>12956.322039467186</v>
      </c>
      <c r="F6" s="7">
        <v>14737.185928738949</v>
      </c>
      <c r="G6" s="7">
        <v>15747.009032492888</v>
      </c>
      <c r="H6" s="7">
        <v>17629.077878645952</v>
      </c>
      <c r="I6" s="7">
        <v>19427.849144138439</v>
      </c>
      <c r="J6" s="7">
        <v>21157.293165921488</v>
      </c>
      <c r="K6" s="7">
        <v>23646.185911788263</v>
      </c>
      <c r="L6" s="7">
        <f>PIB_Nominal!L6</f>
        <v>26705.762973114495</v>
      </c>
      <c r="M6" s="361"/>
      <c r="O6" s="596"/>
      <c r="P6" s="264">
        <f t="shared" ref="P6:P16" si="0">J6/I6-1</f>
        <v>8.9018810520506753E-2</v>
      </c>
      <c r="Q6" s="264">
        <f t="shared" ref="Q6:Q16" si="1">K6/J6-1</f>
        <v>0.11763757898272575</v>
      </c>
      <c r="R6" s="264">
        <f>L6/K6-1</f>
        <v>0.12938987592924867</v>
      </c>
      <c r="S6" s="171"/>
    </row>
    <row r="7" spans="2:19">
      <c r="B7" s="6"/>
      <c r="C7" s="18" t="s">
        <v>228</v>
      </c>
      <c r="D7" s="7">
        <v>8700.4436797596009</v>
      </c>
      <c r="E7" s="7">
        <v>10352.870824252879</v>
      </c>
      <c r="F7" s="7">
        <v>12200.565181223052</v>
      </c>
      <c r="G7" s="7">
        <v>13108.59111546975</v>
      </c>
      <c r="H7" s="7">
        <v>14576.65740171303</v>
      </c>
      <c r="I7" s="7">
        <v>16016.788216375171</v>
      </c>
      <c r="J7" s="7">
        <v>17760.342685383461</v>
      </c>
      <c r="K7" s="7">
        <v>19985.487114723568</v>
      </c>
      <c r="L7" s="7">
        <f>PIB_Nominal!L7</f>
        <v>22689.508514864097</v>
      </c>
      <c r="M7" s="361"/>
      <c r="O7" s="596"/>
      <c r="P7" s="264">
        <f t="shared" si="0"/>
        <v>0.10885793365399699</v>
      </c>
      <c r="Q7" s="264">
        <f t="shared" si="1"/>
        <v>0.1252872463531558</v>
      </c>
      <c r="R7" s="264">
        <f>L7/K7-1</f>
        <v>0.13529924913105784</v>
      </c>
      <c r="S7" s="171"/>
    </row>
    <row r="8" spans="2:19">
      <c r="B8" s="6"/>
      <c r="C8" s="19" t="s">
        <v>229</v>
      </c>
      <c r="D8" s="7">
        <v>7624.2096147854409</v>
      </c>
      <c r="E8" s="7">
        <v>9087.1639391898589</v>
      </c>
      <c r="F8" s="7">
        <v>10645.096778111301</v>
      </c>
      <c r="G8" s="7">
        <v>11176.637622127901</v>
      </c>
      <c r="H8" s="7">
        <v>12277.7573727089</v>
      </c>
      <c r="I8" s="7">
        <v>13520.438186146001</v>
      </c>
      <c r="J8" s="7">
        <v>15027.228142208456</v>
      </c>
      <c r="K8" s="7">
        <v>16647.634677840626</v>
      </c>
      <c r="L8" s="7">
        <f>PIB_Nominal!L8</f>
        <v>18389.330140428639</v>
      </c>
      <c r="M8" s="361"/>
      <c r="O8" s="596"/>
      <c r="P8" s="264">
        <f t="shared" si="0"/>
        <v>0.11144534927916894</v>
      </c>
      <c r="Q8" s="264">
        <f t="shared" si="1"/>
        <v>0.10783136585787068</v>
      </c>
      <c r="R8" s="264">
        <f t="shared" ref="R8:R16" si="2">L8/K8-1</f>
        <v>0.1046211967220998</v>
      </c>
      <c r="S8" s="171"/>
    </row>
    <row r="9" spans="2:19">
      <c r="B9" s="6"/>
      <c r="C9" s="19" t="s">
        <v>230</v>
      </c>
      <c r="D9" s="7">
        <v>1076.23406497416</v>
      </c>
      <c r="E9" s="7">
        <v>1265.7068850630199</v>
      </c>
      <c r="F9" s="7">
        <v>1555.4684031117501</v>
      </c>
      <c r="G9" s="7">
        <v>1931.9534933418499</v>
      </c>
      <c r="H9" s="7">
        <v>2298.9000290041299</v>
      </c>
      <c r="I9" s="7">
        <v>2496.35003022917</v>
      </c>
      <c r="J9" s="7">
        <v>2733.1145431750042</v>
      </c>
      <c r="K9" s="7">
        <v>3337.8524368829435</v>
      </c>
      <c r="L9" s="7">
        <f>PIB_Nominal!L9</f>
        <v>4300.178374435458</v>
      </c>
      <c r="M9" s="361"/>
      <c r="O9" s="596"/>
      <c r="P9" s="264">
        <f t="shared" si="0"/>
        <v>9.4844276675454253E-2</v>
      </c>
      <c r="Q9" s="264">
        <f t="shared" si="1"/>
        <v>0.2212632819279603</v>
      </c>
      <c r="R9" s="264">
        <f>L9/K9-1</f>
        <v>0.28830691462537605</v>
      </c>
      <c r="S9" s="171"/>
    </row>
    <row r="10" spans="2:19">
      <c r="B10" s="6"/>
      <c r="C10" s="18" t="s">
        <v>231</v>
      </c>
      <c r="D10" s="7">
        <v>2919.211486831869</v>
      </c>
      <c r="E10" s="7">
        <v>3202.1678246978909</v>
      </c>
      <c r="F10" s="7">
        <v>4044.0792657905199</v>
      </c>
      <c r="G10" s="7">
        <v>2463.1897589157516</v>
      </c>
      <c r="H10" s="7">
        <v>3463.168307037306</v>
      </c>
      <c r="I10" s="7">
        <v>4287.2834080595767</v>
      </c>
      <c r="J10" s="7">
        <v>4493.8592022856728</v>
      </c>
      <c r="K10" s="7">
        <v>4957.1099520326898</v>
      </c>
      <c r="L10" s="7">
        <f>PIB_Nominal!L10</f>
        <v>5598.6359160792381</v>
      </c>
      <c r="M10" s="361"/>
      <c r="O10" s="596"/>
      <c r="P10" s="264">
        <f t="shared" si="0"/>
        <v>4.818337734280842E-2</v>
      </c>
      <c r="Q10" s="264">
        <f t="shared" si="1"/>
        <v>0.10308528347114154</v>
      </c>
      <c r="R10" s="264">
        <f>L10/K10-1</f>
        <v>0.12941531865426681</v>
      </c>
      <c r="S10" s="171"/>
    </row>
    <row r="11" spans="2:19">
      <c r="B11" s="6"/>
      <c r="C11" s="19" t="s">
        <v>232</v>
      </c>
      <c r="D11" s="7">
        <v>1935.570838863257</v>
      </c>
      <c r="E11" s="7">
        <v>2523.1835841621228</v>
      </c>
      <c r="F11" s="7">
        <v>3083.0457646726099</v>
      </c>
      <c r="G11" s="7">
        <v>3105.0590588653949</v>
      </c>
      <c r="H11" s="7">
        <v>2992.8913871982295</v>
      </c>
      <c r="I11" s="7">
        <v>3513.9263072449162</v>
      </c>
      <c r="J11" s="7">
        <v>3683.2391444617197</v>
      </c>
      <c r="K11" s="7">
        <v>4062.9268957605614</v>
      </c>
      <c r="L11" s="7">
        <f>PIB_Nominal!L11</f>
        <v>4588.7318746444053</v>
      </c>
      <c r="M11" s="361"/>
      <c r="O11" s="596"/>
      <c r="P11" s="264">
        <f t="shared" si="0"/>
        <v>4.818337734280842E-2</v>
      </c>
      <c r="Q11" s="264">
        <f t="shared" si="1"/>
        <v>0.10308528347114176</v>
      </c>
      <c r="R11" s="264">
        <f t="shared" si="2"/>
        <v>0.12941531865426681</v>
      </c>
      <c r="S11" s="171"/>
    </row>
    <row r="12" spans="2:19">
      <c r="B12" s="6"/>
      <c r="C12" s="19" t="s">
        <v>233</v>
      </c>
      <c r="D12" s="7">
        <v>234.02446092770001</v>
      </c>
      <c r="E12" s="7">
        <v>286.08395379112</v>
      </c>
      <c r="F12" s="7">
        <v>335.24812478955999</v>
      </c>
      <c r="G12" s="7">
        <v>328.85774901422667</v>
      </c>
      <c r="H12" s="7">
        <v>425.53619082492668</v>
      </c>
      <c r="I12" s="7">
        <v>510.29971704969</v>
      </c>
      <c r="J12" s="7">
        <v>534.88768087422363</v>
      </c>
      <c r="K12" s="7">
        <v>590.02672908236457</v>
      </c>
      <c r="L12" s="7">
        <f>PIB_Nominal!L12</f>
        <v>666.38522624109351</v>
      </c>
      <c r="M12" s="361"/>
      <c r="O12" s="596"/>
      <c r="P12" s="264">
        <f t="shared" si="0"/>
        <v>4.818337734280842E-2</v>
      </c>
      <c r="Q12" s="264">
        <f t="shared" si="1"/>
        <v>0.10308528347114176</v>
      </c>
      <c r="R12" s="264">
        <f t="shared" si="2"/>
        <v>0.12941531865426681</v>
      </c>
      <c r="S12" s="171"/>
    </row>
    <row r="13" spans="2:19">
      <c r="B13" s="6"/>
      <c r="C13" s="19" t="s">
        <v>234</v>
      </c>
      <c r="D13" s="7">
        <v>749.616187040912</v>
      </c>
      <c r="E13" s="7">
        <v>392.90028674464799</v>
      </c>
      <c r="F13" s="7">
        <v>625.78537632835003</v>
      </c>
      <c r="G13" s="7">
        <v>-970.72704896386995</v>
      </c>
      <c r="H13" s="7">
        <v>44.740729014149998</v>
      </c>
      <c r="I13" s="7">
        <v>263.05738376496998</v>
      </c>
      <c r="J13" s="7">
        <v>275.73237694972954</v>
      </c>
      <c r="K13" s="7">
        <v>304.15632718976411</v>
      </c>
      <c r="L13" s="7">
        <f>PIB_Nominal!L13</f>
        <v>343.51881519373882</v>
      </c>
      <c r="M13" s="361"/>
      <c r="O13" s="596"/>
      <c r="P13" s="264">
        <f t="shared" si="0"/>
        <v>4.8183377342808642E-2</v>
      </c>
      <c r="Q13" s="264">
        <f t="shared" si="1"/>
        <v>0.10308528347114176</v>
      </c>
      <c r="R13" s="264">
        <f t="shared" si="2"/>
        <v>0.12941531865426659</v>
      </c>
      <c r="S13" s="171"/>
    </row>
    <row r="14" spans="2:19">
      <c r="B14" s="6"/>
      <c r="C14" s="18" t="s">
        <v>235</v>
      </c>
      <c r="D14" s="7">
        <v>-708.14400839873997</v>
      </c>
      <c r="E14" s="7">
        <v>-653.40526324004009</v>
      </c>
      <c r="F14" s="7">
        <v>-1531.9167000147099</v>
      </c>
      <c r="G14" s="7">
        <v>98.335100961800705</v>
      </c>
      <c r="H14" s="7">
        <v>-432.63939541484001</v>
      </c>
      <c r="I14" s="7">
        <v>-937.22061144215877</v>
      </c>
      <c r="J14" s="7">
        <v>-1096.9087217476426</v>
      </c>
      <c r="K14" s="7">
        <v>-1296.4111549679947</v>
      </c>
      <c r="L14" s="7">
        <f>PIB_Nominal!L14</f>
        <v>-1582.3814578288402</v>
      </c>
      <c r="M14" s="361"/>
      <c r="O14" s="596"/>
      <c r="P14" s="264">
        <f t="shared" si="0"/>
        <v>0.17038476144881409</v>
      </c>
      <c r="Q14" s="264">
        <f t="shared" si="1"/>
        <v>0.1818769686710997</v>
      </c>
      <c r="R14" s="264">
        <f>L14/K14-1</f>
        <v>0.22058611711645248</v>
      </c>
      <c r="S14" s="171"/>
    </row>
    <row r="15" spans="2:19">
      <c r="B15" s="6"/>
      <c r="C15" s="19" t="s">
        <v>236</v>
      </c>
      <c r="D15" s="7">
        <v>5658.5975829816398</v>
      </c>
      <c r="E15" s="7">
        <v>6623.9268252727406</v>
      </c>
      <c r="F15" s="7">
        <v>7134.12576704807</v>
      </c>
      <c r="G15" s="7">
        <v>7122.0183968381598</v>
      </c>
      <c r="H15" s="7">
        <v>7248.1127840448607</v>
      </c>
      <c r="I15" s="7">
        <v>7780.10970326194</v>
      </c>
      <c r="J15" s="7">
        <v>8683.133295820624</v>
      </c>
      <c r="K15" s="7">
        <v>9484.617355424296</v>
      </c>
      <c r="L15" s="7">
        <f>PIB_Nominal!L15</f>
        <v>10660.408724184541</v>
      </c>
      <c r="M15" s="361"/>
      <c r="O15" s="596"/>
      <c r="P15" s="264">
        <f t="shared" si="0"/>
        <v>0.11606823386822884</v>
      </c>
      <c r="Q15" s="264">
        <f t="shared" si="1"/>
        <v>9.230355360195186E-2</v>
      </c>
      <c r="R15" s="264">
        <f>L15/K15-1</f>
        <v>0.123968245075043</v>
      </c>
      <c r="S15" s="171"/>
    </row>
    <row r="16" spans="2:19">
      <c r="B16" s="9"/>
      <c r="C16" s="19" t="s">
        <v>237</v>
      </c>
      <c r="D16" s="7">
        <v>6366.7415913803798</v>
      </c>
      <c r="E16" s="7">
        <v>7277.3320885127805</v>
      </c>
      <c r="F16" s="7">
        <v>8666.0424670627799</v>
      </c>
      <c r="G16" s="7">
        <v>7023.6832958763607</v>
      </c>
      <c r="H16" s="7">
        <v>7680.7521794597005</v>
      </c>
      <c r="I16" s="7">
        <v>8717.3303147040988</v>
      </c>
      <c r="J16" s="7">
        <v>9780.0420175682666</v>
      </c>
      <c r="K16" s="7">
        <v>10781.028510392291</v>
      </c>
      <c r="L16" s="7">
        <f>PIB_Nominal!L16</f>
        <v>12242.790182013381</v>
      </c>
      <c r="M16" s="361"/>
      <c r="O16" s="596"/>
      <c r="P16" s="264">
        <f t="shared" si="0"/>
        <v>0.12190793104072495</v>
      </c>
      <c r="Q16" s="264">
        <f t="shared" si="1"/>
        <v>0.10234991741609223</v>
      </c>
      <c r="R16" s="264">
        <f t="shared" si="2"/>
        <v>0.13558647676444191</v>
      </c>
      <c r="S16" s="171"/>
    </row>
    <row r="17" spans="2:19">
      <c r="B17" s="9"/>
      <c r="C17" s="18" t="s">
        <v>208</v>
      </c>
      <c r="D17" s="7">
        <v>53.108977683282355</v>
      </c>
      <c r="E17" s="7">
        <v>54.688653756457427</v>
      </c>
      <c r="F17" s="7">
        <v>24.458181740087369</v>
      </c>
      <c r="G17" s="7">
        <v>76.893057145586184</v>
      </c>
      <c r="H17" s="7">
        <v>21.891565310454101</v>
      </c>
      <c r="I17" s="7">
        <v>60.998131145846791</v>
      </c>
      <c r="J17" s="7">
        <v>0</v>
      </c>
      <c r="K17" s="7">
        <v>0</v>
      </c>
      <c r="L17" s="7">
        <f>PIB_Nominal!L17</f>
        <v>0</v>
      </c>
      <c r="M17" s="361"/>
      <c r="O17" s="596"/>
      <c r="P17" s="605"/>
      <c r="Q17" s="264"/>
      <c r="R17" s="264"/>
      <c r="S17" s="171"/>
    </row>
    <row r="18" spans="2:19">
      <c r="B18" s="5"/>
      <c r="C18" s="20"/>
      <c r="D18" s="7"/>
      <c r="E18" s="7"/>
      <c r="F18" s="7"/>
      <c r="G18" s="7"/>
      <c r="H18" s="7"/>
      <c r="I18" s="7"/>
      <c r="J18" s="7"/>
      <c r="K18" s="7"/>
      <c r="L18" s="7"/>
      <c r="M18" s="361"/>
      <c r="O18" s="596"/>
      <c r="P18" s="605"/>
      <c r="Q18" s="264"/>
      <c r="R18" s="264"/>
      <c r="S18" s="171"/>
    </row>
    <row r="19" spans="2:19" s="1" customFormat="1" ht="33" customHeight="1">
      <c r="B19" s="109"/>
      <c r="C19" s="110"/>
      <c r="D19" s="110" t="s">
        <v>225</v>
      </c>
      <c r="E19" s="110"/>
      <c r="F19" s="110"/>
      <c r="G19" s="110"/>
      <c r="H19" s="110"/>
      <c r="I19" s="110"/>
      <c r="J19" s="110"/>
      <c r="K19" s="110"/>
      <c r="L19" s="110"/>
      <c r="M19" s="361"/>
      <c r="N19" s="597"/>
      <c r="O19" s="596"/>
      <c r="P19" s="606"/>
      <c r="Q19" s="264"/>
      <c r="R19" s="264"/>
      <c r="S19" s="32"/>
    </row>
    <row r="20" spans="2:19" s="1" customFormat="1" ht="15" customHeight="1">
      <c r="B20" s="30"/>
      <c r="C20" s="21" t="s">
        <v>291</v>
      </c>
      <c r="D20" s="31"/>
      <c r="E20" s="31"/>
      <c r="F20" s="31"/>
      <c r="G20" s="31"/>
      <c r="H20" s="31"/>
      <c r="I20" s="31"/>
      <c r="J20" s="31"/>
      <c r="K20" s="31"/>
      <c r="L20" s="31"/>
      <c r="M20" s="32"/>
      <c r="O20" s="596"/>
      <c r="P20" s="606"/>
      <c r="Q20" s="264"/>
      <c r="R20" s="264"/>
      <c r="S20" s="32"/>
    </row>
    <row r="21" spans="2:19">
      <c r="B21" s="6"/>
      <c r="C21" s="18" t="s">
        <v>227</v>
      </c>
      <c r="D21" s="7">
        <v>9864.1030354013474</v>
      </c>
      <c r="E21" s="7">
        <v>10508.007819926337</v>
      </c>
      <c r="F21" s="7">
        <v>10760.324940161812</v>
      </c>
      <c r="G21" s="7">
        <v>10584.875668060318</v>
      </c>
      <c r="H21" s="7">
        <v>11099.247251539817</v>
      </c>
      <c r="I21" s="7">
        <v>11726.952807166241</v>
      </c>
      <c r="J21" s="7">
        <v>12217.746771570535</v>
      </c>
      <c r="K21" s="7">
        <v>12774.630811636434</v>
      </c>
      <c r="L21" s="7">
        <f>PIB_real!L6</f>
        <v>13343.319319456346</v>
      </c>
      <c r="M21" s="361"/>
      <c r="O21" s="596"/>
      <c r="P21" s="264">
        <f t="shared" ref="P21:P31" si="3">J21/I21-1</f>
        <v>4.1851789844705056E-2</v>
      </c>
      <c r="Q21" s="264">
        <f t="shared" ref="Q21:R28" si="4">K21/J21-1</f>
        <v>4.5579929792104679E-2</v>
      </c>
      <c r="R21" s="264">
        <f>L21/K21-1</f>
        <v>4.4517020977380639E-2</v>
      </c>
      <c r="S21" s="171"/>
    </row>
    <row r="22" spans="2:19">
      <c r="B22" s="6"/>
      <c r="C22" s="18" t="s">
        <v>228</v>
      </c>
      <c r="D22" s="7">
        <v>7726.1682583742768</v>
      </c>
      <c r="E22" s="7">
        <v>8269.9833215152976</v>
      </c>
      <c r="F22" s="7">
        <v>8549.1915453984784</v>
      </c>
      <c r="G22" s="7">
        <v>8737.0492765119434</v>
      </c>
      <c r="H22" s="7">
        <v>9135.110411798003</v>
      </c>
      <c r="I22" s="7">
        <v>9504.639896658482</v>
      </c>
      <c r="J22" s="7">
        <v>10043.48230993472</v>
      </c>
      <c r="K22" s="7">
        <v>10605.630811636434</v>
      </c>
      <c r="L22" s="7">
        <f>PIB_real!L7</f>
        <v>11137.962857647064</v>
      </c>
      <c r="M22" s="361"/>
      <c r="O22" s="596"/>
      <c r="P22" s="264">
        <f t="shared" si="3"/>
        <v>5.6692564803604739E-2</v>
      </c>
      <c r="Q22" s="264">
        <f t="shared" si="4"/>
        <v>5.5971473275325367E-2</v>
      </c>
      <c r="R22" s="264">
        <f t="shared" si="4"/>
        <v>5.0193341203859099E-2</v>
      </c>
      <c r="S22" s="171"/>
    </row>
    <row r="23" spans="2:19">
      <c r="B23" s="6"/>
      <c r="C23" s="19" t="s">
        <v>229</v>
      </c>
      <c r="D23" s="7">
        <v>6791.1229180638329</v>
      </c>
      <c r="E23" s="7">
        <v>7301.5719476151062</v>
      </c>
      <c r="F23" s="7">
        <v>7553.2800709883222</v>
      </c>
      <c r="G23" s="7">
        <v>7682.1636093113693</v>
      </c>
      <c r="H23" s="7">
        <v>8033.6929626220171</v>
      </c>
      <c r="I23" s="7">
        <v>8406.4346952201358</v>
      </c>
      <c r="J23" s="7">
        <v>8898.3740438299701</v>
      </c>
      <c r="K23" s="7">
        <v>9288</v>
      </c>
      <c r="L23" s="7">
        <f>PIB_real!L8</f>
        <v>9556.7581590446443</v>
      </c>
      <c r="M23" s="361"/>
      <c r="O23" s="596"/>
      <c r="P23" s="264">
        <f t="shared" si="3"/>
        <v>5.851938026587522E-2</v>
      </c>
      <c r="Q23" s="264">
        <f t="shared" si="4"/>
        <v>4.3786196697383373E-2</v>
      </c>
      <c r="R23" s="264">
        <f t="shared" si="4"/>
        <v>2.8936063635297549E-2</v>
      </c>
      <c r="S23" s="171"/>
    </row>
    <row r="24" spans="2:19">
      <c r="B24" s="6"/>
      <c r="C24" s="19" t="s">
        <v>230</v>
      </c>
      <c r="D24" s="7">
        <v>935.04534031044352</v>
      </c>
      <c r="E24" s="7">
        <v>968.41137390019105</v>
      </c>
      <c r="F24" s="7">
        <v>995.91147441015687</v>
      </c>
      <c r="G24" s="7">
        <v>1054.8856672005736</v>
      </c>
      <c r="H24" s="7">
        <v>1101.4174491759868</v>
      </c>
      <c r="I24" s="7">
        <v>1098.205201438346</v>
      </c>
      <c r="J24" s="7">
        <v>1145.1082661047501</v>
      </c>
      <c r="K24" s="7">
        <v>1317.6308116364351</v>
      </c>
      <c r="L24" s="7">
        <f>PIB_real!L9</f>
        <v>1581.2046986024204</v>
      </c>
      <c r="M24" s="361"/>
      <c r="O24" s="596"/>
      <c r="P24" s="264">
        <f t="shared" si="3"/>
        <v>4.2708834929004125E-2</v>
      </c>
      <c r="Q24" s="264">
        <f t="shared" si="4"/>
        <v>0.15066046647147613</v>
      </c>
      <c r="R24" s="264">
        <f t="shared" si="4"/>
        <v>0.20003622003847887</v>
      </c>
      <c r="S24" s="171"/>
    </row>
    <row r="25" spans="2:19">
      <c r="B25" s="6"/>
      <c r="C25" s="18" t="s">
        <v>231</v>
      </c>
      <c r="D25" s="7">
        <v>2553.3827446892433</v>
      </c>
      <c r="E25" s="7">
        <v>2388.8262400127928</v>
      </c>
      <c r="F25" s="7">
        <v>2881.4149686360984</v>
      </c>
      <c r="G25" s="7">
        <v>1647.7264274364618</v>
      </c>
      <c r="H25" s="7">
        <v>2250.0575459191523</v>
      </c>
      <c r="I25" s="7">
        <v>2803.1321599982957</v>
      </c>
      <c r="J25" s="7">
        <v>2821.4848029518657</v>
      </c>
      <c r="K25" s="7">
        <v>2941</v>
      </c>
      <c r="L25" s="7">
        <f>PIB_real!L10</f>
        <v>3088.8693685229155</v>
      </c>
      <c r="M25" s="361"/>
      <c r="O25" s="596"/>
      <c r="P25" s="264">
        <f t="shared" si="3"/>
        <v>6.5471914651291652E-3</v>
      </c>
      <c r="Q25" s="264">
        <f t="shared" si="4"/>
        <v>4.2358972454183075E-2</v>
      </c>
      <c r="R25" s="264">
        <f t="shared" si="4"/>
        <v>5.0278602013912099E-2</v>
      </c>
      <c r="S25" s="171"/>
    </row>
    <row r="26" spans="2:19">
      <c r="B26" s="6"/>
      <c r="C26" s="19" t="s">
        <v>232</v>
      </c>
      <c r="D26" s="7">
        <v>1667.8794568364867</v>
      </c>
      <c r="E26" s="7">
        <v>1987.7597677341118</v>
      </c>
      <c r="F26" s="7">
        <v>2155.8516861084545</v>
      </c>
      <c r="G26" s="7">
        <v>1924.3945576502415</v>
      </c>
      <c r="H26" s="7">
        <v>1897.396164787687</v>
      </c>
      <c r="I26" s="7">
        <v>2226.5912048958708</v>
      </c>
      <c r="J26" s="7">
        <v>2241.1691238288968</v>
      </c>
      <c r="K26" s="7">
        <v>2336.1027450103306</v>
      </c>
      <c r="L26" s="7">
        <f>PIB_real!L11</f>
        <v>2453.5587251903125</v>
      </c>
      <c r="M26" s="361"/>
      <c r="O26" s="596"/>
      <c r="P26" s="264">
        <f t="shared" si="3"/>
        <v>6.5471914651291652E-3</v>
      </c>
      <c r="Q26" s="264">
        <f t="shared" si="4"/>
        <v>4.2358972454183075E-2</v>
      </c>
      <c r="R26" s="264">
        <f t="shared" si="4"/>
        <v>5.0278602013912099E-2</v>
      </c>
      <c r="S26" s="171"/>
    </row>
    <row r="27" spans="2:19">
      <c r="B27" s="6"/>
      <c r="C27" s="19" t="s">
        <v>233</v>
      </c>
      <c r="D27" s="7">
        <v>202.05921774896137</v>
      </c>
      <c r="E27" s="7">
        <v>225.82414247105103</v>
      </c>
      <c r="F27" s="7">
        <v>234.8913859533701</v>
      </c>
      <c r="G27" s="7">
        <v>204.21806625972897</v>
      </c>
      <c r="H27" s="7">
        <v>270.31203890956834</v>
      </c>
      <c r="I27" s="7">
        <v>323.99252620612037</v>
      </c>
      <c r="J27" s="7">
        <v>326.11376730846274</v>
      </c>
      <c r="K27" s="7">
        <v>339.92761139481178</v>
      </c>
      <c r="L27" s="7">
        <f>PIB_real!L12</f>
        <v>357.01869648167127</v>
      </c>
      <c r="M27" s="361"/>
      <c r="O27" s="596"/>
      <c r="P27" s="264">
        <f t="shared" si="3"/>
        <v>6.5471914651291652E-3</v>
      </c>
      <c r="Q27" s="264">
        <f t="shared" si="4"/>
        <v>4.2358972454183075E-2</v>
      </c>
      <c r="R27" s="264">
        <f t="shared" si="4"/>
        <v>5.0278602013912099E-2</v>
      </c>
      <c r="S27" s="171"/>
    </row>
    <row r="28" spans="2:19">
      <c r="B28" s="6"/>
      <c r="C28" s="19" t="s">
        <v>234</v>
      </c>
      <c r="D28" s="7">
        <v>683.44407010379507</v>
      </c>
      <c r="E28" s="7">
        <v>175.24232980763</v>
      </c>
      <c r="F28" s="7">
        <v>490.67189657427372</v>
      </c>
      <c r="G28" s="7">
        <v>-480.88619647350856</v>
      </c>
      <c r="H28" s="7">
        <v>82.349342221897032</v>
      </c>
      <c r="I28" s="7">
        <v>252.54842889630447</v>
      </c>
      <c r="J28" s="7">
        <v>254.20191181450622</v>
      </c>
      <c r="K28" s="7">
        <v>264.96964359485759</v>
      </c>
      <c r="L28" s="7">
        <f>PIB_real!L13</f>
        <v>278.29194685093154</v>
      </c>
      <c r="M28" s="361"/>
      <c r="O28" s="596"/>
      <c r="P28" s="264">
        <f t="shared" si="3"/>
        <v>6.5471914651293872E-3</v>
      </c>
      <c r="Q28" s="264">
        <f t="shared" si="4"/>
        <v>4.2358972454183075E-2</v>
      </c>
      <c r="R28" s="264">
        <f t="shared" si="4"/>
        <v>5.0278602013912099E-2</v>
      </c>
      <c r="S28" s="171"/>
    </row>
    <row r="29" spans="2:19">
      <c r="B29" s="6"/>
      <c r="C29" s="18" t="s">
        <v>235</v>
      </c>
      <c r="D29" s="7">
        <v>-463.29411570196953</v>
      </c>
      <c r="E29" s="7">
        <v>-195.84423154202341</v>
      </c>
      <c r="F29" s="7">
        <v>-688.20384499659576</v>
      </c>
      <c r="G29" s="7">
        <v>148.11167328239753</v>
      </c>
      <c r="H29" s="7">
        <v>-299.6251042829108</v>
      </c>
      <c r="I29" s="7">
        <v>-617.3501890852649</v>
      </c>
      <c r="J29" s="7">
        <v>-680.52337370458372</v>
      </c>
      <c r="K29" s="7">
        <v>-772</v>
      </c>
      <c r="L29" s="7">
        <f>PIB_real!L14</f>
        <v>-883.51290671363313</v>
      </c>
      <c r="M29" s="361"/>
      <c r="O29" s="596"/>
      <c r="P29" s="264">
        <f t="shared" si="3"/>
        <v>0.10232957847299473</v>
      </c>
      <c r="Q29" s="264"/>
      <c r="R29" s="264"/>
      <c r="S29" s="171"/>
    </row>
    <row r="30" spans="2:19">
      <c r="B30" s="6"/>
      <c r="C30" s="19" t="s">
        <v>236</v>
      </c>
      <c r="D30" s="7">
        <v>5101.9329584294655</v>
      </c>
      <c r="E30" s="7">
        <v>5607.2953834145756</v>
      </c>
      <c r="F30" s="7">
        <v>5494.321136816654</v>
      </c>
      <c r="G30" s="7">
        <v>5163.498356908045</v>
      </c>
      <c r="H30" s="7">
        <v>5417.1860777347156</v>
      </c>
      <c r="I30" s="7">
        <v>5794.7037706909268</v>
      </c>
      <c r="J30" s="7">
        <v>6291.9219954944901</v>
      </c>
      <c r="K30" s="7">
        <v>6523</v>
      </c>
      <c r="L30" s="7">
        <f>PIB_real!L15</f>
        <v>6800.9293455334573</v>
      </c>
      <c r="M30" s="361"/>
      <c r="O30" s="596"/>
      <c r="P30" s="264">
        <f t="shared" si="3"/>
        <v>8.5805632950289423E-2</v>
      </c>
      <c r="Q30" s="264">
        <f>K30/J30-1</f>
        <v>3.6726139432589955E-2</v>
      </c>
      <c r="R30" s="264">
        <f>L30/K30-1</f>
        <v>4.2607595513330931E-2</v>
      </c>
      <c r="S30" s="171"/>
    </row>
    <row r="31" spans="2:19">
      <c r="B31" s="9"/>
      <c r="C31" s="19" t="s">
        <v>237</v>
      </c>
      <c r="D31" s="7">
        <v>5565.2270741314351</v>
      </c>
      <c r="E31" s="7">
        <v>5803.139614956599</v>
      </c>
      <c r="F31" s="7">
        <v>6182.5249818132497</v>
      </c>
      <c r="G31" s="7">
        <v>5015.3866836256475</v>
      </c>
      <c r="H31" s="7">
        <v>5716.8111820176264</v>
      </c>
      <c r="I31" s="7">
        <v>6412.0539597761917</v>
      </c>
      <c r="J31" s="7">
        <v>6972.4453691990739</v>
      </c>
      <c r="K31" s="7">
        <v>7295</v>
      </c>
      <c r="L31" s="7">
        <f>PIB_real!L16</f>
        <v>7684.4422522470904</v>
      </c>
      <c r="M31" s="361"/>
      <c r="O31" s="596"/>
      <c r="P31" s="264">
        <f t="shared" si="3"/>
        <v>8.7396552327585475E-2</v>
      </c>
      <c r="Q31" s="264">
        <f>K31/J31-1</f>
        <v>4.6261334972349522E-2</v>
      </c>
      <c r="R31" s="264">
        <f>L31/K31-1</f>
        <v>5.3384818676777357E-2</v>
      </c>
      <c r="S31" s="171"/>
    </row>
    <row r="32" spans="2:19">
      <c r="B32" s="9"/>
      <c r="C32" s="18" t="s">
        <v>208</v>
      </c>
      <c r="D32" s="7">
        <v>47.846148039798791</v>
      </c>
      <c r="E32" s="7">
        <v>45.042489940270229</v>
      </c>
      <c r="F32" s="7">
        <v>17.922271123832026</v>
      </c>
      <c r="G32" s="7">
        <v>51.988290829514774</v>
      </c>
      <c r="H32" s="7">
        <v>13.704398105569462</v>
      </c>
      <c r="I32" s="7">
        <v>36.530939594728338</v>
      </c>
      <c r="J32" s="7">
        <v>33.303032388534852</v>
      </c>
      <c r="K32" s="7">
        <v>0</v>
      </c>
      <c r="L32" s="7">
        <f>PIB_real!L17</f>
        <v>0</v>
      </c>
      <c r="M32" s="361"/>
      <c r="O32" s="596"/>
      <c r="P32" s="605"/>
      <c r="Q32" s="264"/>
      <c r="R32" s="264"/>
      <c r="S32" s="171"/>
    </row>
    <row r="33" spans="2:19">
      <c r="B33" s="5"/>
      <c r="C33" s="20"/>
      <c r="D33" s="7"/>
      <c r="E33" s="7"/>
      <c r="F33" s="7"/>
      <c r="G33" s="7"/>
      <c r="H33" s="7"/>
      <c r="I33" s="7"/>
      <c r="J33" s="7"/>
      <c r="K33" s="7"/>
      <c r="L33" s="7"/>
      <c r="M33" s="361"/>
      <c r="O33" s="596"/>
      <c r="P33" s="605"/>
      <c r="Q33" s="264"/>
      <c r="R33" s="264"/>
      <c r="S33" s="171"/>
    </row>
    <row r="34" spans="2:19">
      <c r="B34" s="5"/>
      <c r="C34" s="21" t="s">
        <v>312</v>
      </c>
      <c r="D34" s="7"/>
      <c r="E34" s="7"/>
      <c r="F34" s="7"/>
      <c r="G34" s="7"/>
      <c r="H34" s="7"/>
      <c r="I34" s="7"/>
      <c r="J34" s="7"/>
      <c r="K34" s="7"/>
      <c r="L34" s="7"/>
      <c r="M34" s="361"/>
      <c r="O34" s="596"/>
      <c r="P34" s="605"/>
      <c r="Q34" s="264"/>
      <c r="R34" s="264"/>
      <c r="S34" s="171"/>
    </row>
    <row r="35" spans="2:19">
      <c r="B35" s="5"/>
      <c r="C35" s="18" t="s">
        <v>227</v>
      </c>
      <c r="D35" s="13">
        <v>111.1567883721917</v>
      </c>
      <c r="E35" s="13">
        <v>123.29950892212042</v>
      </c>
      <c r="F35" s="13">
        <v>136.95855850722415</v>
      </c>
      <c r="G35" s="13">
        <v>148.76895606822495</v>
      </c>
      <c r="H35" s="13">
        <v>158.83129260139907</v>
      </c>
      <c r="I35" s="13">
        <v>165.66834934533244</v>
      </c>
      <c r="J35" s="13">
        <v>173.16853558589361</v>
      </c>
      <c r="K35" s="1047">
        <v>185.10269502464925</v>
      </c>
      <c r="L35" s="13">
        <f>L6/L21*100</f>
        <v>200.14332516328165</v>
      </c>
      <c r="M35" s="361"/>
      <c r="O35" s="596"/>
      <c r="P35" s="264">
        <f t="shared" ref="P35:R42" si="5">J35/I35-1</f>
        <v>4.5272294135840996E-2</v>
      </c>
      <c r="Q35" s="264">
        <f>K35/J35-1</f>
        <v>6.8916442576464343E-2</v>
      </c>
      <c r="R35" s="264">
        <f>L35/K35-1</f>
        <v>8.1255597800072632E-2</v>
      </c>
      <c r="S35" s="171"/>
    </row>
    <row r="36" spans="2:19">
      <c r="B36" s="5"/>
      <c r="C36" s="18" t="s">
        <v>228</v>
      </c>
      <c r="D36" s="13">
        <v>112.61007253277614</v>
      </c>
      <c r="E36" s="13">
        <v>125.18611491414637</v>
      </c>
      <c r="F36" s="13">
        <v>142.71016290177624</v>
      </c>
      <c r="G36" s="13">
        <v>150.03453340603156</v>
      </c>
      <c r="H36" s="13">
        <v>159.56739157621197</v>
      </c>
      <c r="I36" s="13">
        <v>168.51546603050312</v>
      </c>
      <c r="J36" s="13">
        <v>176.83450955865624</v>
      </c>
      <c r="K36" s="13">
        <v>188.44222912979029</v>
      </c>
      <c r="L36" s="13">
        <f t="shared" ref="L36:L42" si="6">L7/L22*100</f>
        <v>203.71327149188701</v>
      </c>
      <c r="M36" s="361"/>
      <c r="O36" s="596"/>
      <c r="P36" s="264">
        <f t="shared" si="5"/>
        <v>4.9366647015338438E-2</v>
      </c>
      <c r="Q36" s="264">
        <f t="shared" si="5"/>
        <v>6.5641709868196063E-2</v>
      </c>
      <c r="R36" s="264">
        <f t="shared" si="5"/>
        <v>8.1038323695368453E-2</v>
      </c>
      <c r="S36" s="171"/>
    </row>
    <row r="37" spans="2:19">
      <c r="B37" s="5"/>
      <c r="C37" s="19" t="s">
        <v>229</v>
      </c>
      <c r="D37" s="13">
        <v>112.26728932420977</v>
      </c>
      <c r="E37" s="13">
        <v>124.4548982655437</v>
      </c>
      <c r="F37" s="13">
        <v>140.93343127839856</v>
      </c>
      <c r="G37" s="13">
        <v>145.48814878898128</v>
      </c>
      <c r="H37" s="13">
        <v>152.8283123319878</v>
      </c>
      <c r="I37" s="13">
        <v>160.83439265677833</v>
      </c>
      <c r="J37" s="13">
        <v>168.87611228961725</v>
      </c>
      <c r="K37" s="13">
        <v>179.23809945995507</v>
      </c>
      <c r="L37" s="13">
        <f t="shared" si="6"/>
        <v>192.4222611307238</v>
      </c>
      <c r="M37" s="361"/>
      <c r="O37" s="596"/>
      <c r="P37" s="264">
        <f t="shared" si="5"/>
        <v>5.0000000000000044E-2</v>
      </c>
      <c r="Q37" s="264">
        <f t="shared" si="5"/>
        <v>6.1358513231091649E-2</v>
      </c>
      <c r="R37" s="264">
        <f t="shared" si="5"/>
        <v>7.3556691967236132E-2</v>
      </c>
      <c r="S37" s="171"/>
    </row>
    <row r="38" spans="2:19">
      <c r="B38" s="5"/>
      <c r="C38" s="19" t="s">
        <v>230</v>
      </c>
      <c r="D38" s="13">
        <v>115.09966614205473</v>
      </c>
      <c r="E38" s="13">
        <v>130.69929981981701</v>
      </c>
      <c r="F38" s="13">
        <v>156.18540834997398</v>
      </c>
      <c r="G38" s="13">
        <v>183.14340154690078</v>
      </c>
      <c r="H38" s="13">
        <v>208.72195467068607</v>
      </c>
      <c r="I38" s="13">
        <v>227.31180174339366</v>
      </c>
      <c r="J38" s="13">
        <v>238.67739183056332</v>
      </c>
      <c r="K38" s="13">
        <v>253.32228173516137</v>
      </c>
      <c r="L38" s="13">
        <f t="shared" si="6"/>
        <v>271.95583078119216</v>
      </c>
      <c r="M38" s="361"/>
      <c r="O38" s="596"/>
      <c r="P38" s="264">
        <f t="shared" si="5"/>
        <v>4.9999999999999822E-2</v>
      </c>
      <c r="Q38" s="264">
        <f t="shared" si="5"/>
        <v>6.1358513231091649E-2</v>
      </c>
      <c r="R38" s="264">
        <f t="shared" si="5"/>
        <v>7.3556691967236576E-2</v>
      </c>
      <c r="S38" s="171"/>
    </row>
    <row r="39" spans="2:19">
      <c r="B39" s="5"/>
      <c r="C39" s="18" t="s">
        <v>231</v>
      </c>
      <c r="D39" s="13">
        <v>114.32721917242958</v>
      </c>
      <c r="E39" s="13">
        <v>134.04774993934856</v>
      </c>
      <c r="F39" s="13">
        <v>140.35046356772284</v>
      </c>
      <c r="G39" s="13">
        <v>149.49021378190736</v>
      </c>
      <c r="H39" s="13">
        <v>153.91465490819684</v>
      </c>
      <c r="I39" s="13">
        <v>152.94617461283678</v>
      </c>
      <c r="J39" s="13">
        <v>159.27284802612272</v>
      </c>
      <c r="K39" s="13">
        <v>168.55185148020027</v>
      </c>
      <c r="L39" s="13">
        <f t="shared" si="6"/>
        <v>181.25194846800798</v>
      </c>
      <c r="M39" s="361"/>
      <c r="O39" s="596"/>
      <c r="P39" s="264">
        <f t="shared" si="5"/>
        <v>4.1365358952592857E-2</v>
      </c>
      <c r="Q39" s="264">
        <f t="shared" si="5"/>
        <v>5.8258539161399892E-2</v>
      </c>
      <c r="R39" s="264">
        <f>L39/K39-1</f>
        <v>7.5348308999735769E-2</v>
      </c>
      <c r="S39" s="171"/>
    </row>
    <row r="40" spans="2:19">
      <c r="B40" s="5"/>
      <c r="C40" s="19" t="s">
        <v>232</v>
      </c>
      <c r="D40" s="13">
        <v>116.04980389497139</v>
      </c>
      <c r="E40" s="13">
        <v>126.93604252984511</v>
      </c>
      <c r="F40" s="13">
        <v>143.0082498039483</v>
      </c>
      <c r="G40" s="13">
        <v>161.35251716034728</v>
      </c>
      <c r="H40" s="13">
        <v>157.73676803721827</v>
      </c>
      <c r="I40" s="13">
        <v>157.81641010340959</v>
      </c>
      <c r="J40" s="13">
        <v>164.34454255594673</v>
      </c>
      <c r="K40" s="13">
        <v>173.9190155244047</v>
      </c>
      <c r="L40" s="13">
        <f t="shared" si="6"/>
        <v>187.02351924706738</v>
      </c>
      <c r="M40" s="361"/>
      <c r="O40" s="596"/>
      <c r="P40" s="264">
        <f t="shared" si="5"/>
        <v>4.1365358952592857E-2</v>
      </c>
      <c r="Q40" s="264">
        <f t="shared" si="5"/>
        <v>5.8258539161399892E-2</v>
      </c>
      <c r="R40" s="264">
        <f t="shared" si="5"/>
        <v>7.5348308999735769E-2</v>
      </c>
      <c r="S40" s="171"/>
    </row>
    <row r="41" spans="2:19">
      <c r="B41" s="5"/>
      <c r="C41" s="19" t="s">
        <v>233</v>
      </c>
      <c r="D41" s="13">
        <v>115.81974014095822</v>
      </c>
      <c r="E41" s="13">
        <v>126.68439727510261</v>
      </c>
      <c r="F41" s="13">
        <v>142.72474208829112</v>
      </c>
      <c r="G41" s="13">
        <v>161.03264272220571</v>
      </c>
      <c r="H41" s="13">
        <v>157.42406166648311</v>
      </c>
      <c r="I41" s="13">
        <v>157.5035458456974</v>
      </c>
      <c r="J41" s="13">
        <v>164.01873655591086</v>
      </c>
      <c r="K41" s="13">
        <v>173.57422854275671</v>
      </c>
      <c r="L41" s="13">
        <f t="shared" si="6"/>
        <v>186.65275314938711</v>
      </c>
      <c r="M41" s="361"/>
      <c r="O41" s="596"/>
      <c r="P41" s="264">
        <f t="shared" si="5"/>
        <v>4.1365358952593079E-2</v>
      </c>
      <c r="Q41" s="264">
        <f t="shared" si="5"/>
        <v>5.8258539161399892E-2</v>
      </c>
      <c r="R41" s="264">
        <f t="shared" si="5"/>
        <v>7.5348308999735769E-2</v>
      </c>
      <c r="S41" s="171"/>
    </row>
    <row r="42" spans="2:19">
      <c r="B42" s="5"/>
      <c r="C42" s="19" t="s">
        <v>234</v>
      </c>
      <c r="D42" s="13">
        <v>109.68215539964628</v>
      </c>
      <c r="E42" s="13">
        <v>224.20398494812824</v>
      </c>
      <c r="F42" s="13">
        <v>127.53642111916308</v>
      </c>
      <c r="G42" s="13">
        <v>201.86211541993097</v>
      </c>
      <c r="H42" s="13">
        <v>54.330402413649459</v>
      </c>
      <c r="I42" s="13">
        <v>104.16116422287483</v>
      </c>
      <c r="J42" s="13">
        <v>108.46982816987401</v>
      </c>
      <c r="K42" s="13">
        <v>114.78912190213893</v>
      </c>
      <c r="L42" s="13">
        <f t="shared" si="6"/>
        <v>123.43828812902962</v>
      </c>
      <c r="M42" s="361"/>
      <c r="O42" s="596"/>
      <c r="P42" s="264">
        <f t="shared" si="5"/>
        <v>4.1365358952592635E-2</v>
      </c>
      <c r="Q42" s="264">
        <f t="shared" si="5"/>
        <v>5.8258539161399892E-2</v>
      </c>
      <c r="R42" s="264">
        <f t="shared" si="5"/>
        <v>7.5348308999735547E-2</v>
      </c>
      <c r="S42" s="171"/>
    </row>
    <row r="43" spans="2:19">
      <c r="B43" s="5"/>
      <c r="C43" s="18" t="s">
        <v>235</v>
      </c>
      <c r="D43" s="22" t="s">
        <v>151</v>
      </c>
      <c r="E43" s="22" t="s">
        <v>156</v>
      </c>
      <c r="F43" s="22" t="s">
        <v>156</v>
      </c>
      <c r="G43" s="22" t="s">
        <v>156</v>
      </c>
      <c r="H43" s="22" t="s">
        <v>156</v>
      </c>
      <c r="I43" s="22" t="s">
        <v>156</v>
      </c>
      <c r="J43" s="22" t="s">
        <v>156</v>
      </c>
      <c r="K43" s="22" t="s">
        <v>156</v>
      </c>
      <c r="L43" s="22" t="s">
        <v>156</v>
      </c>
      <c r="M43" s="600"/>
      <c r="N43" s="601"/>
      <c r="O43" s="596"/>
      <c r="P43" s="605"/>
      <c r="Q43" s="264"/>
      <c r="R43" s="264"/>
      <c r="S43" s="171"/>
    </row>
    <row r="44" spans="2:19">
      <c r="B44" s="5"/>
      <c r="C44" s="19" t="s">
        <v>236</v>
      </c>
      <c r="D44" s="13">
        <v>110.91085729835879</v>
      </c>
      <c r="E44" s="13">
        <v>118.13051341766634</v>
      </c>
      <c r="F44" s="13">
        <v>129.84544567741631</v>
      </c>
      <c r="G44" s="13">
        <v>137.93009902501251</v>
      </c>
      <c r="H44" s="13">
        <v>133.79848282922148</v>
      </c>
      <c r="I44" s="13">
        <v>134.26242325989142</v>
      </c>
      <c r="J44" s="13">
        <v>138.00446512271495</v>
      </c>
      <c r="K44" s="13">
        <v>145.4026882634416</v>
      </c>
      <c r="L44" s="13">
        <f>L15/L30*100</f>
        <v>156.74929384740358</v>
      </c>
      <c r="M44" s="361"/>
      <c r="O44" s="596"/>
      <c r="P44" s="264">
        <f t="shared" ref="P44:R45" si="7">J44/I44-1</f>
        <v>2.7871103261558616E-2</v>
      </c>
      <c r="Q44" s="264">
        <f t="shared" si="7"/>
        <v>5.3608578056862699E-2</v>
      </c>
      <c r="R44" s="264">
        <f t="shared" si="7"/>
        <v>7.8035734548484559E-2</v>
      </c>
      <c r="S44" s="171"/>
    </row>
    <row r="45" spans="2:19">
      <c r="B45" s="5"/>
      <c r="C45" s="19" t="s">
        <v>237</v>
      </c>
      <c r="D45" s="13">
        <v>114.40218892369343</v>
      </c>
      <c r="E45" s="13">
        <v>125.4033604457267</v>
      </c>
      <c r="F45" s="13">
        <v>140.16995471195247</v>
      </c>
      <c r="G45" s="13">
        <v>140.04270735110907</v>
      </c>
      <c r="H45" s="13">
        <v>134.35378456471852</v>
      </c>
      <c r="I45" s="13">
        <v>135.95222949446875</v>
      </c>
      <c r="J45" s="13">
        <v>140.26702971057773</v>
      </c>
      <c r="K45" s="13">
        <v>147.78654572162154</v>
      </c>
      <c r="L45" s="13">
        <f>L16/L31*100</f>
        <v>159.31917737339148</v>
      </c>
      <c r="M45" s="361"/>
      <c r="O45" s="596"/>
      <c r="P45" s="264">
        <f t="shared" si="7"/>
        <v>3.1737620134317357E-2</v>
      </c>
      <c r="Q45" s="264">
        <f t="shared" si="7"/>
        <v>5.3608578056862921E-2</v>
      </c>
      <c r="R45" s="264">
        <f t="shared" si="7"/>
        <v>7.8035734548484559E-2</v>
      </c>
      <c r="S45" s="171"/>
    </row>
    <row r="46" spans="2:19">
      <c r="B46" s="5"/>
      <c r="C46" s="18" t="s">
        <v>208</v>
      </c>
      <c r="D46" s="22" t="s">
        <v>151</v>
      </c>
      <c r="E46" s="22" t="s">
        <v>156</v>
      </c>
      <c r="F46" s="22" t="s">
        <v>156</v>
      </c>
      <c r="G46" s="22" t="s">
        <v>156</v>
      </c>
      <c r="H46" s="22" t="s">
        <v>156</v>
      </c>
      <c r="I46" s="22" t="s">
        <v>156</v>
      </c>
      <c r="J46" s="22" t="s">
        <v>156</v>
      </c>
      <c r="K46" s="22" t="s">
        <v>156</v>
      </c>
      <c r="L46" s="22" t="s">
        <v>156</v>
      </c>
      <c r="M46" s="600"/>
      <c r="N46" s="601"/>
      <c r="O46" s="596"/>
      <c r="P46" s="29"/>
      <c r="Q46" s="599"/>
      <c r="R46" s="599"/>
      <c r="S46" s="171"/>
    </row>
    <row r="47" spans="2:19" ht="15.75" thickBot="1">
      <c r="B47" s="10"/>
      <c r="C47" s="592"/>
      <c r="D47" s="293"/>
      <c r="E47" s="293"/>
      <c r="F47" s="293"/>
      <c r="G47" s="293"/>
      <c r="H47" s="293"/>
      <c r="I47" s="293"/>
      <c r="J47" s="293"/>
      <c r="K47" s="293"/>
      <c r="L47" s="293"/>
      <c r="M47" s="12"/>
      <c r="O47" s="602"/>
      <c r="P47" s="295"/>
      <c r="Q47" s="603"/>
      <c r="R47" s="603"/>
      <c r="S47" s="173"/>
    </row>
  </sheetData>
  <pageMargins left="0.7" right="0.7" top="0.75" bottom="0.75" header="0.3" footer="0.3"/>
  <pageSetup scale="67"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249977111117893"/>
  </sheetPr>
  <dimension ref="A1:T79"/>
  <sheetViews>
    <sheetView topLeftCell="A28" zoomScaleNormal="100" workbookViewId="0">
      <selection activeCell="L58" sqref="L58"/>
    </sheetView>
  </sheetViews>
  <sheetFormatPr baseColWidth="10" defaultColWidth="9.42578125" defaultRowHeight="15" outlineLevelRow="1" outlineLevelCol="1"/>
  <cols>
    <col min="1" max="2" width="2.5703125" style="3" customWidth="1"/>
    <col min="3" max="3" width="48.42578125" style="3" customWidth="1"/>
    <col min="4" max="9" width="11.140625" style="4" customWidth="1" outlineLevel="1"/>
    <col min="10" max="11" width="11.140625" style="4" customWidth="1"/>
    <col min="12" max="12" width="11.140625" style="2" customWidth="1"/>
    <col min="13" max="13" width="5.42578125" style="2" customWidth="1"/>
    <col min="14" max="14" width="12.28515625" style="2" customWidth="1"/>
    <col min="15" max="15" width="14.28515625" style="2" customWidth="1"/>
    <col min="16" max="20" width="9.42578125" style="2" customWidth="1"/>
    <col min="21" max="16384" width="9.42578125" style="2"/>
  </cols>
  <sheetData>
    <row r="1" spans="1:20" ht="15.75" thickBot="1"/>
    <row r="2" spans="1:20" s="1" customFormat="1" ht="33" customHeight="1">
      <c r="A2" s="406"/>
      <c r="B2" s="393"/>
      <c r="C2" s="282" t="s">
        <v>313</v>
      </c>
      <c r="D2" s="282"/>
      <c r="E2" s="282"/>
      <c r="F2" s="282"/>
      <c r="G2" s="282"/>
      <c r="H2" s="282"/>
      <c r="I2" s="282"/>
      <c r="J2" s="282"/>
      <c r="K2" s="282"/>
      <c r="L2" s="282"/>
      <c r="M2" s="394"/>
    </row>
    <row r="3" spans="1:20" s="1" customFormat="1" ht="33" customHeight="1">
      <c r="A3" s="616"/>
      <c r="B3" s="14"/>
      <c r="C3" s="16"/>
      <c r="D3" s="346">
        <v>2006</v>
      </c>
      <c r="E3" s="346">
        <v>2007</v>
      </c>
      <c r="F3" s="346">
        <v>2008</v>
      </c>
      <c r="G3" s="346">
        <v>2009</v>
      </c>
      <c r="H3" s="346">
        <v>2010</v>
      </c>
      <c r="I3" s="346">
        <v>2011</v>
      </c>
      <c r="J3" s="346">
        <v>2012</v>
      </c>
      <c r="K3" s="346">
        <v>2013</v>
      </c>
      <c r="L3" s="346">
        <f>1+K3</f>
        <v>2014</v>
      </c>
      <c r="M3" s="15"/>
      <c r="N3" s="2"/>
    </row>
    <row r="4" spans="1:20" s="1" customFormat="1" ht="33" customHeight="1">
      <c r="A4" s="597"/>
      <c r="B4" s="109"/>
      <c r="C4" s="110"/>
      <c r="D4" s="110" t="s">
        <v>314</v>
      </c>
      <c r="E4" s="110"/>
      <c r="F4" s="110"/>
      <c r="G4" s="110"/>
      <c r="H4" s="110"/>
      <c r="I4" s="110"/>
      <c r="J4" s="110"/>
      <c r="K4" s="110"/>
      <c r="L4" s="110"/>
      <c r="M4" s="111"/>
    </row>
    <row r="5" spans="1:20" s="1" customFormat="1" ht="15" customHeight="1">
      <c r="B5" s="30"/>
      <c r="C5" s="21" t="s">
        <v>315</v>
      </c>
      <c r="D5" s="528">
        <v>-1101.1510787689513</v>
      </c>
      <c r="E5" s="528">
        <v>-1372.9554239970416</v>
      </c>
      <c r="F5" s="528">
        <v>-2878.3332730448783</v>
      </c>
      <c r="G5" s="528">
        <v>-442.6112949999989</v>
      </c>
      <c r="H5" s="528">
        <v>-1302.5123141599997</v>
      </c>
      <c r="I5" s="528">
        <v>-2396.4409986700002</v>
      </c>
      <c r="J5" s="528">
        <f>J6+J9+J12+J17</f>
        <v>-2724.380135771657</v>
      </c>
      <c r="K5" s="528">
        <f>K6+K9+K12+K17</f>
        <v>-2959.8353547082907</v>
      </c>
      <c r="L5" s="528">
        <f>L6+L9+L12+L17</f>
        <v>-3329.4068405013113</v>
      </c>
      <c r="M5" s="452"/>
      <c r="N5" s="451"/>
      <c r="O5" s="608"/>
    </row>
    <row r="6" spans="1:20" s="1" customFormat="1" ht="15" customHeight="1">
      <c r="B6" s="30"/>
      <c r="C6" s="18" t="s">
        <v>316</v>
      </c>
      <c r="D6" s="529">
        <v>-2727.1352054199997</v>
      </c>
      <c r="E6" s="529">
        <v>-2985.450298239999</v>
      </c>
      <c r="F6" s="529">
        <v>-5013.3306372799998</v>
      </c>
      <c r="G6" s="529">
        <v>-2039.0601530499989</v>
      </c>
      <c r="H6" s="529">
        <v>-3439.6933668900001</v>
      </c>
      <c r="I6" s="529">
        <v>-5151.3709888699996</v>
      </c>
      <c r="J6" s="529">
        <v>-5728.0785628922422</v>
      </c>
      <c r="K6" s="529">
        <v>-6194.2117362114514</v>
      </c>
      <c r="L6" s="529">
        <f>L7-L8</f>
        <v>-6755.0747595311823</v>
      </c>
      <c r="M6" s="55"/>
      <c r="N6" s="451"/>
      <c r="O6" s="608"/>
    </row>
    <row r="7" spans="1:20" ht="15" customHeight="1">
      <c r="A7" s="612"/>
      <c r="B7" s="6"/>
      <c r="C7" s="19" t="s">
        <v>317</v>
      </c>
      <c r="D7" s="617">
        <v>8101.7336273000001</v>
      </c>
      <c r="E7" s="617">
        <v>9299.4773080100003</v>
      </c>
      <c r="F7" s="617">
        <v>9555.3676761299994</v>
      </c>
      <c r="G7" s="617">
        <v>8838.2253963399999</v>
      </c>
      <c r="H7" s="617">
        <v>9516.2514769499994</v>
      </c>
      <c r="I7" s="617">
        <v>10383.110431540001</v>
      </c>
      <c r="J7" s="529">
        <v>11494.734092962361</v>
      </c>
      <c r="K7" s="529">
        <v>12095.644669501056</v>
      </c>
      <c r="L7" s="529">
        <f>'Import. y export. nominales'!M8</f>
        <v>12800.176170127916</v>
      </c>
      <c r="M7" s="55"/>
      <c r="N7" s="451"/>
      <c r="O7" s="608"/>
    </row>
    <row r="8" spans="1:20" ht="15" customHeight="1">
      <c r="A8" s="612"/>
      <c r="B8" s="6"/>
      <c r="C8" s="19" t="s">
        <v>318</v>
      </c>
      <c r="D8" s="617">
        <v>10828.86883272</v>
      </c>
      <c r="E8" s="617">
        <v>12284.927606249999</v>
      </c>
      <c r="F8" s="617">
        <v>14568.698313409999</v>
      </c>
      <c r="G8" s="617">
        <v>10877.285549389999</v>
      </c>
      <c r="H8" s="617">
        <v>12955.94484384</v>
      </c>
      <c r="I8" s="617">
        <v>15534.48142041</v>
      </c>
      <c r="J8" s="529">
        <v>17222.812655854603</v>
      </c>
      <c r="K8" s="529">
        <v>18289.856405712508</v>
      </c>
      <c r="L8" s="529">
        <f>'Import. y export. nominales'!M10</f>
        <v>19555.250929659098</v>
      </c>
      <c r="M8" s="55"/>
      <c r="N8" s="451"/>
      <c r="O8" s="608"/>
    </row>
    <row r="9" spans="1:20" ht="15" customHeight="1">
      <c r="A9" s="612"/>
      <c r="B9" s="6"/>
      <c r="C9" s="18" t="s">
        <v>319</v>
      </c>
      <c r="D9" s="529">
        <v>1351.0646940400002</v>
      </c>
      <c r="E9" s="529">
        <v>1734.0674778499997</v>
      </c>
      <c r="F9" s="529">
        <v>2200.9212520399997</v>
      </c>
      <c r="G9" s="529">
        <v>2188.10055805</v>
      </c>
      <c r="H9" s="529">
        <v>2537.2354527300004</v>
      </c>
      <c r="I9" s="529">
        <v>3236.8747901999996</v>
      </c>
      <c r="J9" s="529">
        <v>3580.6019997576941</v>
      </c>
      <c r="K9" s="529">
        <v>3749.1634130080688</v>
      </c>
      <c r="L9" s="529">
        <f>L10-L11</f>
        <v>3945.1883870406386</v>
      </c>
      <c r="M9" s="55"/>
      <c r="N9" s="338"/>
      <c r="O9" s="608"/>
    </row>
    <row r="10" spans="1:20" ht="15" customHeight="1">
      <c r="A10" s="612"/>
      <c r="B10" s="6"/>
      <c r="C10" s="19" t="s">
        <v>317</v>
      </c>
      <c r="D10" s="617">
        <v>2971.6627552700002</v>
      </c>
      <c r="E10" s="617">
        <v>3552.1823138099999</v>
      </c>
      <c r="F10" s="617">
        <v>4083.3176467399994</v>
      </c>
      <c r="G10" s="617">
        <v>3592.9104705899999</v>
      </c>
      <c r="H10" s="617">
        <v>4319.9815370200004</v>
      </c>
      <c r="I10" s="617">
        <v>4972.3539496499998</v>
      </c>
      <c r="J10" s="529">
        <v>5504.6979269044205</v>
      </c>
      <c r="K10" s="529">
        <v>5792.4671939597338</v>
      </c>
      <c r="L10" s="529">
        <f>Servicios!I8</f>
        <v>6129.8593475819716</v>
      </c>
      <c r="M10" s="55"/>
      <c r="N10" s="338"/>
      <c r="O10" s="608"/>
    </row>
    <row r="11" spans="1:20" ht="15" customHeight="1">
      <c r="A11" s="612"/>
      <c r="B11" s="6"/>
      <c r="C11" s="19" t="s">
        <v>318</v>
      </c>
      <c r="D11" s="617">
        <v>1620.59806123</v>
      </c>
      <c r="E11" s="617">
        <v>1818.1148359600002</v>
      </c>
      <c r="F11" s="617">
        <v>1882.3963947</v>
      </c>
      <c r="G11" s="617">
        <v>1404.8099125399999</v>
      </c>
      <c r="H11" s="617">
        <v>1782.74608429</v>
      </c>
      <c r="I11" s="617">
        <v>1735.47915945</v>
      </c>
      <c r="J11" s="529">
        <v>1924.0959271467261</v>
      </c>
      <c r="K11" s="529">
        <v>2043.303780951665</v>
      </c>
      <c r="L11" s="529">
        <f>Servicios!I10</f>
        <v>2184.670960541333</v>
      </c>
      <c r="M11" s="55"/>
      <c r="N11" s="338"/>
      <c r="O11" s="608"/>
    </row>
    <row r="12" spans="1:20" ht="15" customHeight="1">
      <c r="A12" s="612"/>
      <c r="B12" s="6"/>
      <c r="C12" s="18" t="s">
        <v>320</v>
      </c>
      <c r="D12" s="529">
        <v>-74.180567388951545</v>
      </c>
      <c r="E12" s="529">
        <v>-591.27260360704236</v>
      </c>
      <c r="F12" s="529">
        <v>-508.22388780487802</v>
      </c>
      <c r="G12" s="529">
        <v>-950.45170000000007</v>
      </c>
      <c r="H12" s="529">
        <v>-766.55439999999999</v>
      </c>
      <c r="I12" s="529">
        <v>-804.84480000000019</v>
      </c>
      <c r="J12" s="529">
        <f>J13-J15</f>
        <v>-910.40435430753939</v>
      </c>
      <c r="K12" s="529">
        <f>K13-K15</f>
        <v>-857.69086771453647</v>
      </c>
      <c r="L12" s="529">
        <f>L13-L15</f>
        <v>-872.09247788232642</v>
      </c>
      <c r="M12" s="55"/>
      <c r="O12" s="279"/>
    </row>
    <row r="13" spans="1:20" ht="15" customHeight="1">
      <c r="A13" s="612"/>
      <c r="B13" s="6"/>
      <c r="C13" s="19" t="s">
        <v>317</v>
      </c>
      <c r="D13" s="617">
        <v>705.91943261104836</v>
      </c>
      <c r="E13" s="617">
        <v>703.43839639295766</v>
      </c>
      <c r="F13" s="617">
        <v>617.81711219512192</v>
      </c>
      <c r="G13" s="617">
        <v>253.48830000000001</v>
      </c>
      <c r="H13" s="617">
        <v>316.82960000000003</v>
      </c>
      <c r="I13" s="617">
        <v>272.37819999999999</v>
      </c>
      <c r="J13" s="529">
        <f>'Ingreso primario'!G8</f>
        <v>173.86688940769167</v>
      </c>
      <c r="K13" s="529">
        <f>'Ingreso primario'!H8</f>
        <v>184.98126043727311</v>
      </c>
      <c r="L13" s="529">
        <f>'Ingreso primario'!I8</f>
        <v>170.57965026948315</v>
      </c>
      <c r="M13" s="55"/>
      <c r="N13" s="1"/>
      <c r="O13" s="609"/>
    </row>
    <row r="14" spans="1:20" ht="15" customHeight="1">
      <c r="A14" s="612"/>
      <c r="B14" s="6"/>
      <c r="C14" s="453" t="s">
        <v>321</v>
      </c>
      <c r="D14" s="617">
        <v>632.61943261104841</v>
      </c>
      <c r="E14" s="617">
        <v>631.1383963929577</v>
      </c>
      <c r="F14" s="617">
        <v>546.91711219512194</v>
      </c>
      <c r="G14" s="617">
        <v>228.98830000000001</v>
      </c>
      <c r="H14" s="617">
        <v>281.62960000000004</v>
      </c>
      <c r="I14" s="617">
        <v>209.17819999999998</v>
      </c>
      <c r="J14" s="529">
        <f>'Ingreso primario'!G9</f>
        <v>133.52450000000002</v>
      </c>
      <c r="K14" s="529">
        <f>'Ingreso primario'!H9</f>
        <v>142.06</v>
      </c>
      <c r="L14" s="529">
        <f>'Ingreso primario'!I9</f>
        <v>131</v>
      </c>
      <c r="M14" s="55"/>
      <c r="N14" s="1"/>
      <c r="O14" s="609"/>
    </row>
    <row r="15" spans="1:20" ht="15" customHeight="1">
      <c r="A15" s="612"/>
      <c r="B15" s="6"/>
      <c r="C15" s="364" t="s">
        <v>318</v>
      </c>
      <c r="D15" s="617">
        <v>780.09999999999991</v>
      </c>
      <c r="E15" s="617">
        <v>1294.711</v>
      </c>
      <c r="F15" s="617">
        <v>1126.0409999999999</v>
      </c>
      <c r="G15" s="617">
        <v>1203.94</v>
      </c>
      <c r="H15" s="617">
        <v>1083.384</v>
      </c>
      <c r="I15" s="617">
        <v>1077.2230000000002</v>
      </c>
      <c r="J15" s="529">
        <v>1084.2712437152311</v>
      </c>
      <c r="K15" s="529">
        <v>1042.6721281518096</v>
      </c>
      <c r="L15" s="529">
        <f>'Ingreso primario'!H17</f>
        <v>1042.6721281518096</v>
      </c>
      <c r="M15" s="55"/>
    </row>
    <row r="16" spans="1:20" s="272" customFormat="1" ht="15" customHeight="1">
      <c r="A16" s="611"/>
      <c r="B16" s="277"/>
      <c r="C16" s="453" t="s">
        <v>322</v>
      </c>
      <c r="D16" s="617">
        <v>266.89999999999998</v>
      </c>
      <c r="E16" s="617">
        <v>438.20000000000005</v>
      </c>
      <c r="F16" s="617">
        <v>352.6</v>
      </c>
      <c r="G16" s="617">
        <v>308</v>
      </c>
      <c r="H16" s="617">
        <v>306.59999999999997</v>
      </c>
      <c r="I16" s="617">
        <v>284.10000000000002</v>
      </c>
      <c r="J16" s="529">
        <v>285.95885934434853</v>
      </c>
      <c r="K16" s="529">
        <v>274.98777097029034</v>
      </c>
      <c r="L16" s="529">
        <f>'Ingreso primario'!I18</f>
        <v>295.30314175166666</v>
      </c>
      <c r="M16" s="278"/>
      <c r="R16" s="2"/>
      <c r="S16" s="2"/>
      <c r="T16" s="2"/>
    </row>
    <row r="17" spans="1:20" ht="15" customHeight="1">
      <c r="A17" s="612"/>
      <c r="B17" s="6"/>
      <c r="C17" s="18" t="s">
        <v>323</v>
      </c>
      <c r="D17" s="529">
        <v>349.1</v>
      </c>
      <c r="E17" s="529">
        <v>469.7</v>
      </c>
      <c r="F17" s="529">
        <v>442.2999999999999</v>
      </c>
      <c r="G17" s="529">
        <v>358.80000000000007</v>
      </c>
      <c r="H17" s="529">
        <v>366.49999999999994</v>
      </c>
      <c r="I17" s="529">
        <v>322.89999999999998</v>
      </c>
      <c r="J17" s="529">
        <v>333.50078167043063</v>
      </c>
      <c r="K17" s="529">
        <v>342.90383620962831</v>
      </c>
      <c r="L17" s="529">
        <f>'Ingreso secundario'!J6</f>
        <v>352.57200987155869</v>
      </c>
      <c r="M17" s="55"/>
    </row>
    <row r="18" spans="1:20" ht="15" customHeight="1">
      <c r="B18" s="5"/>
      <c r="C18" s="20"/>
      <c r="D18" s="617"/>
      <c r="E18" s="617"/>
      <c r="F18" s="617"/>
      <c r="G18" s="617"/>
      <c r="H18" s="617"/>
      <c r="I18" s="617"/>
      <c r="J18" s="617"/>
      <c r="K18" s="529"/>
      <c r="L18" s="566"/>
      <c r="M18" s="171"/>
    </row>
    <row r="19" spans="1:20" s="1" customFormat="1" ht="15" customHeight="1">
      <c r="B19" s="30"/>
      <c r="C19" s="21" t="s">
        <v>324</v>
      </c>
      <c r="D19" s="530">
        <v>1.1000000000000001</v>
      </c>
      <c r="E19" s="530">
        <v>21.2</v>
      </c>
      <c r="F19" s="530">
        <v>7.4</v>
      </c>
      <c r="G19" s="530">
        <v>58.3</v>
      </c>
      <c r="H19" s="530">
        <v>53.6</v>
      </c>
      <c r="I19" s="530">
        <v>21.6</v>
      </c>
      <c r="J19" s="530">
        <v>37.513906900000002</v>
      </c>
      <c r="K19" s="530">
        <v>9</v>
      </c>
      <c r="L19" s="530">
        <v>9</v>
      </c>
      <c r="M19" s="48"/>
      <c r="R19" s="2"/>
      <c r="S19" s="2"/>
      <c r="T19" s="2"/>
    </row>
    <row r="20" spans="1:20" ht="15" customHeight="1">
      <c r="B20" s="5"/>
      <c r="C20" s="18"/>
      <c r="D20" s="617"/>
      <c r="E20" s="617"/>
      <c r="F20" s="617"/>
      <c r="G20" s="617"/>
      <c r="H20" s="617"/>
      <c r="I20" s="535"/>
      <c r="J20" s="535"/>
      <c r="K20" s="535"/>
      <c r="L20" s="566"/>
      <c r="M20" s="171"/>
    </row>
    <row r="21" spans="1:20" ht="15" customHeight="1" thickBot="1">
      <c r="B21" s="5"/>
      <c r="C21" s="23" t="s">
        <v>325</v>
      </c>
      <c r="D21" s="530">
        <v>-1793.9</v>
      </c>
      <c r="E21" s="530">
        <v>-2411.8999999999996</v>
      </c>
      <c r="F21" s="530">
        <v>-2480.4999999999995</v>
      </c>
      <c r="G21" s="530">
        <v>-676.90000000000009</v>
      </c>
      <c r="H21" s="530">
        <v>-1800.2</v>
      </c>
      <c r="I21" s="617">
        <v>-2518.9</v>
      </c>
      <c r="J21" s="530">
        <v>-2684.7899328737117</v>
      </c>
      <c r="K21" s="530">
        <v>-2929.0455955220655</v>
      </c>
      <c r="L21" s="530">
        <f>L22+L26+L33+L31</f>
        <v>-3075.8602784266818</v>
      </c>
      <c r="M21" s="48"/>
    </row>
    <row r="22" spans="1:20" ht="15" customHeight="1" thickBot="1">
      <c r="B22" s="5"/>
      <c r="C22" s="29" t="s">
        <v>326</v>
      </c>
      <c r="D22" s="617">
        <v>-1371.0000000000002</v>
      </c>
      <c r="E22" s="617">
        <v>-1633.6999999999998</v>
      </c>
      <c r="F22" s="617">
        <v>-2072.2999999999997</v>
      </c>
      <c r="G22" s="617">
        <v>-1339</v>
      </c>
      <c r="H22" s="617">
        <v>-1440.8000000000002</v>
      </c>
      <c r="I22" s="617">
        <v>-2118.3000000000002</v>
      </c>
      <c r="J22" s="345">
        <v>-1844.0042681202842</v>
      </c>
      <c r="K22" s="345">
        <v>-1985.40751889238</v>
      </c>
      <c r="L22" s="1035">
        <f>(K22/K57)*L57</f>
        <v>-2111.1857109778998</v>
      </c>
      <c r="M22" s="171"/>
    </row>
    <row r="23" spans="1:20" ht="15" customHeight="1">
      <c r="B23" s="5"/>
      <c r="C23" s="303" t="s">
        <v>327</v>
      </c>
      <c r="D23" s="617">
        <v>98.1</v>
      </c>
      <c r="E23" s="617">
        <v>262.39999999999998</v>
      </c>
      <c r="F23" s="345">
        <v>5.9000000000000909</v>
      </c>
      <c r="G23" s="345">
        <v>7.5</v>
      </c>
      <c r="H23" s="345">
        <v>24.799999999999955</v>
      </c>
      <c r="I23" s="345">
        <v>57.800000000000182</v>
      </c>
      <c r="J23" s="345">
        <v>505.4439111739232</v>
      </c>
      <c r="K23" s="345">
        <v>544.20272174642309</v>
      </c>
      <c r="L23" s="345">
        <f>K23/K$57*L$57</f>
        <v>578.6786838942196</v>
      </c>
      <c r="M23" s="171"/>
      <c r="N23" s="221"/>
      <c r="O23" s="610"/>
    </row>
    <row r="24" spans="1:20" ht="15" customHeight="1">
      <c r="B24" s="5"/>
      <c r="C24" s="303" t="s">
        <v>328</v>
      </c>
      <c r="D24" s="617">
        <v>1469.1000000000001</v>
      </c>
      <c r="E24" s="617">
        <v>1896.1</v>
      </c>
      <c r="F24" s="617">
        <v>2078.1999999999998</v>
      </c>
      <c r="G24" s="617">
        <v>1346.5</v>
      </c>
      <c r="H24" s="617">
        <v>1465.6000000000001</v>
      </c>
      <c r="I24" s="617">
        <v>2176.1000000000004</v>
      </c>
      <c r="J24" s="345">
        <v>2349.4481792942074</v>
      </c>
      <c r="K24" s="345">
        <v>2529.6102406388027</v>
      </c>
      <c r="L24" s="345">
        <f t="shared" ref="L24" si="0">K24/K$57*L$57</f>
        <v>2689.8643948721192</v>
      </c>
      <c r="M24" s="171"/>
      <c r="O24" s="610"/>
    </row>
    <row r="25" spans="1:20" ht="15" customHeight="1">
      <c r="B25" s="5"/>
      <c r="C25" s="303"/>
      <c r="D25" s="617"/>
      <c r="E25" s="476"/>
      <c r="F25" s="617"/>
      <c r="G25" s="617"/>
      <c r="H25" s="617"/>
      <c r="I25" s="617"/>
      <c r="J25" s="617"/>
      <c r="K25" s="617"/>
      <c r="L25" s="617"/>
      <c r="M25" s="171"/>
      <c r="O25" s="604"/>
    </row>
    <row r="26" spans="1:20" ht="15" customHeight="1">
      <c r="B26" s="5"/>
      <c r="C26" s="29" t="s">
        <v>329</v>
      </c>
      <c r="D26" s="617">
        <v>442.1</v>
      </c>
      <c r="E26" s="617">
        <v>-11.599999999999994</v>
      </c>
      <c r="F26" s="617">
        <v>-356.59999999999997</v>
      </c>
      <c r="G26" s="617">
        <v>276.09999999999997</v>
      </c>
      <c r="H26" s="617">
        <v>-268.10000000000002</v>
      </c>
      <c r="I26" s="617">
        <v>-261.39999999999998</v>
      </c>
      <c r="J26" s="617">
        <v>-784.86018751710071</v>
      </c>
      <c r="K26" s="617">
        <v>-781.82485779924582</v>
      </c>
      <c r="L26" s="617">
        <f>L27-L28</f>
        <v>-792.61026720237828</v>
      </c>
      <c r="M26" s="171"/>
      <c r="N26" s="338"/>
      <c r="O26" s="604"/>
    </row>
    <row r="27" spans="1:20" ht="15" customHeight="1">
      <c r="B27" s="5"/>
      <c r="C27" s="19" t="s">
        <v>330</v>
      </c>
      <c r="D27" s="617">
        <v>509.3</v>
      </c>
      <c r="E27" s="617">
        <v>170.4</v>
      </c>
      <c r="F27" s="617">
        <v>-537.29999999999995</v>
      </c>
      <c r="G27" s="617">
        <v>321.7</v>
      </c>
      <c r="H27" s="617">
        <v>-218.6</v>
      </c>
      <c r="I27" s="617">
        <v>-258.89999999999998</v>
      </c>
      <c r="J27" s="345">
        <v>0</v>
      </c>
      <c r="K27" s="345">
        <v>0</v>
      </c>
      <c r="L27" s="345">
        <v>0</v>
      </c>
      <c r="M27" s="171"/>
      <c r="N27" s="221"/>
      <c r="O27" s="618"/>
    </row>
    <row r="28" spans="1:20" ht="15" customHeight="1">
      <c r="B28" s="5"/>
      <c r="C28" s="19" t="s">
        <v>328</v>
      </c>
      <c r="D28" s="617">
        <v>67.2</v>
      </c>
      <c r="E28" s="617">
        <v>182</v>
      </c>
      <c r="F28" s="617">
        <v>-180.7</v>
      </c>
      <c r="G28" s="617">
        <v>45.6</v>
      </c>
      <c r="H28" s="617">
        <v>49.5</v>
      </c>
      <c r="I28" s="617">
        <v>2.5</v>
      </c>
      <c r="J28" s="617">
        <v>784.86018751710071</v>
      </c>
      <c r="K28" s="617">
        <v>781.82485779924582</v>
      </c>
      <c r="L28" s="617">
        <f>L29+L30</f>
        <v>792.61026720237828</v>
      </c>
      <c r="M28" s="171"/>
      <c r="O28" s="604"/>
    </row>
    <row r="29" spans="1:20" ht="15" customHeight="1" thickBot="1">
      <c r="B29" s="5"/>
      <c r="C29" s="19" t="s">
        <v>205</v>
      </c>
      <c r="D29" s="617"/>
      <c r="E29" s="617"/>
      <c r="F29" s="617">
        <v>-238.59999999999997</v>
      </c>
      <c r="G29" s="617">
        <v>101.70000000000009</v>
      </c>
      <c r="H29" s="617">
        <v>117.79999999999984</v>
      </c>
      <c r="I29" s="617">
        <v>-207.70000000000005</v>
      </c>
      <c r="J29" s="617">
        <v>557.86018751710071</v>
      </c>
      <c r="K29" s="617">
        <v>537.41788186096016</v>
      </c>
      <c r="L29" s="617">
        <f>Gob_EOG!L47/'TC nominal'!I13*1000</f>
        <v>532.71978610251426</v>
      </c>
      <c r="M29" s="171"/>
      <c r="O29" s="604"/>
    </row>
    <row r="30" spans="1:20" ht="15" customHeight="1" thickBot="1">
      <c r="B30" s="5"/>
      <c r="C30" s="29" t="s">
        <v>331</v>
      </c>
      <c r="D30" s="617"/>
      <c r="E30" s="617"/>
      <c r="F30" s="617">
        <v>57.899999999999977</v>
      </c>
      <c r="G30" s="617">
        <v>-56.100000000000087</v>
      </c>
      <c r="H30" s="617">
        <v>-68.299999999999841</v>
      </c>
      <c r="I30" s="617">
        <v>210.20000000000005</v>
      </c>
      <c r="J30" s="617">
        <v>227</v>
      </c>
      <c r="K30" s="617">
        <v>244.4069759382856</v>
      </c>
      <c r="L30" s="1035">
        <f>(K30/K57)*L57</f>
        <v>259.89048109986396</v>
      </c>
      <c r="M30" s="171"/>
      <c r="O30" s="604"/>
    </row>
    <row r="31" spans="1:20" ht="15" customHeight="1" outlineLevel="1">
      <c r="B31" s="5"/>
      <c r="C31" s="29" t="s">
        <v>332</v>
      </c>
      <c r="D31" s="617">
        <v>-25</v>
      </c>
      <c r="E31" s="617">
        <v>50</v>
      </c>
      <c r="F31" s="617">
        <v>-19</v>
      </c>
      <c r="G31" s="617">
        <v>18</v>
      </c>
      <c r="H31" s="617">
        <v>78</v>
      </c>
      <c r="I31" s="617">
        <v>69</v>
      </c>
      <c r="J31" s="617">
        <v>74.49654168985812</v>
      </c>
      <c r="K31" s="617">
        <v>80.209138644399303</v>
      </c>
      <c r="L31" s="617">
        <f t="shared" ref="L31" si="1">K31/K$57*L$57</f>
        <v>85.290493656622473</v>
      </c>
      <c r="M31" s="171"/>
      <c r="O31" s="604"/>
    </row>
    <row r="32" spans="1:20" ht="15" customHeight="1">
      <c r="B32" s="5"/>
      <c r="C32" s="19"/>
      <c r="D32" s="617"/>
      <c r="E32" s="617"/>
      <c r="F32" s="617"/>
      <c r="G32" s="617"/>
      <c r="H32" s="617"/>
      <c r="I32" s="617"/>
      <c r="J32" s="617"/>
      <c r="K32" s="617"/>
      <c r="L32" s="617"/>
      <c r="M32" s="171"/>
      <c r="O32" s="604"/>
    </row>
    <row r="33" spans="1:15" ht="15" customHeight="1">
      <c r="B33" s="5"/>
      <c r="C33" s="29" t="s">
        <v>333</v>
      </c>
      <c r="D33" s="617">
        <v>-840</v>
      </c>
      <c r="E33" s="617">
        <v>-816.60000000000014</v>
      </c>
      <c r="F33" s="617">
        <v>-32.600000000000023</v>
      </c>
      <c r="G33" s="617">
        <v>368.00000000000006</v>
      </c>
      <c r="H33" s="617">
        <v>-169.29999999999995</v>
      </c>
      <c r="I33" s="617">
        <v>-208.2</v>
      </c>
      <c r="J33" s="617">
        <v>-130.42201892618516</v>
      </c>
      <c r="K33" s="617">
        <v>-242.02235747483962</v>
      </c>
      <c r="L33" s="617">
        <f>L34-L35</f>
        <v>-257.35479390302601</v>
      </c>
      <c r="M33" s="212"/>
      <c r="O33" s="604"/>
    </row>
    <row r="34" spans="1:15" ht="15" customHeight="1">
      <c r="B34" s="5"/>
      <c r="C34" s="19" t="s">
        <v>330</v>
      </c>
      <c r="D34" s="617">
        <v>-474.6</v>
      </c>
      <c r="E34" s="617">
        <v>155.80000000000001</v>
      </c>
      <c r="F34" s="617">
        <v>684.6</v>
      </c>
      <c r="G34" s="617">
        <v>-332.2</v>
      </c>
      <c r="H34" s="617">
        <v>376.5</v>
      </c>
      <c r="I34" s="617">
        <v>214</v>
      </c>
      <c r="J34" s="345">
        <v>231.04724524100928</v>
      </c>
      <c r="K34" s="345">
        <v>248.76457492610803</v>
      </c>
      <c r="L34" s="617">
        <f>K34/K$57*L$57</f>
        <v>264.52413974662625</v>
      </c>
      <c r="M34" s="171"/>
      <c r="O34" s="612"/>
    </row>
    <row r="35" spans="1:15" ht="15" customHeight="1">
      <c r="B35" s="5"/>
      <c r="C35" s="19" t="s">
        <v>328</v>
      </c>
      <c r="D35" s="617">
        <v>365.4</v>
      </c>
      <c r="E35" s="617">
        <v>972.40000000000009</v>
      </c>
      <c r="F35" s="617">
        <v>717.2</v>
      </c>
      <c r="G35" s="617">
        <v>-700.2</v>
      </c>
      <c r="H35" s="617">
        <v>545.79999999999995</v>
      </c>
      <c r="I35" s="617">
        <v>422.2</v>
      </c>
      <c r="J35" s="345">
        <v>455.83246233997244</v>
      </c>
      <c r="K35" s="345">
        <v>490.78693240094765</v>
      </c>
      <c r="L35" s="617">
        <f>K35/K$57*L$57</f>
        <v>521.87893364965225</v>
      </c>
      <c r="M35" s="171"/>
      <c r="O35" s="619"/>
    </row>
    <row r="36" spans="1:15" ht="15" customHeight="1">
      <c r="B36" s="5"/>
      <c r="C36" s="19" t="s">
        <v>334</v>
      </c>
      <c r="D36" s="617"/>
      <c r="E36" s="617"/>
      <c r="F36" s="617"/>
      <c r="G36" s="617"/>
      <c r="H36" s="617"/>
      <c r="I36" s="617">
        <v>168.88</v>
      </c>
      <c r="J36" s="617">
        <v>182.33298493598897</v>
      </c>
      <c r="K36" s="617">
        <v>294.47215944056859</v>
      </c>
      <c r="L36" s="617">
        <f>0.4*L35</f>
        <v>208.75157345986091</v>
      </c>
      <c r="M36" s="171"/>
      <c r="O36" s="619"/>
    </row>
    <row r="37" spans="1:15" ht="15" customHeight="1">
      <c r="B37" s="5"/>
      <c r="C37" s="19" t="s">
        <v>335</v>
      </c>
      <c r="D37" s="617">
        <v>-52.9</v>
      </c>
      <c r="E37" s="617">
        <v>-55.3</v>
      </c>
      <c r="F37" s="617">
        <v>-43.2</v>
      </c>
      <c r="G37" s="617">
        <v>-22.3</v>
      </c>
      <c r="H37" s="617">
        <v>477.6</v>
      </c>
      <c r="I37" s="617">
        <v>18.5</v>
      </c>
      <c r="J37" s="617">
        <v>0</v>
      </c>
      <c r="K37" s="617">
        <v>0</v>
      </c>
      <c r="L37" s="617">
        <v>0</v>
      </c>
      <c r="M37" s="171"/>
      <c r="O37" s="620"/>
    </row>
    <row r="38" spans="1:15" ht="15" customHeight="1">
      <c r="B38" s="5"/>
      <c r="C38" s="19"/>
      <c r="D38" s="617"/>
      <c r="E38" s="617"/>
      <c r="F38" s="617"/>
      <c r="G38" s="617"/>
      <c r="H38" s="617"/>
      <c r="I38" s="617"/>
      <c r="J38" s="617"/>
      <c r="K38" s="529"/>
      <c r="L38" s="617"/>
      <c r="M38" s="171"/>
      <c r="O38" s="3"/>
    </row>
    <row r="39" spans="1:15" ht="15" customHeight="1">
      <c r="B39" s="5"/>
      <c r="C39" s="23" t="s">
        <v>336</v>
      </c>
      <c r="D39" s="530">
        <v>56.95107876895122</v>
      </c>
      <c r="E39" s="530">
        <v>-42.444576002958001</v>
      </c>
      <c r="F39" s="530">
        <v>42.433273044878661</v>
      </c>
      <c r="G39" s="530">
        <v>-32.688705000001221</v>
      </c>
      <c r="H39" s="530">
        <v>9.8123141599999144</v>
      </c>
      <c r="I39" s="530">
        <v>-11.659001329999683</v>
      </c>
      <c r="J39" s="530">
        <v>53.59964024352621</v>
      </c>
      <c r="K39" s="530">
        <v>0</v>
      </c>
      <c r="L39" s="530">
        <v>0</v>
      </c>
      <c r="M39" s="48"/>
      <c r="O39" s="612"/>
    </row>
    <row r="40" spans="1:15" ht="15" customHeight="1">
      <c r="B40" s="5"/>
      <c r="C40" s="303"/>
      <c r="D40" s="530"/>
      <c r="E40" s="530"/>
      <c r="F40" s="530"/>
      <c r="G40" s="530"/>
      <c r="H40" s="530"/>
      <c r="I40" s="530"/>
      <c r="J40" s="530"/>
      <c r="K40" s="530"/>
      <c r="L40" s="530"/>
      <c r="M40" s="48"/>
      <c r="O40" s="612"/>
    </row>
    <row r="41" spans="1:15" ht="15" customHeight="1">
      <c r="B41" s="5"/>
      <c r="C41" s="21" t="s">
        <v>337</v>
      </c>
      <c r="D41" s="530">
        <v>750.8</v>
      </c>
      <c r="E41" s="530">
        <v>1017.7</v>
      </c>
      <c r="F41" s="530">
        <v>-348</v>
      </c>
      <c r="G41" s="530">
        <v>259.89999999999998</v>
      </c>
      <c r="H41" s="530">
        <v>561.10000000000014</v>
      </c>
      <c r="I41" s="530">
        <v>132.40000000000009</v>
      </c>
      <c r="J41" s="530">
        <f>J5+J19-J21+J39</f>
        <v>51.523344245581029</v>
      </c>
      <c r="K41" s="530">
        <f>K5+K19-K21+K39</f>
        <v>-21.789759186225183</v>
      </c>
      <c r="L41" s="530">
        <f>L5+L19-L21+L39</f>
        <v>-244.54656207462949</v>
      </c>
      <c r="M41" s="48"/>
      <c r="O41" s="3"/>
    </row>
    <row r="42" spans="1:15" ht="15" customHeight="1">
      <c r="B42" s="5"/>
      <c r="C42" s="303"/>
      <c r="D42" s="530"/>
      <c r="E42" s="530"/>
      <c r="F42" s="530"/>
      <c r="G42" s="530"/>
      <c r="H42" s="530"/>
      <c r="I42" s="530"/>
      <c r="J42" s="530"/>
      <c r="K42" s="530"/>
      <c r="L42" s="566"/>
      <c r="M42" s="171"/>
      <c r="O42" s="612"/>
    </row>
    <row r="43" spans="1:15" ht="15" customHeight="1">
      <c r="B43" s="5"/>
      <c r="C43" s="21" t="s">
        <v>338</v>
      </c>
      <c r="D43" s="530">
        <v>750.8</v>
      </c>
      <c r="E43" s="530">
        <v>1017.7</v>
      </c>
      <c r="F43" s="530">
        <v>-348</v>
      </c>
      <c r="G43" s="530">
        <v>259.89999999999998</v>
      </c>
      <c r="H43" s="530">
        <v>561.1</v>
      </c>
      <c r="I43" s="530">
        <v>132.40000000000009</v>
      </c>
      <c r="J43" s="530">
        <f>J41</f>
        <v>51.523344245581029</v>
      </c>
      <c r="K43" s="530">
        <f>K41</f>
        <v>-21.789759186225183</v>
      </c>
      <c r="L43" s="530">
        <f>L41+L44</f>
        <v>-244.54656207462949</v>
      </c>
      <c r="M43" s="48"/>
      <c r="O43" s="612"/>
    </row>
    <row r="44" spans="1:15" ht="15" customHeight="1">
      <c r="B44" s="5"/>
      <c r="C44" s="21" t="s">
        <v>339</v>
      </c>
      <c r="D44" s="617"/>
      <c r="E44" s="617"/>
      <c r="F44" s="617"/>
      <c r="G44" s="617"/>
      <c r="H44" s="617"/>
      <c r="I44" s="617"/>
      <c r="J44" s="617"/>
      <c r="K44" s="617"/>
      <c r="L44" s="531"/>
      <c r="M44" s="171"/>
      <c r="O44" s="619"/>
    </row>
    <row r="45" spans="1:15" s="1" customFormat="1" ht="15" customHeight="1">
      <c r="A45" s="597"/>
      <c r="B45" s="109"/>
      <c r="C45" s="110"/>
      <c r="D45" s="110" t="s">
        <v>340</v>
      </c>
      <c r="E45" s="110"/>
      <c r="F45" s="110"/>
      <c r="G45" s="110"/>
      <c r="H45" s="110"/>
      <c r="I45" s="110"/>
      <c r="J45" s="110"/>
      <c r="K45" s="110"/>
      <c r="L45" s="110"/>
      <c r="M45" s="111"/>
      <c r="O45" s="620"/>
    </row>
    <row r="46" spans="1:15" ht="15" customHeight="1" thickBot="1">
      <c r="B46" s="5"/>
      <c r="C46" s="21" t="s">
        <v>341</v>
      </c>
      <c r="D46" s="532">
        <v>2006</v>
      </c>
      <c r="E46" s="532">
        <v>2007</v>
      </c>
      <c r="F46" s="532">
        <v>2008</v>
      </c>
      <c r="G46" s="532">
        <v>2009</v>
      </c>
      <c r="H46" s="532">
        <v>2010</v>
      </c>
      <c r="I46" s="532">
        <v>2011</v>
      </c>
      <c r="J46" s="532">
        <v>2012</v>
      </c>
      <c r="K46" s="532">
        <v>2013</v>
      </c>
      <c r="L46" s="532">
        <f>1+K46</f>
        <v>2014</v>
      </c>
      <c r="M46" s="171"/>
    </row>
    <row r="47" spans="1:15" ht="15" customHeight="1" thickBot="1">
      <c r="B47" s="5"/>
      <c r="C47" s="18" t="s">
        <v>342</v>
      </c>
      <c r="D47" s="621">
        <v>-5.1348842132647015</v>
      </c>
      <c r="E47" s="621">
        <v>-5.4744907226829644</v>
      </c>
      <c r="F47" s="621">
        <v>-10.277953980623307</v>
      </c>
      <c r="G47" s="621">
        <v>-1.6113772743383565</v>
      </c>
      <c r="H47" s="621">
        <v>-3.8850529437402859</v>
      </c>
      <c r="I47" s="621">
        <v>-6.2464852013359886</v>
      </c>
      <c r="J47" s="621">
        <f>J5/J57*100</f>
        <v>-6.5773303948117663</v>
      </c>
      <c r="K47" s="621">
        <f>K5/K57*100</f>
        <v>-6.6368463917212992</v>
      </c>
      <c r="L47" s="1051">
        <f>L5/L57*100</f>
        <v>-7.0207628674229792</v>
      </c>
      <c r="M47" s="210"/>
    </row>
    <row r="48" spans="1:15" ht="15" customHeight="1" thickBot="1">
      <c r="B48" s="5"/>
      <c r="C48" s="18" t="s">
        <v>343</v>
      </c>
      <c r="D48" s="621">
        <v>5.1295165064051493E-3</v>
      </c>
      <c r="E48" s="621">
        <v>8.4532389975924604E-2</v>
      </c>
      <c r="F48" s="621">
        <v>2.6423923931558783E-2</v>
      </c>
      <c r="G48" s="621">
        <v>0.2122478485189277</v>
      </c>
      <c r="H48" s="621">
        <v>0.15987475551720537</v>
      </c>
      <c r="I48" s="621">
        <v>5.630185780653011E-2</v>
      </c>
      <c r="J48" s="621">
        <v>9.0567889862998685E-2</v>
      </c>
      <c r="K48" s="621">
        <v>2.1728235636448417E-2</v>
      </c>
      <c r="L48" s="621">
        <f>L19/$L$57*100</f>
        <v>1.8978415325563734E-2</v>
      </c>
      <c r="M48" s="210"/>
    </row>
    <row r="49" spans="1:19" ht="15" customHeight="1" thickBot="1">
      <c r="B49" s="5"/>
      <c r="C49" s="18" t="s">
        <v>344</v>
      </c>
      <c r="D49" s="621">
        <v>-8.3653087825819981</v>
      </c>
      <c r="E49" s="621">
        <v>-9.6171543105156854</v>
      </c>
      <c r="F49" s="621">
        <v>-8.8573707178691272</v>
      </c>
      <c r="G49" s="621">
        <v>-2.4643322240559549</v>
      </c>
      <c r="H49" s="621">
        <v>-5.3695249045162887</v>
      </c>
      <c r="I49" s="621">
        <v>-6.565682853188366</v>
      </c>
      <c r="J49" s="621">
        <v>-6.4817498106493927</v>
      </c>
      <c r="K49" s="621">
        <v>-7.0714436543783137</v>
      </c>
      <c r="L49" s="1051">
        <f>L21/L57*100</f>
        <v>-6.4861059830428527</v>
      </c>
      <c r="M49" s="210"/>
    </row>
    <row r="50" spans="1:19" ht="15" customHeight="1" thickBot="1">
      <c r="B50" s="5"/>
      <c r="C50" s="18" t="s">
        <v>337</v>
      </c>
      <c r="D50" s="621">
        <v>3.5011281754627142</v>
      </c>
      <c r="E50" s="621">
        <v>4.0579534565329469</v>
      </c>
      <c r="F50" s="621">
        <v>-1.2426385848895212</v>
      </c>
      <c r="G50" s="621">
        <v>0.94619581183652324</v>
      </c>
      <c r="H50" s="621">
        <v>1.6736142783713424</v>
      </c>
      <c r="I50" s="621">
        <v>0.34510953581410153</v>
      </c>
      <c r="J50" s="621">
        <v>0.12064387614383551</v>
      </c>
      <c r="K50" s="621">
        <v>-7.0565562449954849E-2</v>
      </c>
      <c r="L50" s="1051">
        <f>L41/L57*100</f>
        <v>-0.51567846905456349</v>
      </c>
      <c r="M50" s="210"/>
    </row>
    <row r="51" spans="1:19" ht="15" customHeight="1" thickBot="1">
      <c r="B51" s="5"/>
      <c r="C51" s="18" t="s">
        <v>345</v>
      </c>
      <c r="D51" s="621"/>
      <c r="E51" s="621"/>
      <c r="F51" s="617">
        <v>3798.7</v>
      </c>
      <c r="G51" s="617">
        <v>4066.2</v>
      </c>
      <c r="H51" s="617">
        <v>4629.7</v>
      </c>
      <c r="I51" s="617">
        <v>4758.3</v>
      </c>
      <c r="J51" s="617">
        <v>4808.2716085310276</v>
      </c>
      <c r="K51" s="617">
        <v>4779.042817354617</v>
      </c>
      <c r="L51" s="617">
        <f>PII!L13</f>
        <v>4534.496255279988</v>
      </c>
      <c r="M51" s="210"/>
    </row>
    <row r="52" spans="1:19" ht="15" customHeight="1" thickBot="1">
      <c r="B52" s="5"/>
      <c r="C52" s="18" t="s">
        <v>346</v>
      </c>
      <c r="D52" s="621"/>
      <c r="E52" s="621"/>
      <c r="F52" s="621">
        <v>2.7709037488871773</v>
      </c>
      <c r="G52" s="621">
        <v>3.9728074212779716</v>
      </c>
      <c r="H52" s="621">
        <v>3.7694256749740278</v>
      </c>
      <c r="I52" s="621">
        <v>3.3062959082019447</v>
      </c>
      <c r="J52" s="621">
        <v>3.0135026264029836</v>
      </c>
      <c r="K52" s="621">
        <v>2.8204427291075169</v>
      </c>
      <c r="L52" s="1051">
        <f>L51/((L8+L11)/12)</f>
        <v>2.5029508081115828</v>
      </c>
      <c r="M52" s="210"/>
      <c r="O52" s="966" t="s">
        <v>347</v>
      </c>
      <c r="P52" s="967"/>
      <c r="Q52" s="967"/>
      <c r="R52" s="967"/>
      <c r="S52" s="968"/>
    </row>
    <row r="53" spans="1:19" ht="15" customHeight="1">
      <c r="B53" s="5"/>
      <c r="C53" s="209"/>
      <c r="D53" s="621"/>
      <c r="E53" s="621"/>
      <c r="F53" s="621"/>
      <c r="G53" s="621"/>
      <c r="H53" s="621"/>
      <c r="I53" s="621"/>
      <c r="J53" s="621"/>
      <c r="K53" s="621"/>
      <c r="L53" s="621"/>
      <c r="M53" s="210"/>
    </row>
    <row r="54" spans="1:19" ht="15" customHeight="1">
      <c r="B54" s="5"/>
      <c r="C54" s="209"/>
      <c r="D54" s="617"/>
      <c r="E54" s="617"/>
      <c r="F54" s="617"/>
      <c r="G54" s="617"/>
      <c r="H54" s="617"/>
      <c r="I54" s="617"/>
      <c r="J54" s="617"/>
      <c r="K54" s="617"/>
      <c r="L54" s="621"/>
      <c r="M54" s="210"/>
    </row>
    <row r="55" spans="1:19" ht="15" customHeight="1">
      <c r="B55" s="5"/>
      <c r="C55" s="21" t="s">
        <v>348</v>
      </c>
      <c r="D55" s="617"/>
      <c r="E55" s="617"/>
      <c r="F55" s="617"/>
      <c r="G55" s="617"/>
      <c r="H55" s="617"/>
      <c r="I55" s="617"/>
      <c r="J55" s="617"/>
      <c r="K55" s="617"/>
      <c r="L55" s="566"/>
      <c r="M55" s="171"/>
    </row>
    <row r="56" spans="1:19" ht="15" customHeight="1">
      <c r="B56" s="5"/>
      <c r="C56" s="18" t="s">
        <v>349</v>
      </c>
      <c r="D56" s="617">
        <v>10964.620135876012</v>
      </c>
      <c r="E56" s="617">
        <v>12956.322039467186</v>
      </c>
      <c r="F56" s="617">
        <v>14737.185928738949</v>
      </c>
      <c r="G56" s="617">
        <v>15747.009032492888</v>
      </c>
      <c r="H56" s="617">
        <v>17629.077878645952</v>
      </c>
      <c r="I56" s="617">
        <v>19427.849144138439</v>
      </c>
      <c r="J56" s="617">
        <v>21157.293165921488</v>
      </c>
      <c r="K56" s="617">
        <v>23646.185911788263</v>
      </c>
      <c r="L56" s="617">
        <f>PIB_Nominal!L6</f>
        <v>26705.762973114495</v>
      </c>
      <c r="M56" s="48"/>
      <c r="N56" s="338">
        <f>N57*L58/1000</f>
        <v>26943.757167807646</v>
      </c>
    </row>
    <row r="57" spans="1:19" ht="15" customHeight="1">
      <c r="B57" s="5"/>
      <c r="C57" s="18" t="s">
        <v>350</v>
      </c>
      <c r="D57" s="617">
        <v>21444.516235135354</v>
      </c>
      <c r="E57" s="617">
        <v>25079.144226299413</v>
      </c>
      <c r="F57" s="617">
        <v>28004.924700687574</v>
      </c>
      <c r="G57" s="617">
        <v>27467.887381106226</v>
      </c>
      <c r="H57" s="617">
        <v>33526.243606503398</v>
      </c>
      <c r="I57" s="617">
        <v>38364.631011331832</v>
      </c>
      <c r="J57" s="617">
        <v>41420.758457271098</v>
      </c>
      <c r="K57" s="617">
        <v>44597.014606219367</v>
      </c>
      <c r="L57" s="617">
        <f>L56/L58*1000</f>
        <v>47422.294462473328</v>
      </c>
      <c r="M57" s="8"/>
      <c r="N57" s="338">
        <f>K57/K22*-2130</f>
        <v>47844.908517441916</v>
      </c>
    </row>
    <row r="58" spans="1:19" ht="15" customHeight="1">
      <c r="B58" s="5"/>
      <c r="C58" s="18" t="s">
        <v>351</v>
      </c>
      <c r="D58" s="621">
        <v>511.30181794034797</v>
      </c>
      <c r="E58" s="621">
        <v>516.61739023297503</v>
      </c>
      <c r="F58" s="621">
        <v>526.23551344086002</v>
      </c>
      <c r="G58" s="621">
        <v>573.287956733231</v>
      </c>
      <c r="H58" s="621">
        <v>525.829200716846</v>
      </c>
      <c r="I58" s="621">
        <v>506.4</v>
      </c>
      <c r="J58" s="621">
        <v>510.78961259840202</v>
      </c>
      <c r="K58" s="621">
        <v>530.21903193696369</v>
      </c>
      <c r="L58" s="617">
        <f>'TC nominal'!I13</f>
        <v>563.14784587758732</v>
      </c>
      <c r="M58" s="211"/>
    </row>
    <row r="59" spans="1:19" ht="15" customHeight="1">
      <c r="B59" s="5"/>
      <c r="C59" s="18" t="s">
        <v>352</v>
      </c>
      <c r="D59" s="621">
        <v>517.89499999999998</v>
      </c>
      <c r="E59" s="621">
        <v>498.1</v>
      </c>
      <c r="F59" s="621">
        <v>555.47</v>
      </c>
      <c r="G59" s="621">
        <v>565.24</v>
      </c>
      <c r="H59" s="621">
        <v>512.97</v>
      </c>
      <c r="I59" s="621">
        <v>510.56</v>
      </c>
      <c r="J59" s="621">
        <v>511.01922519680301</v>
      </c>
      <c r="K59" s="621">
        <v>549.41883867712431</v>
      </c>
      <c r="L59" s="617">
        <f>'TC nominal'!I14</f>
        <v>576.87685307805032</v>
      </c>
      <c r="M59" s="211"/>
    </row>
    <row r="60" spans="1:19" ht="15" customHeight="1">
      <c r="A60" s="610"/>
      <c r="B60" s="622"/>
      <c r="C60" s="18" t="s">
        <v>353</v>
      </c>
      <c r="D60" s="621">
        <v>-1376.0705113799995</v>
      </c>
      <c r="E60" s="621">
        <v>-1251.3828203899993</v>
      </c>
      <c r="F60" s="617">
        <v>-2812.4093852400001</v>
      </c>
      <c r="G60" s="617">
        <v>149.0404050000011</v>
      </c>
      <c r="H60" s="617">
        <v>-902.45791415999975</v>
      </c>
      <c r="I60" s="617">
        <v>-1914.49619867</v>
      </c>
      <c r="J60" s="617">
        <v>-2147.4765631345481</v>
      </c>
      <c r="K60" s="617">
        <v>-2445.0483232033826</v>
      </c>
      <c r="L60" s="617">
        <f>L6+L9</f>
        <v>-2809.8863724905436</v>
      </c>
      <c r="M60" s="211"/>
    </row>
    <row r="61" spans="1:19" ht="15" customHeight="1">
      <c r="A61" s="610"/>
      <c r="B61" s="622"/>
      <c r="C61" s="18" t="s">
        <v>354</v>
      </c>
      <c r="D61" s="621">
        <v>-6.4168876382737103</v>
      </c>
      <c r="E61" s="621">
        <v>-4.9897349331311247</v>
      </c>
      <c r="F61" s="623">
        <v>-10.042552927024833</v>
      </c>
      <c r="G61" s="623">
        <v>0.54259871875883137</v>
      </c>
      <c r="H61" s="623">
        <v>-2.6917954923674827</v>
      </c>
      <c r="I61" s="623">
        <v>-4.9902635531787389</v>
      </c>
      <c r="J61" s="623">
        <v>-5.1845418652819841</v>
      </c>
      <c r="K61" s="623">
        <v>-5.4825381133525548</v>
      </c>
      <c r="L61" s="623">
        <f>100*(L60/L57)</f>
        <v>-5.92524339941858</v>
      </c>
      <c r="M61" s="211"/>
    </row>
    <row r="62" spans="1:19" ht="15" customHeight="1">
      <c r="B62" s="5"/>
      <c r="C62" s="246"/>
      <c r="D62" s="247"/>
      <c r="E62" s="247"/>
      <c r="F62" s="247"/>
      <c r="G62" s="247"/>
      <c r="H62" s="247"/>
      <c r="I62" s="247"/>
      <c r="J62" s="247"/>
      <c r="K62" s="247"/>
      <c r="L62" s="29"/>
      <c r="M62" s="171"/>
    </row>
    <row r="63" spans="1:19" ht="15" customHeight="1">
      <c r="B63" s="5"/>
      <c r="C63" s="246"/>
      <c r="D63" s="532">
        <v>2006</v>
      </c>
      <c r="E63" s="532">
        <v>2007</v>
      </c>
      <c r="F63" s="532">
        <v>2008</v>
      </c>
      <c r="G63" s="346">
        <v>2009</v>
      </c>
      <c r="H63" s="346">
        <v>2010</v>
      </c>
      <c r="I63" s="346">
        <v>2011</v>
      </c>
      <c r="J63" s="346">
        <v>2012</v>
      </c>
      <c r="K63" s="346">
        <v>2013</v>
      </c>
      <c r="L63" s="346">
        <f>1+K63</f>
        <v>2014</v>
      </c>
      <c r="M63" s="171"/>
    </row>
    <row r="64" spans="1:19" ht="15" customHeight="1" outlineLevel="1">
      <c r="B64" s="5"/>
      <c r="C64" s="246" t="s">
        <v>355</v>
      </c>
      <c r="D64" s="621">
        <v>51.637426842145352</v>
      </c>
      <c r="E64" s="621">
        <v>51.244410518374146</v>
      </c>
      <c r="F64" s="621">
        <v>48.701024797024864</v>
      </c>
      <c r="G64" s="621">
        <v>45.256978428857074</v>
      </c>
      <c r="H64" s="621">
        <v>41.269857656483936</v>
      </c>
      <c r="I64" s="621">
        <v>40.025054265879497</v>
      </c>
      <c r="J64" s="621">
        <v>41.040851623716854</v>
      </c>
      <c r="K64" s="621">
        <v>40.110559017029288</v>
      </c>
      <c r="L64" s="621">
        <f t="shared" ref="L64" si="2">100*(L7+L10)/L57</f>
        <v>39.918008464752347</v>
      </c>
      <c r="M64" s="171"/>
    </row>
    <row r="65" spans="2:13" ht="15" customHeight="1" outlineLevel="1">
      <c r="B65" s="5"/>
      <c r="C65" s="246" t="s">
        <v>356</v>
      </c>
      <c r="D65" s="621">
        <v>58.054314480419059</v>
      </c>
      <c r="E65" s="621">
        <v>56.234145451505277</v>
      </c>
      <c r="F65" s="621">
        <v>58.7435777240497</v>
      </c>
      <c r="G65" s="621">
        <v>44.71437971009825</v>
      </c>
      <c r="H65" s="621">
        <v>43.961653148851418</v>
      </c>
      <c r="I65" s="621">
        <v>45.015317819058232</v>
      </c>
      <c r="J65" s="621">
        <v>46.225393488998833</v>
      </c>
      <c r="K65" s="621">
        <v>45.593097130381842</v>
      </c>
      <c r="L65" s="621">
        <f t="shared" ref="L65" si="3">100*(L8+L11)/L57</f>
        <v>45.843251864170931</v>
      </c>
      <c r="M65" s="171"/>
    </row>
    <row r="66" spans="2:13" ht="15" customHeight="1" outlineLevel="1">
      <c r="B66" s="5"/>
      <c r="C66" s="246" t="s">
        <v>357</v>
      </c>
      <c r="D66" s="621">
        <v>109.69174132256441</v>
      </c>
      <c r="E66" s="621">
        <v>107.47855596987942</v>
      </c>
      <c r="F66" s="621">
        <v>107.44460252107456</v>
      </c>
      <c r="G66" s="621">
        <v>89.971358138955324</v>
      </c>
      <c r="H66" s="621">
        <v>85.231510805335347</v>
      </c>
      <c r="I66" s="621">
        <v>85.040372084937729</v>
      </c>
      <c r="J66" s="621">
        <v>87.266245112715694</v>
      </c>
      <c r="K66" s="621">
        <v>85.703656147411124</v>
      </c>
      <c r="L66" s="621">
        <f t="shared" ref="L66" si="4">L64+L65</f>
        <v>85.761260328923271</v>
      </c>
      <c r="M66" s="171"/>
    </row>
    <row r="67" spans="2:13" ht="15" customHeight="1">
      <c r="B67" s="5"/>
      <c r="C67" s="246"/>
      <c r="D67" s="617"/>
      <c r="E67" s="617"/>
      <c r="F67" s="617"/>
      <c r="G67" s="617"/>
      <c r="H67" s="617"/>
      <c r="I67" s="617"/>
      <c r="J67" s="617"/>
      <c r="K67" s="617"/>
      <c r="L67" s="617"/>
      <c r="M67" s="171"/>
    </row>
    <row r="68" spans="2:13" ht="15" hidden="1" customHeight="1" outlineLevel="1">
      <c r="B68" s="5"/>
      <c r="C68" s="246" t="s">
        <v>1198</v>
      </c>
      <c r="D68" s="617"/>
      <c r="E68" s="617"/>
      <c r="F68" s="617">
        <v>7134.12576704807</v>
      </c>
      <c r="G68" s="617">
        <v>7122.0183968381598</v>
      </c>
      <c r="H68" s="617">
        <v>7248.1127840448607</v>
      </c>
      <c r="I68" s="617">
        <v>7780.10970326194</v>
      </c>
      <c r="J68" s="617">
        <v>8683.133295820624</v>
      </c>
      <c r="K68" s="617">
        <v>9484.617355424296</v>
      </c>
      <c r="L68" s="617">
        <f>PIB_Nominal!L15</f>
        <v>10660.408724184541</v>
      </c>
      <c r="M68" s="171"/>
    </row>
    <row r="69" spans="2:13" ht="15" hidden="1" customHeight="1" outlineLevel="1">
      <c r="B69" s="5"/>
      <c r="C69" s="246" t="s">
        <v>1199</v>
      </c>
      <c r="D69" s="617"/>
      <c r="E69" s="617"/>
      <c r="F69" s="617">
        <v>8666.0424670627799</v>
      </c>
      <c r="G69" s="617">
        <v>7023.6832958763607</v>
      </c>
      <c r="H69" s="617">
        <v>7680.7521794597005</v>
      </c>
      <c r="I69" s="617">
        <v>8717.3303147040988</v>
      </c>
      <c r="J69" s="617">
        <v>9780.0420175682666</v>
      </c>
      <c r="K69" s="617">
        <v>10781.028510392291</v>
      </c>
      <c r="L69" s="617">
        <f>PIB_Nominal!L16</f>
        <v>12242.790182013381</v>
      </c>
      <c r="M69" s="171"/>
    </row>
    <row r="70" spans="2:13" ht="15" hidden="1" customHeight="1" outlineLevel="1">
      <c r="B70" s="5"/>
      <c r="C70" s="246"/>
      <c r="D70" s="617"/>
      <c r="E70" s="617"/>
      <c r="F70" s="617"/>
      <c r="G70" s="617"/>
      <c r="H70" s="617"/>
      <c r="I70" s="617"/>
      <c r="J70" s="617"/>
      <c r="K70" s="617"/>
      <c r="L70" s="617"/>
      <c r="M70" s="171"/>
    </row>
    <row r="71" spans="2:13" ht="15" hidden="1" customHeight="1" outlineLevel="1">
      <c r="B71" s="5"/>
      <c r="C71" s="246" t="s">
        <v>1200</v>
      </c>
      <c r="D71" s="617"/>
      <c r="E71" s="617"/>
      <c r="F71" s="617">
        <v>13638.685322869998</v>
      </c>
      <c r="G71" s="617">
        <v>12431.135866929999</v>
      </c>
      <c r="H71" s="617">
        <v>13836.233013969999</v>
      </c>
      <c r="I71" s="617">
        <v>15355.46438119</v>
      </c>
      <c r="J71" s="617">
        <v>16999.432019866781</v>
      </c>
      <c r="K71" s="617">
        <v>17888.111863460792</v>
      </c>
      <c r="L71" s="617">
        <f>L7+L10</f>
        <v>18930.035517709886</v>
      </c>
      <c r="M71" s="171"/>
    </row>
    <row r="72" spans="2:13" ht="15" hidden="1" customHeight="1" outlineLevel="1">
      <c r="B72" s="5"/>
      <c r="C72" s="246" t="s">
        <v>1201</v>
      </c>
      <c r="D72" s="617"/>
      <c r="E72" s="617"/>
      <c r="F72" s="617">
        <v>16451.094708109998</v>
      </c>
      <c r="G72" s="617">
        <v>12282.095461929999</v>
      </c>
      <c r="H72" s="617">
        <v>14738.69092813</v>
      </c>
      <c r="I72" s="617">
        <v>17269.960579859999</v>
      </c>
      <c r="J72" s="617">
        <v>19146.908583001328</v>
      </c>
      <c r="K72" s="617">
        <v>20333.160186664172</v>
      </c>
      <c r="L72" s="617">
        <f>L8+L11</f>
        <v>21739.921890200432</v>
      </c>
      <c r="M72" s="171"/>
    </row>
    <row r="73" spans="2:13" ht="15" hidden="1" customHeight="1" outlineLevel="1">
      <c r="B73" s="5"/>
      <c r="C73" s="246"/>
      <c r="D73" s="617"/>
      <c r="E73" s="617"/>
      <c r="F73" s="617"/>
      <c r="G73" s="617"/>
      <c r="H73" s="617"/>
      <c r="I73" s="617"/>
      <c r="J73" s="617"/>
      <c r="K73" s="617"/>
      <c r="L73" s="617"/>
      <c r="M73" s="171"/>
    </row>
    <row r="74" spans="2:13" ht="15" hidden="1" customHeight="1" outlineLevel="1">
      <c r="B74" s="5"/>
      <c r="C74" s="246" t="s">
        <v>1202</v>
      </c>
      <c r="D74" s="617"/>
      <c r="E74" s="617"/>
      <c r="F74" s="617">
        <v>13556.906717299735</v>
      </c>
      <c r="G74" s="617">
        <v>12423.108340565159</v>
      </c>
      <c r="H74" s="617">
        <v>13784.158000665886</v>
      </c>
      <c r="I74" s="617">
        <v>15363.565764735271</v>
      </c>
      <c r="J74" s="617">
        <v>16999.432019866781</v>
      </c>
      <c r="K74" s="617">
        <v>17888.111863460788</v>
      </c>
      <c r="L74" s="617">
        <f t="shared" ref="L74" si="5">L68/L$58*1000</f>
        <v>18930.035517709886</v>
      </c>
      <c r="M74" s="171"/>
    </row>
    <row r="75" spans="2:13" ht="15" hidden="1" customHeight="1" outlineLevel="1">
      <c r="B75" s="5"/>
      <c r="C75" s="246" t="s">
        <v>1203</v>
      </c>
      <c r="D75" s="617"/>
      <c r="E75" s="617"/>
      <c r="F75" s="617">
        <v>16467.992459115354</v>
      </c>
      <c r="G75" s="617">
        <v>12251.580053939109</v>
      </c>
      <c r="H75" s="617">
        <v>14606.933523259602</v>
      </c>
      <c r="I75" s="617">
        <v>17214.317367109201</v>
      </c>
      <c r="J75" s="617">
        <v>19146.908583001328</v>
      </c>
      <c r="K75" s="617">
        <v>20333.160186664172</v>
      </c>
      <c r="L75" s="617">
        <f>L69/L$58*1000</f>
        <v>21739.921890200436</v>
      </c>
      <c r="M75" s="171"/>
    </row>
    <row r="76" spans="2:13" ht="15" hidden="1" customHeight="1" outlineLevel="1">
      <c r="B76" s="5"/>
      <c r="C76" s="246"/>
      <c r="D76" s="617"/>
      <c r="E76" s="617"/>
      <c r="F76" s="617"/>
      <c r="G76" s="617"/>
      <c r="H76" s="617"/>
      <c r="I76" s="617"/>
      <c r="J76" s="617"/>
      <c r="K76" s="617"/>
      <c r="L76" s="617"/>
      <c r="M76" s="171"/>
    </row>
    <row r="77" spans="2:13" ht="15" hidden="1" customHeight="1" outlineLevel="1">
      <c r="B77" s="5"/>
      <c r="C77" s="246"/>
      <c r="D77" s="246"/>
      <c r="E77" s="246"/>
      <c r="F77" s="246"/>
      <c r="G77" s="246"/>
      <c r="H77" s="246"/>
      <c r="I77" s="246"/>
      <c r="J77" s="246"/>
      <c r="K77" s="246"/>
      <c r="L77" s="246"/>
      <c r="M77" s="171"/>
    </row>
    <row r="78" spans="2:13" ht="15" hidden="1" customHeight="1" outlineLevel="1">
      <c r="B78" s="5"/>
      <c r="C78" s="246"/>
      <c r="D78" s="246"/>
      <c r="E78" s="246"/>
      <c r="F78" s="246"/>
      <c r="G78" s="246"/>
      <c r="H78" s="246"/>
      <c r="I78" s="246"/>
      <c r="J78" s="246"/>
      <c r="K78" s="246"/>
      <c r="L78" s="246"/>
      <c r="M78" s="171"/>
    </row>
    <row r="79" spans="2:13" ht="15" customHeight="1" collapsed="1" thickBot="1">
      <c r="B79" s="10"/>
      <c r="C79" s="592"/>
      <c r="D79" s="293"/>
      <c r="E79" s="293"/>
      <c r="F79" s="293"/>
      <c r="G79" s="293"/>
      <c r="H79" s="293"/>
      <c r="I79" s="293"/>
      <c r="J79" s="293"/>
      <c r="K79" s="293"/>
      <c r="L79" s="295"/>
      <c r="M79" s="173"/>
    </row>
  </sheetData>
  <pageMargins left="0.7" right="0.7" top="0.75" bottom="0.75" header="0.3" footer="0.3"/>
  <pageSetup orientation="portrait" verticalDpi="9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249977111117893"/>
    <pageSetUpPr fitToPage="1"/>
  </sheetPr>
  <dimension ref="B1:AE78"/>
  <sheetViews>
    <sheetView zoomScaleNormal="100" workbookViewId="0">
      <selection activeCell="C32" sqref="C32"/>
    </sheetView>
  </sheetViews>
  <sheetFormatPr baseColWidth="10" defaultColWidth="9.42578125" defaultRowHeight="15" outlineLevelRow="1"/>
  <cols>
    <col min="1" max="1" width="9.42578125" style="2"/>
    <col min="2" max="2" width="5" style="3" customWidth="1"/>
    <col min="3" max="3" width="58.5703125" style="3" customWidth="1"/>
    <col min="4" max="6" width="9.42578125" style="4" customWidth="1"/>
    <col min="7" max="9" width="9.42578125" style="4"/>
    <col min="10" max="11" width="9.5703125" style="4" customWidth="1"/>
    <col min="12" max="12" width="10.42578125" style="4" customWidth="1"/>
    <col min="13" max="13" width="5" style="4" customWidth="1"/>
    <col min="14" max="14" width="13.5703125" style="2" bestFit="1" customWidth="1"/>
    <col min="15" max="15" width="9.42578125" style="2"/>
    <col min="16" max="21" width="9.42578125" style="2" customWidth="1"/>
    <col min="22" max="22" width="9.42578125" style="2"/>
    <col min="23" max="23" width="10.5703125" style="2" bestFit="1" customWidth="1"/>
    <col min="24" max="16384" width="9.42578125" style="2"/>
  </cols>
  <sheetData>
    <row r="1" spans="2:23" ht="15.75" thickBot="1"/>
    <row r="2" spans="2:23" s="1" customFormat="1" ht="33" customHeight="1">
      <c r="B2" s="393" t="s">
        <v>358</v>
      </c>
      <c r="C2" s="282"/>
      <c r="D2" s="282"/>
      <c r="E2" s="282"/>
      <c r="F2" s="282"/>
      <c r="G2" s="282"/>
      <c r="H2" s="282"/>
      <c r="I2" s="282"/>
      <c r="J2" s="282"/>
      <c r="K2" s="282"/>
      <c r="L2" s="282"/>
      <c r="M2" s="394"/>
    </row>
    <row r="3" spans="2:23" s="1" customFormat="1" ht="33" customHeight="1">
      <c r="B3" s="14"/>
      <c r="C3" s="16"/>
      <c r="D3" s="351">
        <v>2006</v>
      </c>
      <c r="E3" s="351">
        <v>2007</v>
      </c>
      <c r="F3" s="351">
        <v>2008</v>
      </c>
      <c r="G3" s="351">
        <v>2009</v>
      </c>
      <c r="H3" s="351">
        <v>2010</v>
      </c>
      <c r="I3" s="351">
        <v>2011</v>
      </c>
      <c r="J3" s="351">
        <v>2012</v>
      </c>
      <c r="K3" s="351">
        <v>2013</v>
      </c>
      <c r="L3" s="351">
        <v>2014</v>
      </c>
      <c r="M3" s="15"/>
    </row>
    <row r="4" spans="2:23" s="1" customFormat="1" ht="23.25" customHeight="1">
      <c r="B4" s="613" t="s">
        <v>314</v>
      </c>
      <c r="C4" s="586"/>
      <c r="D4" s="586"/>
      <c r="E4" s="586"/>
      <c r="F4" s="586"/>
      <c r="G4" s="586"/>
      <c r="H4" s="586"/>
      <c r="I4" s="586"/>
      <c r="J4" s="586"/>
      <c r="K4" s="586"/>
      <c r="L4" s="586"/>
      <c r="M4" s="614"/>
      <c r="P4" s="221"/>
      <c r="Q4" s="2"/>
      <c r="R4" s="221"/>
      <c r="S4" s="2"/>
      <c r="T4" s="2"/>
      <c r="U4" s="2"/>
    </row>
    <row r="5" spans="2:23">
      <c r="B5" s="5"/>
      <c r="C5" s="21" t="s">
        <v>359</v>
      </c>
      <c r="D5" s="25">
        <v>-3563.7999999999975</v>
      </c>
      <c r="E5" s="25">
        <v>-4969.7999999999956</v>
      </c>
      <c r="F5" s="25">
        <v>-7774.1999999999971</v>
      </c>
      <c r="G5" s="25">
        <v>-8174.5999999999949</v>
      </c>
      <c r="H5" s="25">
        <v>-9410.2999999999956</v>
      </c>
      <c r="I5" s="25">
        <v>-11800.599999999999</v>
      </c>
      <c r="J5" s="25">
        <v>-14565.560734520219</v>
      </c>
      <c r="K5" s="25">
        <f>K7-K15</f>
        <v>-17508.075556398177</v>
      </c>
      <c r="L5" s="25">
        <f t="shared" ref="L5" si="0">L7-L15</f>
        <v>-21093.006536646117</v>
      </c>
      <c r="M5" s="48"/>
      <c r="N5" s="221"/>
      <c r="O5" s="221"/>
      <c r="Q5" s="221"/>
      <c r="R5" s="221"/>
      <c r="S5" s="454"/>
    </row>
    <row r="6" spans="2:23">
      <c r="B6" s="5"/>
      <c r="C6" s="19"/>
      <c r="D6" s="7"/>
      <c r="E6" s="7"/>
      <c r="F6" s="110"/>
      <c r="G6" s="110"/>
      <c r="H6" s="110"/>
      <c r="I6" s="110"/>
      <c r="J6" s="110"/>
      <c r="K6" s="110"/>
      <c r="L6" s="7"/>
      <c r="M6" s="8"/>
    </row>
    <row r="7" spans="2:23" s="1" customFormat="1" ht="15" customHeight="1">
      <c r="B7" s="30"/>
      <c r="C7" s="21" t="s">
        <v>360</v>
      </c>
      <c r="D7" s="26">
        <v>10162.9</v>
      </c>
      <c r="E7" s="26">
        <v>11795.400000000001</v>
      </c>
      <c r="F7" s="26">
        <v>11617.7</v>
      </c>
      <c r="G7" s="26">
        <v>11915.2</v>
      </c>
      <c r="H7" s="26">
        <v>12732.400000000001</v>
      </c>
      <c r="I7" s="26">
        <v>12928.900000000001</v>
      </c>
      <c r="J7" s="26">
        <f t="shared" ref="J7" si="1">J8+J9+J10+J11+J13</f>
        <v>13775.631830345614</v>
      </c>
      <c r="K7" s="26">
        <f>K8+K9+K10+K11+K13</f>
        <v>14633.787303592097</v>
      </c>
      <c r="L7" s="26">
        <f>L8+L9+L10+L11+L13</f>
        <v>15053.209919068311</v>
      </c>
      <c r="M7" s="452"/>
      <c r="N7" s="259"/>
      <c r="O7" s="2"/>
      <c r="P7" s="2"/>
      <c r="Q7" s="2"/>
      <c r="R7" s="2"/>
      <c r="S7" s="2"/>
      <c r="T7" s="2"/>
    </row>
    <row r="8" spans="2:23" s="1" customFormat="1" ht="15" customHeight="1" outlineLevel="1">
      <c r="B8" s="30"/>
      <c r="C8" s="18" t="s">
        <v>361</v>
      </c>
      <c r="D8" s="24">
        <v>1268</v>
      </c>
      <c r="E8" s="24">
        <v>1530.4</v>
      </c>
      <c r="F8" s="24">
        <v>1536.3000000000002</v>
      </c>
      <c r="G8" s="24">
        <v>1543.8000000000002</v>
      </c>
      <c r="H8" s="24">
        <v>1568.6000000000001</v>
      </c>
      <c r="I8" s="24">
        <v>1626.4</v>
      </c>
      <c r="J8" s="24">
        <f>I8+BP!J23</f>
        <v>2131.8439111739235</v>
      </c>
      <c r="K8" s="24">
        <f>J8+BP!K23</f>
        <v>2676.0466329203464</v>
      </c>
      <c r="L8" s="24">
        <f>K8+BP!L23</f>
        <v>3254.7253168145662</v>
      </c>
      <c r="M8" s="55"/>
    </row>
    <row r="9" spans="2:23" outlineLevel="1">
      <c r="B9" s="6"/>
      <c r="C9" s="18" t="s">
        <v>362</v>
      </c>
      <c r="D9" s="7">
        <v>1317.9</v>
      </c>
      <c r="E9" s="7">
        <v>1488.2</v>
      </c>
      <c r="F9" s="7">
        <v>950.9</v>
      </c>
      <c r="G9" s="7">
        <v>1275.5999999999999</v>
      </c>
      <c r="H9" s="7">
        <v>1055</v>
      </c>
      <c r="I9" s="7">
        <v>796.1</v>
      </c>
      <c r="J9" s="24">
        <v>796.1</v>
      </c>
      <c r="K9" s="24">
        <f>J9+BP!K27</f>
        <v>796.1</v>
      </c>
      <c r="L9" s="24">
        <f>K9+BP!L27</f>
        <v>796.1</v>
      </c>
      <c r="M9" s="55"/>
      <c r="O9" s="1"/>
      <c r="P9" s="1"/>
      <c r="Q9" s="1"/>
      <c r="R9" s="1"/>
      <c r="S9" s="1"/>
      <c r="T9" s="1"/>
      <c r="U9" s="1"/>
      <c r="V9" s="1"/>
      <c r="W9" s="1"/>
    </row>
    <row r="10" spans="2:23" outlineLevel="1">
      <c r="B10" s="6"/>
      <c r="C10" s="18" t="s">
        <v>363</v>
      </c>
      <c r="D10" s="7">
        <v>351</v>
      </c>
      <c r="E10" s="7">
        <v>391</v>
      </c>
      <c r="F10" s="24">
        <v>379</v>
      </c>
      <c r="G10" s="24">
        <v>402</v>
      </c>
      <c r="H10" s="24">
        <v>472</v>
      </c>
      <c r="I10" s="24">
        <v>527</v>
      </c>
      <c r="J10" s="24">
        <v>568</v>
      </c>
      <c r="K10" s="24">
        <f>J10+BP!K31</f>
        <v>648.20913864439933</v>
      </c>
      <c r="L10" s="24">
        <f>K10+BP!L31</f>
        <v>733.49963230102185</v>
      </c>
      <c r="M10" s="55"/>
      <c r="O10" s="1"/>
      <c r="P10" s="1"/>
      <c r="Q10" s="1"/>
      <c r="R10" s="1"/>
      <c r="S10" s="1"/>
      <c r="T10" s="1"/>
      <c r="U10" s="1"/>
      <c r="V10" s="1"/>
      <c r="W10" s="1"/>
    </row>
    <row r="11" spans="2:23" outlineLevel="1">
      <c r="B11" s="6"/>
      <c r="C11" s="18" t="s">
        <v>364</v>
      </c>
      <c r="D11" s="24">
        <v>4111.3999999999996</v>
      </c>
      <c r="E11" s="24">
        <v>4272.2</v>
      </c>
      <c r="F11" s="24">
        <v>4952.8</v>
      </c>
      <c r="G11" s="24">
        <v>4627.6000000000004</v>
      </c>
      <c r="H11" s="24">
        <v>5007.1000000000004</v>
      </c>
      <c r="I11" s="24">
        <v>5221.1000000000004</v>
      </c>
      <c r="J11" s="24">
        <v>5469.8645749261086</v>
      </c>
      <c r="K11" s="24">
        <f>J11+BP!L34</f>
        <v>5734.3887146727347</v>
      </c>
      <c r="L11" s="24">
        <f>K11+BP!M34</f>
        <v>5734.3887146727347</v>
      </c>
      <c r="M11" s="55"/>
      <c r="O11" s="1"/>
      <c r="P11" s="1"/>
      <c r="Q11" s="1"/>
      <c r="R11" s="1"/>
      <c r="S11" s="1"/>
      <c r="T11" s="1"/>
      <c r="U11" s="1"/>
      <c r="V11" s="1"/>
      <c r="W11" s="1"/>
    </row>
    <row r="12" spans="2:23" outlineLevel="1">
      <c r="B12" s="6"/>
      <c r="C12" s="19" t="s">
        <v>365</v>
      </c>
      <c r="D12" s="7">
        <v>656.69084523000004</v>
      </c>
      <c r="E12" s="7">
        <v>523.13441359000001</v>
      </c>
      <c r="F12" s="7">
        <v>1153.04216</v>
      </c>
      <c r="G12" s="7">
        <v>742.75689475000001</v>
      </c>
      <c r="H12" s="7">
        <v>802.74399127000004</v>
      </c>
      <c r="I12" s="7">
        <v>795.48961637000002</v>
      </c>
      <c r="J12" s="24" t="s">
        <v>151</v>
      </c>
      <c r="K12" s="24" t="s">
        <v>156</v>
      </c>
      <c r="L12" s="24" t="s">
        <v>156</v>
      </c>
      <c r="M12" s="55"/>
      <c r="O12" s="1"/>
      <c r="P12" s="1"/>
      <c r="Q12" s="1"/>
      <c r="R12" s="1"/>
      <c r="S12" s="1"/>
      <c r="T12" s="1"/>
      <c r="U12" s="1"/>
      <c r="V12" s="1"/>
      <c r="W12" s="1"/>
    </row>
    <row r="13" spans="2:23">
      <c r="B13" s="6"/>
      <c r="C13" s="18" t="s">
        <v>366</v>
      </c>
      <c r="D13" s="7">
        <v>3114.6</v>
      </c>
      <c r="E13" s="7">
        <v>4113.6000000000004</v>
      </c>
      <c r="F13" s="7">
        <v>3798.7</v>
      </c>
      <c r="G13" s="7">
        <v>4066.2</v>
      </c>
      <c r="H13" s="7">
        <v>4629.7</v>
      </c>
      <c r="I13" s="7">
        <v>4758.3</v>
      </c>
      <c r="J13" s="24">
        <f>I13+BP!J43</f>
        <v>4809.8233442455812</v>
      </c>
      <c r="K13" s="24">
        <v>4779.042817354617</v>
      </c>
      <c r="L13" s="24">
        <f>K13+BP!L43</f>
        <v>4534.496255279988</v>
      </c>
      <c r="M13" s="55"/>
      <c r="N13" s="221"/>
      <c r="O13" s="1"/>
      <c r="P13" s="1"/>
      <c r="Q13" s="1"/>
      <c r="R13" s="1"/>
      <c r="S13" s="1"/>
      <c r="T13" s="1"/>
      <c r="U13" s="1"/>
      <c r="V13" s="1"/>
      <c r="W13" s="1"/>
    </row>
    <row r="14" spans="2:23">
      <c r="B14" s="6"/>
      <c r="C14" s="18"/>
      <c r="D14" s="24"/>
      <c r="E14" s="24"/>
      <c r="F14" s="24"/>
      <c r="G14" s="24"/>
      <c r="H14" s="24"/>
      <c r="I14" s="24"/>
      <c r="J14" s="24"/>
      <c r="K14" s="24"/>
      <c r="L14" s="24"/>
      <c r="M14" s="55"/>
      <c r="O14" s="1"/>
      <c r="P14" s="1"/>
      <c r="Q14" s="1"/>
      <c r="R14" s="1"/>
      <c r="S14" s="1"/>
      <c r="T14" s="1"/>
      <c r="U14" s="1"/>
      <c r="V14" s="1"/>
      <c r="W14" s="1"/>
    </row>
    <row r="15" spans="2:23">
      <c r="B15" s="6"/>
      <c r="C15" s="21" t="s">
        <v>367</v>
      </c>
      <c r="D15" s="25">
        <v>13726.699999999997</v>
      </c>
      <c r="E15" s="25">
        <v>16765.199999999997</v>
      </c>
      <c r="F15" s="25">
        <v>19391.899999999998</v>
      </c>
      <c r="G15" s="25">
        <v>20089.799999999996</v>
      </c>
      <c r="H15" s="25">
        <v>22142.699999999997</v>
      </c>
      <c r="I15" s="25">
        <v>24729.5</v>
      </c>
      <c r="J15" s="26">
        <v>28339.640829151278</v>
      </c>
      <c r="K15" s="26">
        <f>K16+K19+K23+K24</f>
        <v>32141.862859990273</v>
      </c>
      <c r="L15" s="26">
        <f>L16+L19+L23+L24</f>
        <v>36146.216455714428</v>
      </c>
      <c r="M15" s="452"/>
      <c r="O15" s="1"/>
      <c r="P15" s="1"/>
      <c r="Q15" s="1"/>
      <c r="R15" s="1"/>
      <c r="S15" s="1"/>
      <c r="T15" s="1"/>
      <c r="U15" s="1"/>
      <c r="V15" s="1"/>
      <c r="W15" s="1"/>
    </row>
    <row r="16" spans="2:23" outlineLevel="1">
      <c r="B16" s="6"/>
      <c r="C16" s="18" t="s">
        <v>368</v>
      </c>
      <c r="D16" s="7">
        <v>6906.1999999999989</v>
      </c>
      <c r="E16" s="7">
        <v>8800.2999999999993</v>
      </c>
      <c r="F16" s="7">
        <v>10878.499999999998</v>
      </c>
      <c r="G16" s="7">
        <v>12225.999999999998</v>
      </c>
      <c r="H16" s="7">
        <v>13691.599999999999</v>
      </c>
      <c r="I16" s="7">
        <v>15867.699999999999</v>
      </c>
      <c r="J16" s="24">
        <v>18217.148179294207</v>
      </c>
      <c r="K16" s="24">
        <v>20746.758419933009</v>
      </c>
      <c r="L16" s="24">
        <f>K16+BP!L24</f>
        <v>23436.622814805127</v>
      </c>
      <c r="M16" s="55"/>
      <c r="O16" s="1"/>
      <c r="P16" s="1"/>
      <c r="Q16" s="1"/>
      <c r="R16" s="1"/>
      <c r="S16" s="1"/>
      <c r="T16" s="1"/>
      <c r="U16" s="1"/>
      <c r="V16" s="1"/>
      <c r="W16" s="1"/>
    </row>
    <row r="17" spans="2:23" outlineLevel="1">
      <c r="B17" s="6"/>
      <c r="C17" s="19" t="s">
        <v>369</v>
      </c>
      <c r="D17" s="24">
        <v>6148.7999999999993</v>
      </c>
      <c r="E17" s="24">
        <v>8045.0999999999995</v>
      </c>
      <c r="F17" s="24">
        <v>10084.699999999999</v>
      </c>
      <c r="G17" s="24">
        <v>11606.699999999999</v>
      </c>
      <c r="H17" s="24">
        <v>12922.599999999999</v>
      </c>
      <c r="I17" s="24">
        <v>14387.999999999998</v>
      </c>
      <c r="J17" s="24">
        <v>16737.448179294206</v>
      </c>
      <c r="K17" s="24">
        <v>19267.058419933008</v>
      </c>
      <c r="L17" s="24">
        <f>L16-L18</f>
        <v>21956.922814805126</v>
      </c>
      <c r="M17" s="55"/>
      <c r="O17" s="1"/>
      <c r="P17" s="1"/>
      <c r="Q17" s="1"/>
      <c r="R17" s="1"/>
      <c r="S17" s="1"/>
      <c r="T17" s="1"/>
      <c r="U17" s="1"/>
      <c r="V17" s="1"/>
      <c r="W17" s="1"/>
    </row>
    <row r="18" spans="2:23" outlineLevel="1">
      <c r="B18" s="6"/>
      <c r="C18" s="19" t="s">
        <v>370</v>
      </c>
      <c r="D18" s="7">
        <v>757.40000000000009</v>
      </c>
      <c r="E18" s="7">
        <v>755.2</v>
      </c>
      <c r="F18" s="7">
        <v>793.80000000000007</v>
      </c>
      <c r="G18" s="7">
        <v>619.30000000000007</v>
      </c>
      <c r="H18" s="7">
        <v>769</v>
      </c>
      <c r="I18" s="7">
        <v>1479.7</v>
      </c>
      <c r="J18" s="24">
        <v>1479.7</v>
      </c>
      <c r="K18" s="24">
        <v>1479.7</v>
      </c>
      <c r="L18" s="24">
        <f>K18</f>
        <v>1479.7</v>
      </c>
      <c r="M18" s="55"/>
      <c r="O18" s="1"/>
      <c r="P18" s="1"/>
      <c r="Q18" s="1"/>
      <c r="R18" s="1"/>
      <c r="S18" s="1"/>
      <c r="T18" s="1"/>
      <c r="U18" s="1"/>
      <c r="V18" s="1"/>
      <c r="W18" s="1"/>
    </row>
    <row r="19" spans="2:23" outlineLevel="1">
      <c r="B19" s="6"/>
      <c r="C19" s="18" t="s">
        <v>362</v>
      </c>
      <c r="D19" s="7">
        <v>1177.4000000000001</v>
      </c>
      <c r="E19" s="7">
        <v>1359.4</v>
      </c>
      <c r="F19" s="7">
        <v>1183.7</v>
      </c>
      <c r="G19" s="7">
        <v>1229.3</v>
      </c>
      <c r="H19" s="7">
        <v>1278.8</v>
      </c>
      <c r="I19" s="7">
        <v>1281.3</v>
      </c>
      <c r="J19" s="24">
        <v>2066.1601875171009</v>
      </c>
      <c r="K19" s="24">
        <v>2847.9850453163467</v>
      </c>
      <c r="L19" s="24">
        <f>K19+BP!L28</f>
        <v>3640.5953125187252</v>
      </c>
      <c r="M19" s="55"/>
      <c r="O19" s="1"/>
      <c r="P19" s="1"/>
      <c r="Q19" s="1"/>
      <c r="R19" s="1"/>
      <c r="S19" s="1"/>
      <c r="T19" s="1"/>
      <c r="U19" s="1"/>
      <c r="V19" s="1"/>
      <c r="W19" s="1"/>
    </row>
    <row r="20" spans="2:23" outlineLevel="1">
      <c r="B20" s="5"/>
      <c r="C20" s="19" t="s">
        <v>369</v>
      </c>
      <c r="D20" s="7">
        <v>201</v>
      </c>
      <c r="E20" s="7">
        <v>213</v>
      </c>
      <c r="F20" s="7">
        <v>168</v>
      </c>
      <c r="G20" s="7">
        <v>178</v>
      </c>
      <c r="H20" s="7">
        <v>173</v>
      </c>
      <c r="I20" s="7">
        <v>171</v>
      </c>
      <c r="J20" s="24">
        <v>398.00000000000023</v>
      </c>
      <c r="K20" s="24">
        <v>642.406975938286</v>
      </c>
      <c r="L20" s="24">
        <f>L19-L21</f>
        <v>902.29745703815024</v>
      </c>
      <c r="M20" s="55"/>
      <c r="O20" s="1"/>
      <c r="P20" s="1"/>
      <c r="Q20" s="1"/>
      <c r="R20" s="1"/>
      <c r="S20" s="1"/>
      <c r="T20" s="1"/>
      <c r="U20" s="1"/>
      <c r="V20" s="1"/>
      <c r="W20" s="1"/>
    </row>
    <row r="21" spans="2:23" s="1" customFormat="1" ht="15" customHeight="1" outlineLevel="1">
      <c r="B21" s="30"/>
      <c r="C21" s="19" t="s">
        <v>370</v>
      </c>
      <c r="D21" s="7">
        <v>976.40000000000009</v>
      </c>
      <c r="E21" s="7">
        <v>1146.4000000000001</v>
      </c>
      <c r="F21" s="7">
        <v>1015.7</v>
      </c>
      <c r="G21" s="7">
        <v>1051.3</v>
      </c>
      <c r="H21" s="7">
        <v>1105.8</v>
      </c>
      <c r="I21" s="7">
        <v>1110.3</v>
      </c>
      <c r="J21" s="24">
        <v>1668.1601875171007</v>
      </c>
      <c r="K21" s="24">
        <v>2205.5780693780607</v>
      </c>
      <c r="L21" s="24">
        <f>L22+(K21-K22)</f>
        <v>2738.297855480575</v>
      </c>
      <c r="M21" s="55"/>
      <c r="N21" s="280"/>
    </row>
    <row r="22" spans="2:23" outlineLevel="1">
      <c r="B22" s="5"/>
      <c r="C22" s="27" t="s">
        <v>371</v>
      </c>
      <c r="D22" s="7">
        <v>966</v>
      </c>
      <c r="E22" s="7">
        <v>1122.0999999999999</v>
      </c>
      <c r="F22" s="7">
        <v>883.5</v>
      </c>
      <c r="G22" s="7">
        <v>985.2</v>
      </c>
      <c r="H22" s="7">
        <v>1103</v>
      </c>
      <c r="I22" s="7">
        <v>895.3</v>
      </c>
      <c r="J22" s="24">
        <v>1453.1601875171007</v>
      </c>
      <c r="K22" s="24">
        <v>1990.5780693780607</v>
      </c>
      <c r="L22" s="24">
        <f>K22+BP!L29</f>
        <v>2523.297855480575</v>
      </c>
      <c r="M22" s="55"/>
      <c r="N22" s="281"/>
      <c r="O22" s="1"/>
      <c r="P22" s="1"/>
      <c r="Q22" s="1"/>
      <c r="R22" s="1"/>
      <c r="S22" s="1"/>
      <c r="T22" s="1"/>
      <c r="U22" s="1"/>
      <c r="V22" s="1"/>
      <c r="W22" s="1"/>
    </row>
    <row r="23" spans="2:23" outlineLevel="1">
      <c r="B23" s="5"/>
      <c r="C23" s="18" t="s">
        <v>363</v>
      </c>
      <c r="D23" s="7">
        <v>102</v>
      </c>
      <c r="E23" s="7">
        <v>92</v>
      </c>
      <c r="F23" s="7">
        <v>99</v>
      </c>
      <c r="G23" s="7">
        <v>104</v>
      </c>
      <c r="H23" s="7">
        <v>96</v>
      </c>
      <c r="I23" s="7">
        <v>82</v>
      </c>
      <c r="J23" s="24">
        <v>102</v>
      </c>
      <c r="K23" s="24">
        <v>102</v>
      </c>
      <c r="L23" s="24">
        <f>K23</f>
        <v>102</v>
      </c>
      <c r="M23" s="55"/>
      <c r="N23" s="279"/>
      <c r="O23" s="1"/>
      <c r="P23" s="1"/>
      <c r="Q23" s="1"/>
      <c r="R23" s="1"/>
      <c r="S23" s="1"/>
      <c r="T23" s="1"/>
      <c r="U23" s="1"/>
      <c r="V23" s="1"/>
      <c r="W23" s="1"/>
    </row>
    <row r="24" spans="2:23" outlineLevel="1">
      <c r="B24" s="5"/>
      <c r="C24" s="18" t="s">
        <v>364</v>
      </c>
      <c r="D24" s="7">
        <v>5541.0999999999995</v>
      </c>
      <c r="E24" s="7">
        <v>6513.5</v>
      </c>
      <c r="F24" s="7">
        <v>7230.7</v>
      </c>
      <c r="G24" s="7">
        <v>6530.5</v>
      </c>
      <c r="H24" s="7">
        <v>7076.3</v>
      </c>
      <c r="I24" s="7">
        <v>7498.5</v>
      </c>
      <c r="J24" s="24">
        <v>7954.3324623399722</v>
      </c>
      <c r="K24" s="24">
        <v>8445.1193947409192</v>
      </c>
      <c r="L24" s="24">
        <f>K24+BP!L35</f>
        <v>8966.9983283905713</v>
      </c>
      <c r="M24" s="55"/>
      <c r="N24" s="279"/>
      <c r="O24" s="1"/>
      <c r="P24" s="1"/>
      <c r="Q24" s="1"/>
      <c r="R24" s="1"/>
      <c r="S24" s="1"/>
      <c r="T24" s="1"/>
      <c r="U24" s="1"/>
      <c r="V24" s="1"/>
      <c r="W24" s="1"/>
    </row>
    <row r="25" spans="2:23" outlineLevel="1">
      <c r="B25" s="5"/>
      <c r="C25" s="19" t="s">
        <v>372</v>
      </c>
      <c r="D25" s="7">
        <v>5512.2</v>
      </c>
      <c r="E25" s="7">
        <v>6464.6</v>
      </c>
      <c r="F25" s="7">
        <v>7154.8</v>
      </c>
      <c r="G25" s="7">
        <v>6208.2</v>
      </c>
      <c r="H25" s="7">
        <v>6757</v>
      </c>
      <c r="I25" s="7">
        <v>7174.2</v>
      </c>
      <c r="J25" s="24">
        <v>7088.2938242459886</v>
      </c>
      <c r="K25" s="24">
        <v>7382.7659836865578</v>
      </c>
      <c r="L25" s="24">
        <f>SUM(L26:L29)</f>
        <v>7591.5175571464188</v>
      </c>
      <c r="M25" s="55"/>
      <c r="N25" s="279"/>
      <c r="O25" s="1"/>
      <c r="P25" s="1"/>
      <c r="Q25" s="1"/>
      <c r="R25" s="1"/>
      <c r="S25" s="1"/>
      <c r="T25" s="1"/>
      <c r="U25" s="1"/>
      <c r="V25" s="1"/>
      <c r="W25" s="1"/>
    </row>
    <row r="26" spans="2:23" outlineLevel="1">
      <c r="B26" s="5"/>
      <c r="C26" s="27" t="s">
        <v>373</v>
      </c>
      <c r="D26" s="7">
        <v>94</v>
      </c>
      <c r="E26" s="7">
        <v>88.9</v>
      </c>
      <c r="F26" s="7">
        <v>80.599999999999994</v>
      </c>
      <c r="G26" s="7">
        <v>58</v>
      </c>
      <c r="H26" s="7">
        <v>53.5</v>
      </c>
      <c r="I26" s="7">
        <v>303.8</v>
      </c>
      <c r="J26" s="24">
        <v>35.560839309999999</v>
      </c>
      <c r="K26" s="24">
        <v>35.560839309999999</v>
      </c>
      <c r="L26" s="24">
        <f>K26</f>
        <v>35.560839309999999</v>
      </c>
      <c r="M26" s="55"/>
      <c r="N26" s="279"/>
      <c r="O26" s="1"/>
      <c r="P26" s="1"/>
      <c r="Q26" s="1"/>
      <c r="R26" s="1"/>
      <c r="S26" s="1"/>
      <c r="T26" s="1"/>
      <c r="U26" s="1"/>
      <c r="V26" s="1"/>
      <c r="W26" s="1"/>
    </row>
    <row r="27" spans="2:23" outlineLevel="1">
      <c r="B27" s="5"/>
      <c r="C27" s="27" t="s">
        <v>374</v>
      </c>
      <c r="D27" s="7">
        <v>1160.0999999999999</v>
      </c>
      <c r="E27" s="7">
        <v>1693.8</v>
      </c>
      <c r="F27" s="7">
        <v>2400</v>
      </c>
      <c r="G27" s="7">
        <v>1582.6</v>
      </c>
      <c r="H27" s="7">
        <v>1616.3</v>
      </c>
      <c r="I27" s="7">
        <v>2337.4</v>
      </c>
      <c r="J27" s="24">
        <v>2519.732984935989</v>
      </c>
      <c r="K27" s="24">
        <v>2814.2051443765577</v>
      </c>
      <c r="L27" s="24">
        <f>K27+BP!L36</f>
        <v>3022.9567178364186</v>
      </c>
      <c r="M27" s="55"/>
      <c r="N27" s="281"/>
      <c r="O27" s="1"/>
      <c r="P27" s="1"/>
      <c r="Q27" s="1"/>
      <c r="R27" s="1"/>
      <c r="S27" s="1"/>
      <c r="T27" s="1"/>
      <c r="U27" s="1"/>
      <c r="V27" s="1"/>
      <c r="W27" s="1"/>
    </row>
    <row r="28" spans="2:23" outlineLevel="1">
      <c r="B28" s="5"/>
      <c r="C28" s="27" t="s">
        <v>375</v>
      </c>
      <c r="D28" s="7">
        <v>564.5</v>
      </c>
      <c r="E28" s="7">
        <v>509.2</v>
      </c>
      <c r="F28" s="7">
        <v>466</v>
      </c>
      <c r="G28" s="7">
        <v>443.7</v>
      </c>
      <c r="H28" s="7">
        <v>921.3</v>
      </c>
      <c r="I28" s="7">
        <v>939.8</v>
      </c>
      <c r="J28" s="24">
        <v>939.8</v>
      </c>
      <c r="K28" s="24">
        <v>939.8</v>
      </c>
      <c r="L28" s="24">
        <f>K28</f>
        <v>939.8</v>
      </c>
      <c r="M28" s="55"/>
      <c r="N28" s="281"/>
      <c r="O28" s="1"/>
      <c r="P28" s="1"/>
      <c r="Q28" s="1"/>
      <c r="R28" s="1"/>
      <c r="S28" s="1"/>
      <c r="T28" s="1"/>
      <c r="U28" s="1"/>
      <c r="V28" s="1"/>
      <c r="W28" s="1"/>
    </row>
    <row r="29" spans="2:23" outlineLevel="1">
      <c r="B29" s="5"/>
      <c r="C29" s="27" t="s">
        <v>376</v>
      </c>
      <c r="D29" s="7">
        <v>3693.6000000000004</v>
      </c>
      <c r="E29" s="7">
        <v>4172.7000000000007</v>
      </c>
      <c r="F29" s="7">
        <v>4208.2</v>
      </c>
      <c r="G29" s="7">
        <v>4123.9000000000005</v>
      </c>
      <c r="H29" s="7">
        <v>4165.8999999999996</v>
      </c>
      <c r="I29" s="7">
        <v>3593.2</v>
      </c>
      <c r="J29" s="24">
        <v>3593.2</v>
      </c>
      <c r="K29" s="24">
        <v>3593.2</v>
      </c>
      <c r="L29" s="24">
        <f>K29</f>
        <v>3593.2</v>
      </c>
      <c r="M29" s="55"/>
      <c r="O29" s="1"/>
      <c r="P29" s="1"/>
      <c r="Q29" s="1"/>
      <c r="R29" s="1"/>
      <c r="S29" s="1"/>
      <c r="T29" s="1"/>
      <c r="U29" s="1"/>
      <c r="V29" s="1"/>
      <c r="W29" s="1"/>
    </row>
    <row r="30" spans="2:23">
      <c r="B30" s="5"/>
      <c r="C30" s="19"/>
      <c r="D30" s="7"/>
      <c r="E30" s="7"/>
      <c r="F30" s="7"/>
      <c r="G30" s="7"/>
      <c r="H30" s="7"/>
      <c r="I30" s="7"/>
      <c r="J30" s="7"/>
      <c r="K30" s="7"/>
      <c r="L30" s="110"/>
      <c r="M30" s="111"/>
      <c r="N30" s="267"/>
      <c r="O30" s="1"/>
      <c r="P30" s="1"/>
      <c r="Q30" s="1"/>
      <c r="R30" s="1"/>
      <c r="S30" s="1"/>
      <c r="T30" s="1"/>
      <c r="U30" s="1"/>
      <c r="V30" s="1"/>
      <c r="W30" s="1"/>
    </row>
    <row r="31" spans="2:23" s="1" customFormat="1" ht="33" customHeight="1">
      <c r="B31" s="613" t="s">
        <v>340</v>
      </c>
      <c r="C31" s="586"/>
      <c r="D31" s="586"/>
      <c r="E31" s="586"/>
      <c r="F31" s="586"/>
      <c r="G31" s="586"/>
      <c r="H31" s="586"/>
      <c r="I31" s="586"/>
      <c r="J31" s="586"/>
      <c r="K31" s="586"/>
      <c r="L31" s="586"/>
      <c r="M31" s="614"/>
    </row>
    <row r="32" spans="2:23">
      <c r="B32" s="5"/>
      <c r="C32" s="21" t="s">
        <v>377</v>
      </c>
      <c r="D32" s="7"/>
      <c r="E32" s="7"/>
      <c r="F32" s="7"/>
      <c r="G32" s="7"/>
      <c r="H32" s="7"/>
      <c r="I32" s="7"/>
      <c r="J32" s="7"/>
      <c r="K32" s="7"/>
      <c r="L32" s="7"/>
      <c r="M32" s="8"/>
      <c r="O32" s="1"/>
      <c r="P32" s="1"/>
      <c r="Q32" s="1"/>
      <c r="R32" s="1"/>
      <c r="S32" s="1"/>
      <c r="T32" s="1"/>
      <c r="U32" s="1"/>
      <c r="V32" s="1"/>
      <c r="W32" s="1"/>
    </row>
    <row r="33" spans="2:23">
      <c r="B33" s="5"/>
      <c r="C33" s="18" t="s">
        <v>359</v>
      </c>
      <c r="D33" s="13">
        <v>-16.61870084138787</v>
      </c>
      <c r="E33" s="13">
        <v>-19.816465646337253</v>
      </c>
      <c r="F33" s="13">
        <v>-27.760117490368135</v>
      </c>
      <c r="G33" s="13">
        <v>-29.760570540357211</v>
      </c>
      <c r="H33" s="13">
        <v>-28.068459176185762</v>
      </c>
      <c r="I33" s="13">
        <v>-30.759060334802733</v>
      </c>
      <c r="J33" s="13">
        <v>-35.164881757406221</v>
      </c>
      <c r="K33" s="13">
        <v>-39.25302463982446</v>
      </c>
      <c r="L33" s="13">
        <f>L5/L38*100</f>
        <v>-44.47909316858896</v>
      </c>
      <c r="M33" s="210"/>
      <c r="O33" s="1"/>
      <c r="P33" s="1"/>
      <c r="Q33" s="1"/>
      <c r="R33" s="1"/>
      <c r="S33" s="1"/>
      <c r="T33" s="1"/>
      <c r="U33" s="1"/>
      <c r="V33" s="1"/>
      <c r="W33" s="1"/>
    </row>
    <row r="34" spans="2:23">
      <c r="B34" s="5"/>
      <c r="C34" s="18" t="s">
        <v>360</v>
      </c>
      <c r="D34" s="13">
        <v>47.391603002677165</v>
      </c>
      <c r="E34" s="13">
        <v>47.03270531707647</v>
      </c>
      <c r="F34" s="13">
        <v>41.484489332387902</v>
      </c>
      <c r="G34" s="13">
        <v>43.378654625604248</v>
      </c>
      <c r="H34" s="13">
        <v>37.977413006478841</v>
      </c>
      <c r="I34" s="13">
        <v>33.700050434946625</v>
      </c>
      <c r="J34" s="13">
        <v>33.254050885717483</v>
      </c>
      <c r="K34" s="13">
        <v>32.818756719970565</v>
      </c>
      <c r="L34" s="13">
        <f>L7/L38*100</f>
        <v>31.742896647441558</v>
      </c>
      <c r="M34" s="210"/>
      <c r="O34" s="1"/>
      <c r="P34" s="1"/>
      <c r="Q34" s="1"/>
      <c r="R34" s="1"/>
      <c r="S34" s="1"/>
      <c r="T34" s="1"/>
      <c r="U34" s="1"/>
      <c r="V34" s="1"/>
      <c r="W34" s="1"/>
    </row>
    <row r="35" spans="2:23">
      <c r="B35" s="5"/>
      <c r="C35" s="18" t="s">
        <v>367</v>
      </c>
      <c r="D35" s="13">
        <v>64.010303844065035</v>
      </c>
      <c r="E35" s="13">
        <v>66.849170963413727</v>
      </c>
      <c r="F35" s="13">
        <v>69.24460682275604</v>
      </c>
      <c r="G35" s="13">
        <v>73.139225165961449</v>
      </c>
      <c r="H35" s="13">
        <v>66.045872182664596</v>
      </c>
      <c r="I35" s="13">
        <v>64.459110769749358</v>
      </c>
      <c r="J35" s="13">
        <v>68.418932643123711</v>
      </c>
      <c r="K35" s="13">
        <v>72.071781359795011</v>
      </c>
      <c r="L35" s="13">
        <f>L15/L38*100</f>
        <v>76.221989816030515</v>
      </c>
      <c r="M35" s="210"/>
    </row>
    <row r="36" spans="2:23">
      <c r="B36" s="5"/>
      <c r="C36" s="209"/>
      <c r="D36" s="7"/>
      <c r="E36" s="7"/>
      <c r="F36" s="7"/>
      <c r="G36" s="7"/>
      <c r="H36" s="7"/>
      <c r="I36" s="7"/>
      <c r="J36" s="7"/>
      <c r="K36" s="7"/>
      <c r="L36" s="7"/>
      <c r="M36" s="8"/>
    </row>
    <row r="37" spans="2:23">
      <c r="B37" s="5"/>
      <c r="C37" s="21" t="s">
        <v>378</v>
      </c>
      <c r="D37" s="7"/>
      <c r="E37" s="7"/>
      <c r="F37" s="7"/>
      <c r="G37" s="7"/>
      <c r="H37" s="7"/>
      <c r="I37" s="7"/>
      <c r="J37" s="7"/>
      <c r="K37" s="7"/>
      <c r="L37" s="7"/>
      <c r="M37" s="8"/>
    </row>
    <row r="38" spans="2:23">
      <c r="B38" s="5"/>
      <c r="C38" s="18" t="s">
        <v>379</v>
      </c>
      <c r="D38" s="7">
        <v>21444.516235135354</v>
      </c>
      <c r="E38" s="7">
        <v>25079.144226299413</v>
      </c>
      <c r="F38" s="7">
        <v>28004.924700687574</v>
      </c>
      <c r="G38" s="7">
        <v>27467.887381106226</v>
      </c>
      <c r="H38" s="7">
        <v>33526.243606503398</v>
      </c>
      <c r="I38" s="7">
        <v>38364.631011331832</v>
      </c>
      <c r="J38" s="7">
        <v>41420.758457271098</v>
      </c>
      <c r="K38" s="7">
        <v>44597.014606219367</v>
      </c>
      <c r="L38" s="7">
        <f>BP!L57</f>
        <v>47422.294462473328</v>
      </c>
      <c r="M38" s="8"/>
    </row>
    <row r="39" spans="2:23" ht="15.75" thickBot="1">
      <c r="B39" s="10"/>
      <c r="C39" s="592"/>
      <c r="D39" s="293"/>
      <c r="E39" s="293"/>
      <c r="F39" s="293"/>
      <c r="G39" s="293"/>
      <c r="H39" s="293"/>
      <c r="I39" s="293"/>
      <c r="J39" s="293"/>
      <c r="K39" s="293"/>
      <c r="L39" s="293"/>
      <c r="M39" s="12"/>
    </row>
    <row r="40" spans="2:23">
      <c r="N40" s="250"/>
      <c r="O40" s="250"/>
    </row>
    <row r="41" spans="2:23">
      <c r="N41" s="250"/>
      <c r="O41" s="250"/>
    </row>
    <row r="42" spans="2:23">
      <c r="N42" s="250"/>
      <c r="O42" s="250"/>
    </row>
    <row r="43" spans="2:23">
      <c r="P43" s="250"/>
    </row>
    <row r="44" spans="2:23">
      <c r="P44" s="250"/>
    </row>
    <row r="45" spans="2:23">
      <c r="P45" s="250"/>
    </row>
    <row r="46" spans="2:23">
      <c r="Q46" s="250"/>
    </row>
    <row r="47" spans="2:23">
      <c r="Q47" s="250"/>
    </row>
    <row r="48" spans="2:23">
      <c r="Q48" s="250"/>
    </row>
    <row r="49" spans="22:27">
      <c r="V49" s="250"/>
    </row>
    <row r="50" spans="22:27">
      <c r="V50" s="250"/>
    </row>
    <row r="51" spans="22:27">
      <c r="V51" s="250"/>
    </row>
    <row r="52" spans="22:27">
      <c r="W52" s="250"/>
    </row>
    <row r="53" spans="22:27">
      <c r="W53" s="250"/>
    </row>
    <row r="54" spans="22:27">
      <c r="W54" s="250"/>
    </row>
    <row r="55" spans="22:27">
      <c r="X55" s="250"/>
    </row>
    <row r="56" spans="22:27">
      <c r="X56" s="250"/>
    </row>
    <row r="57" spans="22:27">
      <c r="X57" s="250"/>
    </row>
    <row r="58" spans="22:27">
      <c r="Y58" s="250"/>
    </row>
    <row r="59" spans="22:27">
      <c r="Y59" s="250"/>
    </row>
    <row r="60" spans="22:27">
      <c r="Y60" s="250"/>
    </row>
    <row r="61" spans="22:27">
      <c r="Z61" s="250"/>
    </row>
    <row r="62" spans="22:27">
      <c r="Z62" s="250"/>
    </row>
    <row r="63" spans="22:27">
      <c r="Z63" s="250"/>
    </row>
    <row r="64" spans="22:27">
      <c r="AA64" s="250"/>
    </row>
    <row r="65" spans="27:31">
      <c r="AA65" s="250"/>
    </row>
    <row r="66" spans="27:31">
      <c r="AA66" s="250"/>
    </row>
    <row r="67" spans="27:31">
      <c r="AB67" s="250"/>
    </row>
    <row r="68" spans="27:31">
      <c r="AB68" s="250"/>
    </row>
    <row r="69" spans="27:31">
      <c r="AB69" s="250"/>
    </row>
    <row r="70" spans="27:31">
      <c r="AC70" s="250"/>
    </row>
    <row r="71" spans="27:31">
      <c r="AC71" s="250"/>
    </row>
    <row r="72" spans="27:31">
      <c r="AC72" s="250"/>
    </row>
    <row r="73" spans="27:31">
      <c r="AD73" s="250"/>
    </row>
    <row r="74" spans="27:31">
      <c r="AD74" s="250"/>
    </row>
    <row r="75" spans="27:31">
      <c r="AD75" s="250"/>
    </row>
    <row r="76" spans="27:31">
      <c r="AE76" s="250"/>
    </row>
    <row r="77" spans="27:31">
      <c r="AE77" s="250"/>
    </row>
    <row r="78" spans="27:31">
      <c r="AE78" s="250"/>
    </row>
  </sheetData>
  <pageMargins left="0.7" right="0.7" top="0.75" bottom="0.75" header="0.3" footer="0.3"/>
  <pageSetup scale="7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pageSetUpPr fitToPage="1"/>
  </sheetPr>
  <dimension ref="B1:O23"/>
  <sheetViews>
    <sheetView zoomScaleNormal="100" workbookViewId="0"/>
  </sheetViews>
  <sheetFormatPr baseColWidth="10" defaultColWidth="9.42578125" defaultRowHeight="15" outlineLevelRow="1"/>
  <cols>
    <col min="1" max="1" width="9.42578125" style="2"/>
    <col min="2" max="2" width="2.5703125" style="3" customWidth="1"/>
    <col min="3" max="3" width="58.5703125" style="3" customWidth="1"/>
    <col min="4" max="4" width="9.42578125" style="4" bestFit="1" customWidth="1"/>
    <col min="5" max="5" width="9.42578125" style="4"/>
    <col min="6" max="6" width="12.85546875" style="4" bestFit="1" customWidth="1"/>
    <col min="7" max="9" width="9.42578125" style="4"/>
    <col min="10" max="10" width="11.42578125" style="4" customWidth="1"/>
    <col min="11" max="11" width="10.42578125" style="4" customWidth="1"/>
    <col min="12" max="12" width="12.5703125" style="4" customWidth="1"/>
    <col min="13" max="13" width="4" style="2" customWidth="1"/>
    <col min="14" max="16384" width="9.42578125" style="2"/>
  </cols>
  <sheetData>
    <row r="1" spans="2:15" ht="15.75" thickBot="1"/>
    <row r="2" spans="2:15" s="1" customFormat="1" ht="33" customHeight="1">
      <c r="B2" s="393" t="s">
        <v>380</v>
      </c>
      <c r="C2" s="282"/>
      <c r="D2" s="282"/>
      <c r="E2" s="282"/>
      <c r="F2" s="282"/>
      <c r="G2" s="282"/>
      <c r="H2" s="282"/>
      <c r="I2" s="282"/>
      <c r="J2" s="282"/>
      <c r="K2" s="282"/>
      <c r="L2" s="282"/>
      <c r="M2" s="389"/>
    </row>
    <row r="3" spans="2:15" s="1" customFormat="1" ht="33" customHeight="1">
      <c r="B3" s="14"/>
      <c r="C3" s="16"/>
      <c r="D3" s="351">
        <v>2006</v>
      </c>
      <c r="E3" s="351">
        <v>2007</v>
      </c>
      <c r="F3" s="351">
        <v>2008</v>
      </c>
      <c r="G3" s="351">
        <v>2009</v>
      </c>
      <c r="H3" s="351">
        <v>2010</v>
      </c>
      <c r="I3" s="351">
        <v>2011</v>
      </c>
      <c r="J3" s="351">
        <v>2012</v>
      </c>
      <c r="K3" s="351">
        <v>2013</v>
      </c>
      <c r="L3" s="351">
        <v>2014</v>
      </c>
      <c r="M3" s="32"/>
    </row>
    <row r="4" spans="2:15" s="1" customFormat="1" ht="33" customHeight="1">
      <c r="B4" s="109"/>
      <c r="C4" s="110"/>
      <c r="D4" s="110" t="s">
        <v>314</v>
      </c>
      <c r="E4" s="110"/>
      <c r="F4" s="110"/>
      <c r="G4" s="110"/>
      <c r="H4" s="110"/>
      <c r="I4" s="110"/>
      <c r="J4" s="110"/>
      <c r="K4" s="110"/>
      <c r="L4" s="110"/>
      <c r="M4" s="32"/>
    </row>
    <row r="5" spans="2:15">
      <c r="B5" s="5"/>
      <c r="C5" s="23" t="s">
        <v>381</v>
      </c>
      <c r="D5" s="25">
        <v>7246</v>
      </c>
      <c r="E5" s="25">
        <v>8366.2000000000007</v>
      </c>
      <c r="F5" s="25">
        <v>8964.2999999999993</v>
      </c>
      <c r="G5" s="25">
        <v>7878.8000000000011</v>
      </c>
      <c r="H5" s="25">
        <v>8631.7999999999993</v>
      </c>
      <c r="I5" s="25">
        <v>9764.2000000000007</v>
      </c>
      <c r="J5" s="25">
        <v>10236.15401176309</v>
      </c>
      <c r="K5" s="25">
        <v>11068.044053064619</v>
      </c>
      <c r="L5" s="25">
        <f t="shared" ref="L5" si="0">SUM(L6:L10)</f>
        <v>11809.515412626995</v>
      </c>
      <c r="M5" s="212"/>
      <c r="N5" s="1"/>
      <c r="O5" s="1"/>
    </row>
    <row r="6" spans="2:15">
      <c r="B6" s="5"/>
      <c r="C6" s="18" t="s">
        <v>375</v>
      </c>
      <c r="D6" s="7">
        <v>1530.5</v>
      </c>
      <c r="E6" s="7">
        <v>1631.3</v>
      </c>
      <c r="F6" s="7">
        <v>1349.5</v>
      </c>
      <c r="G6" s="7">
        <v>1428.9</v>
      </c>
      <c r="H6" s="7">
        <v>2024.3</v>
      </c>
      <c r="I6" s="7">
        <v>1835.1</v>
      </c>
      <c r="J6" s="7">
        <v>2392.9601875171006</v>
      </c>
      <c r="K6" s="7">
        <v>2930.3780693780609</v>
      </c>
      <c r="L6" s="7">
        <f>PII!L22+PII!L28</f>
        <v>3463.0978554805752</v>
      </c>
      <c r="M6" s="212"/>
      <c r="N6" s="221"/>
      <c r="O6" s="1"/>
    </row>
    <row r="7" spans="2:15">
      <c r="B7" s="6"/>
      <c r="C7" s="18" t="s">
        <v>373</v>
      </c>
      <c r="D7" s="7">
        <v>94</v>
      </c>
      <c r="E7" s="7">
        <v>88.9</v>
      </c>
      <c r="F7" s="7">
        <v>80.599999999999994</v>
      </c>
      <c r="G7" s="7">
        <v>58</v>
      </c>
      <c r="H7" s="7">
        <v>53.5</v>
      </c>
      <c r="I7" s="7">
        <v>303.8</v>
      </c>
      <c r="J7" s="7">
        <v>35.560839309999999</v>
      </c>
      <c r="K7" s="7">
        <v>35.560839309999999</v>
      </c>
      <c r="L7" s="7">
        <f>PII!L26</f>
        <v>35.560839309999999</v>
      </c>
      <c r="M7" s="212"/>
      <c r="N7" s="221"/>
    </row>
    <row r="8" spans="2:15">
      <c r="B8" s="6"/>
      <c r="C8" s="18" t="s">
        <v>374</v>
      </c>
      <c r="D8" s="7">
        <v>1165.3</v>
      </c>
      <c r="E8" s="7">
        <v>1705.95</v>
      </c>
      <c r="F8" s="7">
        <v>2466.1</v>
      </c>
      <c r="G8" s="7">
        <v>1615.6499999999999</v>
      </c>
      <c r="H8" s="7">
        <v>1617.6999999999998</v>
      </c>
      <c r="I8" s="7">
        <v>2444.9</v>
      </c>
      <c r="J8" s="7">
        <v>2627.232984935989</v>
      </c>
      <c r="K8" s="7">
        <v>2921.7051443765577</v>
      </c>
      <c r="L8" s="7">
        <f>PII!L27+(PII!L21-PII!L22)/2</f>
        <v>3130.4567178364186</v>
      </c>
      <c r="M8" s="212"/>
      <c r="N8" s="221"/>
    </row>
    <row r="9" spans="2:15">
      <c r="B9" s="6"/>
      <c r="C9" s="18" t="s">
        <v>376</v>
      </c>
      <c r="D9" s="7">
        <v>3698.8</v>
      </c>
      <c r="E9" s="7">
        <v>4184.8500000000004</v>
      </c>
      <c r="F9" s="7">
        <v>4274.3</v>
      </c>
      <c r="G9" s="7">
        <v>4156.9500000000007</v>
      </c>
      <c r="H9" s="7">
        <v>4167.2999999999993</v>
      </c>
      <c r="I9" s="7">
        <v>3700.7</v>
      </c>
      <c r="J9" s="7">
        <v>3700.7</v>
      </c>
      <c r="K9" s="7">
        <v>3700.7</v>
      </c>
      <c r="L9" s="7">
        <f>PII!L29+(PII!L$21-PII!L$22)/2</f>
        <v>3700.7</v>
      </c>
      <c r="M9" s="212"/>
      <c r="N9" s="221"/>
    </row>
    <row r="10" spans="2:15">
      <c r="B10" s="5"/>
      <c r="C10" s="18" t="s">
        <v>382</v>
      </c>
      <c r="D10" s="7">
        <v>757.40000000000009</v>
      </c>
      <c r="E10" s="7">
        <v>755.2</v>
      </c>
      <c r="F10" s="7">
        <v>793.80000000000007</v>
      </c>
      <c r="G10" s="7">
        <v>619.30000000000007</v>
      </c>
      <c r="H10" s="7">
        <v>769</v>
      </c>
      <c r="I10" s="7">
        <v>1479.7</v>
      </c>
      <c r="J10" s="7">
        <v>1479.7</v>
      </c>
      <c r="K10" s="7">
        <v>1479.7</v>
      </c>
      <c r="L10" s="7">
        <f>PII!L18</f>
        <v>1479.7</v>
      </c>
      <c r="M10" s="212"/>
      <c r="N10" s="221"/>
    </row>
    <row r="11" spans="2:15">
      <c r="B11" s="5"/>
      <c r="C11" s="19"/>
      <c r="D11" s="7"/>
      <c r="E11" s="7"/>
      <c r="F11" s="7"/>
      <c r="G11" s="7"/>
      <c r="H11" s="7"/>
      <c r="I11" s="7"/>
      <c r="J11" s="7"/>
      <c r="K11" s="7"/>
      <c r="L11" s="7"/>
      <c r="M11" s="171"/>
    </row>
    <row r="12" spans="2:15">
      <c r="B12" s="5"/>
      <c r="C12" s="18" t="s">
        <v>383</v>
      </c>
      <c r="D12" s="7">
        <v>2411.82306913</v>
      </c>
      <c r="E12" s="7">
        <v>3093.5912795100003</v>
      </c>
      <c r="F12" s="7">
        <v>3625.4300119499999</v>
      </c>
      <c r="G12" s="7">
        <v>2290.0027522500004</v>
      </c>
      <c r="H12" s="7">
        <v>2204.613303959999</v>
      </c>
      <c r="I12" s="7">
        <v>1709.17788903</v>
      </c>
      <c r="J12" s="7">
        <v>2556.0993268709999</v>
      </c>
      <c r="K12" s="7">
        <v>2763.8329709875243</v>
      </c>
      <c r="L12" s="7">
        <f>(K12/K5)*L5</f>
        <v>2948.987907196331</v>
      </c>
      <c r="M12" s="171"/>
    </row>
    <row r="13" spans="2:15">
      <c r="B13" s="5"/>
      <c r="C13" s="18" t="s">
        <v>384</v>
      </c>
      <c r="D13" s="7">
        <v>4834.1769308700004</v>
      </c>
      <c r="E13" s="7">
        <v>5272.6087204900005</v>
      </c>
      <c r="F13" s="7">
        <v>5338.8699880499998</v>
      </c>
      <c r="G13" s="7">
        <v>5588.7972477499998</v>
      </c>
      <c r="H13" s="7">
        <v>6427.1866960400002</v>
      </c>
      <c r="I13" s="7">
        <v>8055.0221109700005</v>
      </c>
      <c r="J13" s="7">
        <v>7680.0546848920903</v>
      </c>
      <c r="K13" s="7">
        <v>8304.211082077094</v>
      </c>
      <c r="L13" s="7">
        <f>L5-L12</f>
        <v>8860.527505430664</v>
      </c>
      <c r="M13" s="171"/>
    </row>
    <row r="14" spans="2:15">
      <c r="B14" s="5"/>
      <c r="C14" s="18" t="s">
        <v>385</v>
      </c>
      <c r="D14" s="7">
        <v>2918.5548200751518</v>
      </c>
      <c r="E14" s="7">
        <v>4124.6837854026198</v>
      </c>
      <c r="F14" s="7">
        <v>4265.6503168382014</v>
      </c>
      <c r="G14" s="7">
        <v>2924.2015430767542</v>
      </c>
      <c r="H14" s="7">
        <v>3185.0315853307479</v>
      </c>
      <c r="I14" s="7">
        <v>2757.412161149</v>
      </c>
      <c r="J14" s="7" t="s">
        <v>151</v>
      </c>
      <c r="K14" s="28" t="s">
        <v>156</v>
      </c>
      <c r="L14" s="7" t="s">
        <v>156</v>
      </c>
      <c r="M14" s="171"/>
    </row>
    <row r="15" spans="2:15" ht="15.75" thickBot="1">
      <c r="B15" s="10"/>
      <c r="C15" s="592"/>
      <c r="D15" s="293"/>
      <c r="E15" s="293"/>
      <c r="F15" s="293"/>
      <c r="G15" s="293"/>
      <c r="H15" s="293"/>
      <c r="I15" s="293"/>
      <c r="J15" s="625"/>
      <c r="K15" s="625"/>
      <c r="L15" s="624"/>
      <c r="M15" s="173"/>
    </row>
    <row r="16" spans="2:15" hidden="1" outlineLevel="1">
      <c r="B16" s="5"/>
      <c r="C16" s="21" t="s">
        <v>1123</v>
      </c>
      <c r="D16" s="7"/>
      <c r="E16" s="7"/>
      <c r="F16" s="7"/>
      <c r="G16" s="7"/>
      <c r="H16" s="7"/>
      <c r="I16" s="7"/>
      <c r="J16" s="7"/>
      <c r="K16" s="7"/>
      <c r="L16" s="7"/>
      <c r="M16" s="171"/>
    </row>
    <row r="17" spans="2:13" hidden="1" outlineLevel="1">
      <c r="B17" s="5"/>
      <c r="C17" s="18" t="s">
        <v>1124</v>
      </c>
      <c r="D17" s="7">
        <v>7246</v>
      </c>
      <c r="E17" s="7">
        <v>8366.2000000000007</v>
      </c>
      <c r="F17" s="7">
        <v>8964.2999999999993</v>
      </c>
      <c r="G17" s="7">
        <v>7878.7999999999993</v>
      </c>
      <c r="H17" s="7">
        <v>8631.7999999999993</v>
      </c>
      <c r="I17" s="7">
        <v>9764.2000000000007</v>
      </c>
      <c r="J17" s="7">
        <v>3147.8601875171007</v>
      </c>
      <c r="K17" s="7">
        <v>11068.044053064619</v>
      </c>
      <c r="L17" s="7">
        <f>PII!L18+PII!L21+PII!L25</f>
        <v>11809.515412626994</v>
      </c>
      <c r="M17" s="171"/>
    </row>
    <row r="18" spans="2:13" hidden="1" outlineLevel="1">
      <c r="B18" s="5"/>
      <c r="C18" s="18" t="s">
        <v>1125</v>
      </c>
      <c r="D18" s="7">
        <v>1530.5</v>
      </c>
      <c r="E18" s="7">
        <v>1631.3</v>
      </c>
      <c r="F18" s="7">
        <v>1349.5</v>
      </c>
      <c r="G18" s="7">
        <v>1428.9</v>
      </c>
      <c r="H18" s="7">
        <v>2024.3</v>
      </c>
      <c r="I18" s="7">
        <v>1835.1</v>
      </c>
      <c r="J18" s="7">
        <v>2392.9601875171006</v>
      </c>
      <c r="K18" s="7">
        <v>2930.3780693780609</v>
      </c>
      <c r="L18" s="7">
        <f>PII!L22+PII!L28</f>
        <v>3463.0978554805752</v>
      </c>
      <c r="M18" s="171"/>
    </row>
    <row r="19" spans="2:13" collapsed="1">
      <c r="B19" s="5"/>
      <c r="C19" s="19"/>
      <c r="D19" s="7"/>
      <c r="E19" s="7"/>
      <c r="F19" s="7"/>
      <c r="G19" s="7"/>
      <c r="H19" s="7"/>
      <c r="I19" s="7"/>
      <c r="J19" s="7"/>
      <c r="K19" s="7"/>
      <c r="L19" s="7"/>
      <c r="M19" s="171"/>
    </row>
    <row r="20" spans="2:13" hidden="1" outlineLevel="1">
      <c r="B20" s="5"/>
      <c r="C20" s="21" t="s">
        <v>1126</v>
      </c>
      <c r="D20" s="7"/>
      <c r="E20" s="7"/>
      <c r="F20" s="7"/>
      <c r="G20" s="7"/>
      <c r="H20" s="7"/>
      <c r="I20" s="7"/>
      <c r="J20" s="7"/>
      <c r="K20" s="7"/>
      <c r="L20" s="7"/>
      <c r="M20" s="171"/>
    </row>
    <row r="21" spans="2:13" hidden="1" outlineLevel="1">
      <c r="B21" s="5"/>
      <c r="C21" s="18" t="s">
        <v>1127</v>
      </c>
      <c r="D21" s="7">
        <v>705.88846326435669</v>
      </c>
      <c r="E21" s="7">
        <v>945.16354056515206</v>
      </c>
      <c r="F21" s="7">
        <v>1097.3537734526194</v>
      </c>
      <c r="G21" s="7">
        <v>890.14756458820182</v>
      </c>
      <c r="H21" s="7">
        <v>1472.5882391167545</v>
      </c>
      <c r="I21" s="7">
        <v>2608.2536963007492</v>
      </c>
      <c r="J21" s="7">
        <v>673.26684604108959</v>
      </c>
      <c r="K21" s="7">
        <v>624.1563971850037</v>
      </c>
      <c r="L21" s="7">
        <f>L13-K13+L22</f>
        <v>556.31642335356992</v>
      </c>
      <c r="M21" s="171"/>
    </row>
    <row r="22" spans="2:13" hidden="1" outlineLevel="1">
      <c r="B22" s="5"/>
      <c r="C22" s="18" t="s">
        <v>1128</v>
      </c>
      <c r="D22" s="7">
        <v>612.26810316435603</v>
      </c>
      <c r="E22" s="7">
        <v>506.73175094515199</v>
      </c>
      <c r="F22" s="7">
        <v>1031.09250589262</v>
      </c>
      <c r="G22" s="7">
        <v>640.22030488820189</v>
      </c>
      <c r="H22" s="7">
        <v>634.19879082675402</v>
      </c>
      <c r="I22" s="7">
        <v>980.41828137074901</v>
      </c>
      <c r="J22" s="7">
        <v>1048.2342721189998</v>
      </c>
      <c r="K22" s="7"/>
      <c r="L22" s="7"/>
      <c r="M22" s="171"/>
    </row>
    <row r="23" spans="2:13" s="49" customFormat="1" ht="15.75" collapsed="1" thickBot="1">
      <c r="B23" s="858"/>
      <c r="C23" s="859" t="s">
        <v>386</v>
      </c>
      <c r="D23" s="624">
        <v>49.891079776758346</v>
      </c>
      <c r="E23" s="624">
        <v>58.672877952955758</v>
      </c>
      <c r="F23" s="624">
        <v>67.906317630225203</v>
      </c>
      <c r="G23" s="624">
        <v>40.974876180593874</v>
      </c>
      <c r="H23" s="624">
        <v>34.301373341439316</v>
      </c>
      <c r="I23" s="624">
        <v>21.218785814408868</v>
      </c>
      <c r="J23" s="624">
        <v>33.282306334344995</v>
      </c>
      <c r="K23" s="624">
        <v>33.282306334345002</v>
      </c>
      <c r="L23" s="624">
        <f t="shared" ref="L23" si="1">100*L12/L13</f>
        <v>33.282306334345002</v>
      </c>
      <c r="M23" s="860"/>
    </row>
  </sheetData>
  <pageMargins left="0.7" right="0.7" top="0.75" bottom="0.75" header="0.3" footer="0.3"/>
  <pageSetup scale="6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249977111117893"/>
    <pageSetUpPr fitToPage="1"/>
  </sheetPr>
  <dimension ref="B1:AB157"/>
  <sheetViews>
    <sheetView topLeftCell="A7" zoomScaleNormal="100" workbookViewId="0"/>
  </sheetViews>
  <sheetFormatPr baseColWidth="10" defaultColWidth="9.42578125" defaultRowHeight="15" outlineLevelRow="1"/>
  <cols>
    <col min="1" max="1" width="9.42578125" style="2"/>
    <col min="2" max="2" width="2.5703125" style="3" customWidth="1"/>
    <col min="3" max="3" width="58.5703125" style="3" customWidth="1"/>
    <col min="4" max="4" width="9.42578125" style="4" bestFit="1" customWidth="1"/>
    <col min="5" max="10" width="9.42578125" style="4"/>
    <col min="11" max="11" width="11.28515625" style="4" customWidth="1"/>
    <col min="12" max="12" width="12.5703125" style="4" customWidth="1"/>
    <col min="13" max="16384" width="9.42578125" style="2"/>
  </cols>
  <sheetData>
    <row r="1" spans="2:12" ht="15.75" thickBot="1"/>
    <row r="2" spans="2:12" s="1" customFormat="1" ht="33" customHeight="1">
      <c r="B2" s="393" t="s">
        <v>387</v>
      </c>
      <c r="C2" s="449"/>
      <c r="D2" s="449"/>
      <c r="E2" s="449"/>
      <c r="F2" s="449"/>
      <c r="G2" s="449"/>
      <c r="H2" s="449"/>
      <c r="I2" s="449"/>
      <c r="J2" s="449"/>
      <c r="K2" s="449"/>
      <c r="L2" s="394"/>
    </row>
    <row r="3" spans="2:12" s="1" customFormat="1" ht="33" customHeight="1">
      <c r="B3" s="14"/>
      <c r="C3" s="16"/>
      <c r="D3" s="351">
        <v>2006</v>
      </c>
      <c r="E3" s="351">
        <v>2007</v>
      </c>
      <c r="F3" s="351">
        <v>2008</v>
      </c>
      <c r="G3" s="351">
        <v>2009</v>
      </c>
      <c r="H3" s="351">
        <v>2010</v>
      </c>
      <c r="I3" s="351">
        <v>2011</v>
      </c>
      <c r="J3" s="351">
        <v>2012</v>
      </c>
      <c r="K3" s="351">
        <v>2013</v>
      </c>
      <c r="L3" s="15">
        <v>2014</v>
      </c>
    </row>
    <row r="4" spans="2:12" s="1" customFormat="1" ht="33" customHeight="1">
      <c r="B4" s="109" t="s">
        <v>388</v>
      </c>
      <c r="C4" s="110"/>
      <c r="D4" s="110"/>
      <c r="E4" s="110"/>
      <c r="F4" s="110"/>
      <c r="G4" s="110"/>
      <c r="H4" s="110"/>
      <c r="I4" s="110"/>
      <c r="J4" s="110"/>
      <c r="K4" s="110"/>
      <c r="L4" s="111"/>
    </row>
    <row r="5" spans="2:12" ht="15.75" thickBot="1">
      <c r="B5" s="5"/>
      <c r="C5" s="23" t="s">
        <v>377</v>
      </c>
      <c r="D5" s="25"/>
      <c r="E5" s="25"/>
      <c r="F5" s="25"/>
      <c r="G5" s="25"/>
      <c r="H5" s="25"/>
      <c r="I5" s="25"/>
      <c r="J5" s="25"/>
      <c r="K5" s="25"/>
      <c r="L5" s="8"/>
    </row>
    <row r="6" spans="2:12" ht="15.75" thickBot="1">
      <c r="B6" s="5"/>
      <c r="C6" s="18" t="s">
        <v>389</v>
      </c>
      <c r="D6" s="13">
        <v>-16.61870084138787</v>
      </c>
      <c r="E6" s="13">
        <v>-19.816465646337253</v>
      </c>
      <c r="F6" s="13">
        <v>-27.760117490368135</v>
      </c>
      <c r="G6" s="13">
        <v>-29.760570540357211</v>
      </c>
      <c r="H6" s="13">
        <v>-28.068459176185762</v>
      </c>
      <c r="I6" s="13">
        <v>-30.759060334802733</v>
      </c>
      <c r="J6" s="13">
        <v>-35.164881757406221</v>
      </c>
      <c r="K6" s="13">
        <v>-39.25302463982446</v>
      </c>
      <c r="L6" s="455">
        <f>L30/L23*100</f>
        <v>-44.47909316858896</v>
      </c>
    </row>
    <row r="7" spans="2:12" s="1" customFormat="1" ht="15" customHeight="1" thickBot="1">
      <c r="B7" s="30"/>
      <c r="C7" s="18" t="s">
        <v>390</v>
      </c>
      <c r="D7" s="13">
        <v>47.391603002677165</v>
      </c>
      <c r="E7" s="13">
        <v>47.03270531707647</v>
      </c>
      <c r="F7" s="13">
        <v>41.484489332387902</v>
      </c>
      <c r="G7" s="13">
        <v>43.378654625604248</v>
      </c>
      <c r="H7" s="13">
        <v>37.977413006478841</v>
      </c>
      <c r="I7" s="13">
        <v>33.700050434946625</v>
      </c>
      <c r="J7" s="13">
        <v>33.254050885717483</v>
      </c>
      <c r="K7" s="13">
        <v>32.818756719970565</v>
      </c>
      <c r="L7" s="458">
        <f>L31/L23*100</f>
        <v>31.742896647441558</v>
      </c>
    </row>
    <row r="8" spans="2:12" s="1" customFormat="1" ht="15.75" thickBot="1">
      <c r="B8" s="30"/>
      <c r="C8" s="18" t="s">
        <v>391</v>
      </c>
      <c r="D8" s="13">
        <v>64.010303844065035</v>
      </c>
      <c r="E8" s="13">
        <v>66.849170963413727</v>
      </c>
      <c r="F8" s="13">
        <v>69.24460682275604</v>
      </c>
      <c r="G8" s="13">
        <v>73.139225165961449</v>
      </c>
      <c r="H8" s="13">
        <v>66.045872182664596</v>
      </c>
      <c r="I8" s="13">
        <v>64.459110769749358</v>
      </c>
      <c r="J8" s="13">
        <v>68.418932643123711</v>
      </c>
      <c r="K8" s="13">
        <v>72.071781359795011</v>
      </c>
      <c r="L8" s="456">
        <f>L33/L23*100</f>
        <v>76.221989816030515</v>
      </c>
    </row>
    <row r="9" spans="2:12" ht="15.75" thickBot="1">
      <c r="B9" s="5"/>
      <c r="C9" s="18" t="s">
        <v>392</v>
      </c>
      <c r="D9" s="13">
        <v>33.789524186737921</v>
      </c>
      <c r="E9" s="13">
        <v>33.3591925007821</v>
      </c>
      <c r="F9" s="13">
        <v>32.009727202658425</v>
      </c>
      <c r="G9" s="13">
        <v>28.683676653703738</v>
      </c>
      <c r="H9" s="13">
        <v>25.746397661817412</v>
      </c>
      <c r="I9" s="13">
        <v>25.451046296042652</v>
      </c>
      <c r="J9" s="13">
        <v>24.712618486507242</v>
      </c>
      <c r="K9" s="13">
        <v>24.817903509445006</v>
      </c>
      <c r="L9" s="458">
        <f>L34/L23*100</f>
        <v>24.902876477164586</v>
      </c>
    </row>
    <row r="10" spans="2:12" ht="15.75" thickBot="1">
      <c r="B10" s="5"/>
      <c r="C10" s="18" t="s">
        <v>393</v>
      </c>
      <c r="D10" s="13">
        <v>65.43611146626624</v>
      </c>
      <c r="E10" s="13">
        <v>65.098207128016156</v>
      </c>
      <c r="F10" s="13">
        <v>65.727009515852913</v>
      </c>
      <c r="G10" s="13">
        <v>63.379566311069155</v>
      </c>
      <c r="H10" s="13">
        <v>62.385477255874108</v>
      </c>
      <c r="I10" s="13">
        <v>63.587787106984948</v>
      </c>
      <c r="J10" s="13">
        <v>60.214682465863397</v>
      </c>
      <c r="K10" s="13">
        <v>61.873741273235183</v>
      </c>
      <c r="L10" s="456">
        <f>L34/L24*100</f>
        <v>62.385067379185166</v>
      </c>
    </row>
    <row r="11" spans="2:12" ht="15.75" thickBot="1">
      <c r="B11" s="5"/>
      <c r="C11" s="18" t="s">
        <v>394</v>
      </c>
      <c r="D11" s="13">
        <v>4.0997339064422444</v>
      </c>
      <c r="E11" s="13">
        <v>3.7677990222419271</v>
      </c>
      <c r="F11" s="13">
        <v>4.9408899351857487</v>
      </c>
      <c r="G11" s="13">
        <v>3.4521049680014153</v>
      </c>
      <c r="H11" s="13">
        <v>2.8061562812371212</v>
      </c>
      <c r="I11" s="13">
        <v>3.2960522440506361</v>
      </c>
      <c r="J11" s="13">
        <v>3.2210736383296261</v>
      </c>
      <c r="K11" s="13">
        <v>3.1580854234686964</v>
      </c>
      <c r="L11" s="458">
        <f>L29/L23*100</f>
        <v>3.172890824188805</v>
      </c>
    </row>
    <row r="12" spans="2:12" ht="15.75" thickBot="1">
      <c r="B12" s="5"/>
      <c r="C12" s="18" t="s">
        <v>395</v>
      </c>
      <c r="D12" s="13">
        <v>7.939462047508786</v>
      </c>
      <c r="E12" s="13">
        <v>7.3526048677854323</v>
      </c>
      <c r="F12" s="13">
        <v>10.145351059404371</v>
      </c>
      <c r="G12" s="13">
        <v>7.6277849026709656</v>
      </c>
      <c r="H12" s="13">
        <v>6.7995298277852045</v>
      </c>
      <c r="I12" s="13">
        <v>8.2349725803131513</v>
      </c>
      <c r="J12" s="13">
        <v>7.8484571125912481</v>
      </c>
      <c r="K12" s="13">
        <v>7.8734515321212628</v>
      </c>
      <c r="L12" s="457">
        <f>L29/L24*100</f>
        <v>7.9485198440961105</v>
      </c>
    </row>
    <row r="13" spans="2:12">
      <c r="B13" s="5"/>
      <c r="C13" s="18" t="s">
        <v>396</v>
      </c>
      <c r="D13" s="13">
        <v>2.6501515650365697</v>
      </c>
      <c r="E13" s="13">
        <v>3.0006027486830478</v>
      </c>
      <c r="F13" s="13">
        <v>3.7114513676672645</v>
      </c>
      <c r="G13" s="13">
        <v>3.3106332331640043</v>
      </c>
      <c r="H13" s="13">
        <v>3.2169384372995697</v>
      </c>
      <c r="I13" s="13">
        <v>2.9821837688561987</v>
      </c>
      <c r="J13" s="13">
        <v>2.8376926543968959</v>
      </c>
      <c r="K13" s="13">
        <v>2.6258452100939378</v>
      </c>
      <c r="L13" s="615">
        <f>L32/(L25/12)</f>
        <v>2.5029508081115828</v>
      </c>
    </row>
    <row r="14" spans="2:12">
      <c r="B14" s="5"/>
      <c r="C14" s="18" t="s">
        <v>397</v>
      </c>
      <c r="D14" s="13">
        <v>106.71720053282398</v>
      </c>
      <c r="E14" s="13">
        <v>99.731281572617874</v>
      </c>
      <c r="F14" s="13">
        <v>89.053244355380826</v>
      </c>
      <c r="G14" s="13">
        <v>139.0533429416657</v>
      </c>
      <c r="H14" s="13">
        <v>145.35805614371108</v>
      </c>
      <c r="I14" s="13">
        <v>172.56397382454568</v>
      </c>
      <c r="J14" s="13" t="s">
        <v>151</v>
      </c>
      <c r="K14" s="13" t="s">
        <v>156</v>
      </c>
      <c r="L14" s="210" t="s">
        <v>156</v>
      </c>
    </row>
    <row r="15" spans="2:12">
      <c r="B15" s="5"/>
      <c r="C15" s="19"/>
      <c r="D15" s="7"/>
      <c r="E15" s="7"/>
      <c r="F15" s="7"/>
      <c r="G15" s="7"/>
      <c r="H15" s="7"/>
      <c r="I15" s="7"/>
      <c r="J15" s="7"/>
      <c r="K15" s="7"/>
      <c r="L15" s="8"/>
    </row>
    <row r="16" spans="2:12" outlineLevel="1">
      <c r="B16" s="5"/>
      <c r="C16" s="23" t="s">
        <v>398</v>
      </c>
      <c r="D16" s="7"/>
      <c r="E16" s="7"/>
      <c r="F16" s="7"/>
      <c r="G16" s="7"/>
      <c r="H16" s="7"/>
      <c r="I16" s="7"/>
      <c r="J16" s="7"/>
      <c r="K16" s="7"/>
      <c r="L16" s="8"/>
    </row>
    <row r="17" spans="2:12" outlineLevel="1">
      <c r="B17" s="5"/>
      <c r="C17" s="18" t="s">
        <v>399</v>
      </c>
      <c r="D17" s="13" t="s">
        <v>151</v>
      </c>
      <c r="E17" s="13">
        <v>5.6135586272274249</v>
      </c>
      <c r="F17" s="13">
        <v>4.0691266841695279</v>
      </c>
      <c r="G17" s="13">
        <v>3.6572839916642423</v>
      </c>
      <c r="H17" s="13">
        <v>3.7139776870616452</v>
      </c>
      <c r="I17" s="13">
        <v>3.088714938030007</v>
      </c>
      <c r="J17" s="13">
        <v>2.8595379779394254</v>
      </c>
      <c r="K17" s="13">
        <v>2.5815359971167657</v>
      </c>
      <c r="L17" s="8"/>
    </row>
    <row r="18" spans="2:12" outlineLevel="1">
      <c r="B18" s="5"/>
      <c r="C18" s="18" t="s">
        <v>400</v>
      </c>
      <c r="D18" s="13" t="s">
        <v>151</v>
      </c>
      <c r="E18" s="13">
        <v>9.5399132220417062</v>
      </c>
      <c r="F18" s="13">
        <v>5.1136136577052191</v>
      </c>
      <c r="G18" s="13">
        <v>8.3391138133025891</v>
      </c>
      <c r="H18" s="13">
        <v>8.8123744929635297</v>
      </c>
      <c r="I18" s="13">
        <v>6.5555557440789238</v>
      </c>
      <c r="J18" s="13">
        <v>7.6843720198985839</v>
      </c>
      <c r="K18" s="13">
        <v>6.7759764828144924</v>
      </c>
      <c r="L18" s="8"/>
    </row>
    <row r="19" spans="2:12" outlineLevel="1">
      <c r="B19" s="5"/>
      <c r="C19" s="18" t="s">
        <v>401</v>
      </c>
      <c r="D19" s="7">
        <v>115.29074593566887</v>
      </c>
      <c r="E19" s="7">
        <v>186.52147587007141</v>
      </c>
      <c r="F19" s="7">
        <v>106.42631647318946</v>
      </c>
      <c r="G19" s="7">
        <v>139.03769652286229</v>
      </c>
      <c r="H19" s="7">
        <v>232.19663304577725</v>
      </c>
      <c r="I19" s="7">
        <v>266.03478799416916</v>
      </c>
      <c r="J19" s="7">
        <v>64.228661850569381</v>
      </c>
      <c r="K19" s="13">
        <v>173.39618775417537</v>
      </c>
      <c r="L19" s="8"/>
    </row>
    <row r="20" spans="2:12" outlineLevel="1">
      <c r="B20" s="5"/>
      <c r="C20" s="19"/>
      <c r="D20" s="7"/>
      <c r="E20" s="7"/>
      <c r="F20" s="7"/>
      <c r="G20" s="7"/>
      <c r="H20" s="7"/>
      <c r="I20" s="7"/>
      <c r="J20" s="7"/>
      <c r="K20" s="7"/>
      <c r="L20" s="8"/>
    </row>
    <row r="21" spans="2:12" s="1" customFormat="1" ht="33" customHeight="1">
      <c r="B21" s="109" t="s">
        <v>314</v>
      </c>
      <c r="C21" s="110"/>
      <c r="D21" s="110"/>
      <c r="E21" s="110"/>
      <c r="F21" s="110"/>
      <c r="G21" s="110"/>
      <c r="H21" s="110"/>
      <c r="I21" s="110"/>
      <c r="J21" s="110"/>
      <c r="K21" s="110"/>
      <c r="L21" s="111"/>
    </row>
    <row r="22" spans="2:12">
      <c r="B22" s="5"/>
      <c r="C22" s="21" t="s">
        <v>378</v>
      </c>
      <c r="D22" s="7"/>
      <c r="E22" s="7"/>
      <c r="F22" s="7"/>
      <c r="G22" s="7"/>
      <c r="H22" s="7"/>
      <c r="I22" s="7"/>
      <c r="J22" s="7"/>
      <c r="K22" s="7"/>
      <c r="L22" s="8"/>
    </row>
    <row r="23" spans="2:12" ht="15.75" thickBot="1">
      <c r="B23" s="5"/>
      <c r="C23" s="18" t="s">
        <v>379</v>
      </c>
      <c r="D23" s="7">
        <v>21444.516235135354</v>
      </c>
      <c r="E23" s="7">
        <v>25079.144226299413</v>
      </c>
      <c r="F23" s="7">
        <v>28004.924700687574</v>
      </c>
      <c r="G23" s="7">
        <v>27467.887381106226</v>
      </c>
      <c r="H23" s="7">
        <v>33526.243606503398</v>
      </c>
      <c r="I23" s="7">
        <v>38364.631011331832</v>
      </c>
      <c r="J23" s="7">
        <v>41420.758457271098</v>
      </c>
      <c r="K23" s="7">
        <v>44597.014606219367</v>
      </c>
      <c r="L23" s="8">
        <f>IF(ISBLANK(BP!L57)," ",BP!L57)</f>
        <v>47422.294462473328</v>
      </c>
    </row>
    <row r="24" spans="2:12" ht="15.75" thickBot="1">
      <c r="B24" s="5"/>
      <c r="C24" s="18" t="s">
        <v>402</v>
      </c>
      <c r="D24" s="7">
        <v>11073.396382570001</v>
      </c>
      <c r="E24" s="7">
        <v>12851.659621819999</v>
      </c>
      <c r="F24" s="7">
        <v>13638.685322869998</v>
      </c>
      <c r="G24" s="7">
        <v>12431.135866929999</v>
      </c>
      <c r="H24" s="7">
        <v>13836.233013969999</v>
      </c>
      <c r="I24" s="7">
        <v>15355.46438119</v>
      </c>
      <c r="J24" s="7">
        <v>16999.432019866781</v>
      </c>
      <c r="K24" s="7">
        <v>17888.111863460792</v>
      </c>
      <c r="L24" s="396">
        <f>BP!L7+BP!L10</f>
        <v>18930.035517709886</v>
      </c>
    </row>
    <row r="25" spans="2:12" ht="15.75" thickBot="1">
      <c r="B25" s="6"/>
      <c r="C25" s="18" t="s">
        <v>403</v>
      </c>
      <c r="D25" s="7">
        <v>12449.466893950001</v>
      </c>
      <c r="E25" s="7">
        <v>14103.04244221</v>
      </c>
      <c r="F25" s="7">
        <v>16451.094708109998</v>
      </c>
      <c r="G25" s="7">
        <v>12282.095461929999</v>
      </c>
      <c r="H25" s="7">
        <v>14738.69092813</v>
      </c>
      <c r="I25" s="7">
        <v>17269.960579859999</v>
      </c>
      <c r="J25" s="7">
        <v>19146.908583001328</v>
      </c>
      <c r="K25" s="7">
        <v>20333.160186664172</v>
      </c>
      <c r="L25" s="398">
        <f>BP!L8+BP!L11</f>
        <v>21739.921890200432</v>
      </c>
    </row>
    <row r="26" spans="2:12" ht="15.75" thickBot="1">
      <c r="B26" s="5"/>
      <c r="C26" s="18" t="s">
        <v>404</v>
      </c>
      <c r="D26" s="7">
        <v>266.89999999999998</v>
      </c>
      <c r="E26" s="7">
        <v>438.20000000000005</v>
      </c>
      <c r="F26" s="7">
        <v>352.6</v>
      </c>
      <c r="G26" s="7">
        <v>308</v>
      </c>
      <c r="H26" s="7">
        <v>306.59999999999997</v>
      </c>
      <c r="I26" s="7">
        <v>284.10000000000002</v>
      </c>
      <c r="J26" s="7">
        <v>285.95885934434853</v>
      </c>
      <c r="K26" s="7">
        <v>274.98777097029034</v>
      </c>
      <c r="L26" s="420">
        <f>BP!L16</f>
        <v>295.30314175166666</v>
      </c>
    </row>
    <row r="27" spans="2:12" ht="15.75" thickBot="1">
      <c r="B27" s="5"/>
      <c r="C27" s="18" t="s">
        <v>405</v>
      </c>
      <c r="D27" s="7">
        <v>705.88846326435669</v>
      </c>
      <c r="E27" s="7">
        <v>945.16354056515206</v>
      </c>
      <c r="F27" s="7">
        <v>1097.3537734526194</v>
      </c>
      <c r="G27" s="7">
        <v>890.14756458820182</v>
      </c>
      <c r="H27" s="7">
        <v>1472.5882391167545</v>
      </c>
      <c r="I27" s="7">
        <v>2608.2536963007492</v>
      </c>
      <c r="J27" s="7">
        <v>673.26684604108959</v>
      </c>
      <c r="K27" s="7">
        <v>1965.3140879124585</v>
      </c>
      <c r="L27" s="420">
        <f>L28+L34-K34</f>
        <v>1950.825847430322</v>
      </c>
    </row>
    <row r="28" spans="2:12" ht="15.75" thickBot="1">
      <c r="B28" s="5"/>
      <c r="C28" s="18" t="s">
        <v>406</v>
      </c>
      <c r="D28" s="7">
        <v>612.26810316435603</v>
      </c>
      <c r="E28" s="7">
        <v>506.73175094515199</v>
      </c>
      <c r="F28" s="7">
        <v>1031.09250589262</v>
      </c>
      <c r="G28" s="7">
        <v>640.22030488820189</v>
      </c>
      <c r="H28" s="7">
        <v>634.19879082675402</v>
      </c>
      <c r="I28" s="7">
        <v>980.41828137074901</v>
      </c>
      <c r="J28" s="7">
        <v>1048.2342721189998</v>
      </c>
      <c r="K28" s="7">
        <v>1133.4240466109288</v>
      </c>
      <c r="L28" s="420">
        <f>K28/K34*L34</f>
        <v>1209.3544878679454</v>
      </c>
    </row>
    <row r="29" spans="2:12" ht="15.75" thickBot="1">
      <c r="B29" s="5"/>
      <c r="C29" s="18" t="s">
        <v>407</v>
      </c>
      <c r="D29" s="7">
        <v>879.16810316435601</v>
      </c>
      <c r="E29" s="7">
        <v>944.93175094515209</v>
      </c>
      <c r="F29" s="7">
        <v>1383.6925058926199</v>
      </c>
      <c r="G29" s="7">
        <v>948.22030488820189</v>
      </c>
      <c r="H29" s="7">
        <v>940.79879082675393</v>
      </c>
      <c r="I29" s="7">
        <v>1264.518281370749</v>
      </c>
      <c r="J29" s="7">
        <v>1334.1931314633484</v>
      </c>
      <c r="K29" s="7">
        <v>1408.4118175812191</v>
      </c>
      <c r="L29" s="396">
        <f>L26+L28</f>
        <v>1504.6576296196122</v>
      </c>
    </row>
    <row r="30" spans="2:12" ht="15.75" thickBot="1">
      <c r="B30" s="5"/>
      <c r="C30" s="18" t="s">
        <v>359</v>
      </c>
      <c r="D30" s="7">
        <v>-3563.7999999999975</v>
      </c>
      <c r="E30" s="7">
        <v>-4969.7999999999956</v>
      </c>
      <c r="F30" s="7">
        <v>-7774.1999999999971</v>
      </c>
      <c r="G30" s="7">
        <v>-8174.5999999999949</v>
      </c>
      <c r="H30" s="7">
        <v>-9410.2999999999956</v>
      </c>
      <c r="I30" s="7">
        <v>-11800.599999999999</v>
      </c>
      <c r="J30" s="7">
        <v>-14565.560734520219</v>
      </c>
      <c r="K30" s="7">
        <v>-17505.677132005399</v>
      </c>
      <c r="L30" s="398">
        <f>PII!L5</f>
        <v>-21093.006536646117</v>
      </c>
    </row>
    <row r="31" spans="2:12" ht="15.75" thickBot="1">
      <c r="B31" s="5"/>
      <c r="C31" s="18" t="s">
        <v>360</v>
      </c>
      <c r="D31" s="7">
        <v>10162.9</v>
      </c>
      <c r="E31" s="7">
        <v>11795.400000000001</v>
      </c>
      <c r="F31" s="7">
        <v>11617.7</v>
      </c>
      <c r="G31" s="7">
        <v>11915.2</v>
      </c>
      <c r="H31" s="7">
        <v>12732.400000000001</v>
      </c>
      <c r="I31" s="7">
        <v>12928.900000000001</v>
      </c>
      <c r="J31" s="7">
        <v>13774.080094631059</v>
      </c>
      <c r="K31" s="7">
        <v>14636.185727984874</v>
      </c>
      <c r="L31" s="397">
        <f>PII!L7</f>
        <v>15053.209919068311</v>
      </c>
    </row>
    <row r="32" spans="2:12" ht="15.75" thickBot="1">
      <c r="B32" s="5"/>
      <c r="C32" s="18" t="s">
        <v>366</v>
      </c>
      <c r="D32" s="7">
        <v>3114.6</v>
      </c>
      <c r="E32" s="7">
        <v>4113.6000000000004</v>
      </c>
      <c r="F32" s="7">
        <v>3798.7</v>
      </c>
      <c r="G32" s="7">
        <v>4066.2</v>
      </c>
      <c r="H32" s="7">
        <v>4629.7</v>
      </c>
      <c r="I32" s="7">
        <v>4758.3</v>
      </c>
      <c r="J32" s="7">
        <v>4808.2716085310276</v>
      </c>
      <c r="K32" s="7">
        <v>4779.042817354617</v>
      </c>
      <c r="L32" s="398">
        <f>PII!L13</f>
        <v>4534.496255279988</v>
      </c>
    </row>
    <row r="33" spans="2:14" ht="15.75" thickBot="1">
      <c r="B33" s="5"/>
      <c r="C33" s="18" t="s">
        <v>367</v>
      </c>
      <c r="D33" s="7">
        <v>13726.699999999997</v>
      </c>
      <c r="E33" s="7">
        <v>16765.199999999997</v>
      </c>
      <c r="F33" s="7">
        <v>19391.899999999998</v>
      </c>
      <c r="G33" s="7">
        <v>20089.799999999996</v>
      </c>
      <c r="H33" s="7">
        <v>22142.699999999997</v>
      </c>
      <c r="I33" s="7">
        <v>24729.5</v>
      </c>
      <c r="J33" s="7">
        <v>28339.640829151278</v>
      </c>
      <c r="K33" s="7">
        <v>32141.862859990273</v>
      </c>
      <c r="L33" s="397">
        <f>PII!L15</f>
        <v>36146.216455714428</v>
      </c>
    </row>
    <row r="34" spans="2:14" ht="15.75" thickBot="1">
      <c r="B34" s="5"/>
      <c r="C34" s="18" t="s">
        <v>381</v>
      </c>
      <c r="D34" s="7">
        <v>7246</v>
      </c>
      <c r="E34" s="7">
        <v>8366.2000000000007</v>
      </c>
      <c r="F34" s="7">
        <v>8964.2999999999993</v>
      </c>
      <c r="G34" s="7">
        <v>7878.8000000000011</v>
      </c>
      <c r="H34" s="7">
        <v>8631.7999999999993</v>
      </c>
      <c r="I34" s="7">
        <v>9764.2000000000007</v>
      </c>
      <c r="J34" s="7">
        <v>10236.15401176309</v>
      </c>
      <c r="K34" s="7">
        <v>11068.044053064619</v>
      </c>
      <c r="L34" s="398">
        <f>Deuda_EX!L5</f>
        <v>11809.515412626995</v>
      </c>
    </row>
    <row r="35" spans="2:14" ht="15.75" thickBot="1">
      <c r="B35" s="5"/>
      <c r="C35" s="18" t="s">
        <v>408</v>
      </c>
      <c r="D35" s="7">
        <v>4834.1769308700004</v>
      </c>
      <c r="E35" s="7">
        <v>5272.6087204900005</v>
      </c>
      <c r="F35" s="7">
        <v>5338.8699880499998</v>
      </c>
      <c r="G35" s="7">
        <v>5588.7972477499998</v>
      </c>
      <c r="H35" s="7">
        <v>6427.1866960400002</v>
      </c>
      <c r="I35" s="7">
        <v>8055.0221109700005</v>
      </c>
      <c r="J35" s="7">
        <v>7680.0546848920903</v>
      </c>
      <c r="K35" s="7">
        <v>8304.211082077094</v>
      </c>
      <c r="L35" s="420">
        <f>Deuda_EX!L13</f>
        <v>8860.527505430664</v>
      </c>
    </row>
    <row r="36" spans="2:14">
      <c r="B36" s="5"/>
      <c r="C36" s="18" t="s">
        <v>385</v>
      </c>
      <c r="D36" s="7">
        <v>2918.5548200751518</v>
      </c>
      <c r="E36" s="7">
        <v>4124.6837854026198</v>
      </c>
      <c r="F36" s="7">
        <v>4265.6503168382014</v>
      </c>
      <c r="G36" s="7">
        <v>2924.2015430767542</v>
      </c>
      <c r="H36" s="7">
        <v>3185.0315853307479</v>
      </c>
      <c r="I36" s="7">
        <v>2757.412161149</v>
      </c>
      <c r="J36" s="7" t="s">
        <v>151</v>
      </c>
      <c r="K36" s="7"/>
      <c r="L36" s="8"/>
    </row>
    <row r="37" spans="2:14" ht="15.75" thickBot="1">
      <c r="B37" s="10"/>
      <c r="C37" s="17"/>
      <c r="D37" s="11"/>
      <c r="E37" s="11"/>
      <c r="F37" s="11"/>
      <c r="G37" s="11"/>
      <c r="H37" s="11"/>
      <c r="I37" s="11"/>
      <c r="J37" s="11"/>
      <c r="K37" s="11"/>
      <c r="L37" s="12"/>
    </row>
    <row r="38" spans="2:14">
      <c r="M38" s="250"/>
    </row>
    <row r="39" spans="2:14">
      <c r="K39" s="515"/>
      <c r="M39" s="250"/>
    </row>
    <row r="40" spans="2:14">
      <c r="M40" s="250"/>
    </row>
    <row r="41" spans="2:14">
      <c r="M41" s="250"/>
    </row>
    <row r="42" spans="2:14">
      <c r="M42" s="250"/>
    </row>
    <row r="43" spans="2:14">
      <c r="M43" s="250"/>
    </row>
    <row r="44" spans="2:14">
      <c r="M44" s="250"/>
    </row>
    <row r="45" spans="2:14">
      <c r="M45" s="250"/>
    </row>
    <row r="46" spans="2:14">
      <c r="M46" s="250"/>
    </row>
    <row r="47" spans="2:14">
      <c r="N47" s="250"/>
    </row>
    <row r="48" spans="2:14">
      <c r="N48" s="250"/>
    </row>
    <row r="49" spans="14:15">
      <c r="N49" s="250"/>
    </row>
    <row r="50" spans="14:15">
      <c r="N50" s="250"/>
    </row>
    <row r="51" spans="14:15">
      <c r="N51" s="250"/>
    </row>
    <row r="52" spans="14:15">
      <c r="N52" s="250"/>
    </row>
    <row r="53" spans="14:15">
      <c r="N53" s="250"/>
    </row>
    <row r="54" spans="14:15">
      <c r="N54" s="250"/>
    </row>
    <row r="55" spans="14:15">
      <c r="N55" s="250"/>
    </row>
    <row r="56" spans="14:15">
      <c r="O56" s="250"/>
    </row>
    <row r="57" spans="14:15">
      <c r="O57" s="250"/>
    </row>
    <row r="58" spans="14:15">
      <c r="O58" s="250"/>
    </row>
    <row r="59" spans="14:15">
      <c r="O59" s="250"/>
    </row>
    <row r="60" spans="14:15">
      <c r="O60" s="250"/>
    </row>
    <row r="61" spans="14:15">
      <c r="O61" s="250"/>
    </row>
    <row r="62" spans="14:15">
      <c r="O62" s="250"/>
    </row>
    <row r="63" spans="14:15">
      <c r="O63" s="250"/>
    </row>
    <row r="64" spans="14:15">
      <c r="O64" s="250"/>
    </row>
    <row r="65" spans="16:18">
      <c r="P65" s="250"/>
    </row>
    <row r="66" spans="16:18">
      <c r="P66" s="250"/>
    </row>
    <row r="67" spans="16:18">
      <c r="P67" s="250"/>
    </row>
    <row r="68" spans="16:18">
      <c r="P68" s="250"/>
    </row>
    <row r="69" spans="16:18">
      <c r="P69" s="250"/>
    </row>
    <row r="70" spans="16:18">
      <c r="P70" s="250"/>
    </row>
    <row r="71" spans="16:18">
      <c r="Q71" s="250"/>
    </row>
    <row r="72" spans="16:18">
      <c r="Q72" s="250"/>
    </row>
    <row r="73" spans="16:18">
      <c r="Q73" s="250"/>
    </row>
    <row r="74" spans="16:18">
      <c r="Q74" s="250"/>
    </row>
    <row r="75" spans="16:18">
      <c r="Q75" s="250"/>
    </row>
    <row r="76" spans="16:18">
      <c r="Q76" s="250"/>
    </row>
    <row r="77" spans="16:18">
      <c r="R77" s="250"/>
    </row>
    <row r="78" spans="16:18">
      <c r="R78" s="250"/>
    </row>
    <row r="79" spans="16:18">
      <c r="R79" s="250"/>
    </row>
    <row r="80" spans="16:18">
      <c r="R80" s="250"/>
    </row>
    <row r="81" spans="18:21">
      <c r="R81" s="250"/>
    </row>
    <row r="82" spans="18:21">
      <c r="R82" s="250"/>
    </row>
    <row r="83" spans="18:21">
      <c r="S83" s="250"/>
    </row>
    <row r="84" spans="18:21">
      <c r="S84" s="250"/>
    </row>
    <row r="85" spans="18:21">
      <c r="S85" s="250"/>
    </row>
    <row r="86" spans="18:21">
      <c r="S86" s="250"/>
    </row>
    <row r="87" spans="18:21">
      <c r="S87" s="250"/>
    </row>
    <row r="88" spans="18:21">
      <c r="S88" s="250"/>
    </row>
    <row r="89" spans="18:21">
      <c r="T89" s="250"/>
    </row>
    <row r="90" spans="18:21">
      <c r="T90" s="250"/>
    </row>
    <row r="91" spans="18:21">
      <c r="T91" s="250"/>
    </row>
    <row r="92" spans="18:21">
      <c r="T92" s="250"/>
    </row>
    <row r="93" spans="18:21">
      <c r="T93" s="250"/>
    </row>
    <row r="94" spans="18:21">
      <c r="T94" s="250"/>
    </row>
    <row r="95" spans="18:21">
      <c r="U95" s="250"/>
    </row>
    <row r="96" spans="18:21">
      <c r="U96" s="250"/>
    </row>
    <row r="97" spans="21:23">
      <c r="U97" s="250"/>
    </row>
    <row r="98" spans="21:23">
      <c r="U98" s="250"/>
    </row>
    <row r="99" spans="21:23">
      <c r="U99" s="250"/>
    </row>
    <row r="100" spans="21:23">
      <c r="U100" s="250"/>
    </row>
    <row r="101" spans="21:23">
      <c r="V101" s="250"/>
    </row>
    <row r="102" spans="21:23">
      <c r="V102" s="250"/>
    </row>
    <row r="103" spans="21:23">
      <c r="V103" s="250"/>
    </row>
    <row r="104" spans="21:23">
      <c r="V104" s="250"/>
    </row>
    <row r="105" spans="21:23">
      <c r="V105" s="250"/>
    </row>
    <row r="106" spans="21:23">
      <c r="V106" s="250"/>
    </row>
    <row r="107" spans="21:23">
      <c r="W107" s="250"/>
    </row>
    <row r="108" spans="21:23">
      <c r="W108" s="250"/>
    </row>
    <row r="109" spans="21:23">
      <c r="W109" s="250"/>
    </row>
    <row r="110" spans="21:23">
      <c r="W110" s="250"/>
    </row>
    <row r="111" spans="21:23">
      <c r="W111" s="250"/>
    </row>
    <row r="112" spans="21:23">
      <c r="W112" s="250"/>
    </row>
    <row r="113" spans="24:25">
      <c r="X113" s="250"/>
    </row>
    <row r="114" spans="24:25">
      <c r="X114" s="250"/>
    </row>
    <row r="115" spans="24:25">
      <c r="X115" s="250"/>
    </row>
    <row r="116" spans="24:25">
      <c r="X116" s="250"/>
    </row>
    <row r="117" spans="24:25">
      <c r="X117" s="250"/>
    </row>
    <row r="118" spans="24:25">
      <c r="X118" s="250"/>
    </row>
    <row r="119" spans="24:25">
      <c r="X119" s="250"/>
    </row>
    <row r="120" spans="24:25">
      <c r="X120" s="250"/>
    </row>
    <row r="121" spans="24:25">
      <c r="X121" s="250"/>
    </row>
    <row r="122" spans="24:25">
      <c r="Y122" s="250"/>
    </row>
    <row r="123" spans="24:25">
      <c r="Y123" s="250"/>
    </row>
    <row r="124" spans="24:25">
      <c r="Y124" s="250"/>
    </row>
    <row r="125" spans="24:25">
      <c r="Y125" s="250"/>
    </row>
    <row r="126" spans="24:25">
      <c r="Y126" s="250"/>
    </row>
    <row r="127" spans="24:25">
      <c r="Y127" s="250"/>
    </row>
    <row r="128" spans="24:25">
      <c r="Y128" s="250"/>
    </row>
    <row r="129" spans="25:27">
      <c r="Y129" s="250"/>
    </row>
    <row r="130" spans="25:27">
      <c r="Y130" s="250"/>
    </row>
    <row r="131" spans="25:27">
      <c r="Z131" s="250"/>
    </row>
    <row r="132" spans="25:27">
      <c r="Z132" s="250"/>
    </row>
    <row r="133" spans="25:27">
      <c r="Z133" s="250"/>
    </row>
    <row r="134" spans="25:27">
      <c r="Z134" s="250"/>
    </row>
    <row r="135" spans="25:27">
      <c r="Z135" s="250"/>
    </row>
    <row r="136" spans="25:27">
      <c r="Z136" s="250"/>
    </row>
    <row r="137" spans="25:27">
      <c r="Z137" s="250"/>
    </row>
    <row r="138" spans="25:27">
      <c r="Z138" s="250"/>
    </row>
    <row r="139" spans="25:27">
      <c r="Z139" s="250"/>
    </row>
    <row r="140" spans="25:27">
      <c r="AA140" s="250"/>
    </row>
    <row r="141" spans="25:27">
      <c r="AA141" s="250"/>
    </row>
    <row r="142" spans="25:27">
      <c r="AA142" s="250"/>
    </row>
    <row r="143" spans="25:27">
      <c r="AA143" s="250"/>
    </row>
    <row r="144" spans="25:27">
      <c r="AA144" s="250"/>
    </row>
    <row r="145" spans="27:28">
      <c r="AA145" s="250"/>
    </row>
    <row r="146" spans="27:28">
      <c r="AA146" s="250"/>
    </row>
    <row r="147" spans="27:28">
      <c r="AA147" s="250"/>
    </row>
    <row r="148" spans="27:28">
      <c r="AA148" s="250"/>
    </row>
    <row r="149" spans="27:28">
      <c r="AB149" s="250"/>
    </row>
    <row r="150" spans="27:28">
      <c r="AB150" s="250"/>
    </row>
    <row r="151" spans="27:28">
      <c r="AB151" s="250"/>
    </row>
    <row r="152" spans="27:28">
      <c r="AB152" s="250"/>
    </row>
    <row r="153" spans="27:28">
      <c r="AB153" s="250"/>
    </row>
    <row r="154" spans="27:28">
      <c r="AB154" s="250"/>
    </row>
    <row r="155" spans="27:28">
      <c r="AB155" s="250"/>
    </row>
    <row r="156" spans="27:28">
      <c r="AB156" s="250"/>
    </row>
    <row r="157" spans="27:28">
      <c r="AB157" s="250"/>
    </row>
  </sheetData>
  <pageMargins left="0.7" right="0.7" top="0.75" bottom="0.75" header="0.3" footer="0.3"/>
  <pageSetup scale="8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CC37"/>
  <sheetViews>
    <sheetView zoomScaleNormal="100" workbookViewId="0">
      <selection activeCell="G22" sqref="G22"/>
    </sheetView>
  </sheetViews>
  <sheetFormatPr baseColWidth="10" defaultColWidth="9.140625" defaultRowHeight="15"/>
  <cols>
    <col min="1" max="2" width="9.140625" style="2"/>
    <col min="3" max="3" width="10.5703125" style="2" bestFit="1" customWidth="1"/>
    <col min="4" max="4" width="10" style="2" customWidth="1"/>
    <col min="5" max="5" width="14.85546875" style="2" customWidth="1"/>
    <col min="6" max="6" width="14.28515625" style="2" customWidth="1"/>
    <col min="7" max="7" width="15.5703125" style="2" customWidth="1"/>
    <col min="8" max="8" width="15.42578125" style="2" customWidth="1"/>
    <col min="9" max="9" width="14" style="2" customWidth="1"/>
    <col min="10" max="10" width="9.140625" style="2"/>
    <col min="11" max="11" width="11.5703125" style="2" bestFit="1" customWidth="1"/>
    <col min="12" max="15" width="9.140625" style="2"/>
    <col min="16" max="16" width="10.42578125" style="2" bestFit="1" customWidth="1"/>
    <col min="17" max="16384" width="9.140625" style="2"/>
  </cols>
  <sheetData>
    <row r="1" spans="1:81" customForma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customFormat="1">
      <c r="A2" s="1"/>
      <c r="B2" s="112" t="s">
        <v>276</v>
      </c>
      <c r="C2" s="1140" t="s">
        <v>409</v>
      </c>
      <c r="D2" s="1140"/>
      <c r="E2" s="1140"/>
      <c r="F2" s="1140"/>
      <c r="G2" s="1140"/>
      <c r="H2" s="113"/>
      <c r="I2" s="113"/>
      <c r="J2" s="1"/>
      <c r="K2" s="145" t="s">
        <v>410</v>
      </c>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row>
    <row r="3" spans="1:81" customFormat="1" ht="15.75" thickBot="1">
      <c r="A3" s="1"/>
      <c r="B3" s="112" t="s">
        <v>411</v>
      </c>
      <c r="C3" s="1140" t="s">
        <v>412</v>
      </c>
      <c r="D3" s="1140"/>
      <c r="E3" s="1140"/>
      <c r="F3" s="1140"/>
      <c r="G3" s="1140"/>
      <c r="H3" s="1140"/>
      <c r="I3" s="112"/>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row>
    <row r="4" spans="1:81" customFormat="1" ht="15.75" thickBot="1">
      <c r="A4" s="1"/>
      <c r="B4" s="1141" t="s">
        <v>413</v>
      </c>
      <c r="C4" s="1142"/>
      <c r="D4" s="1142"/>
      <c r="E4" s="1142"/>
      <c r="F4" s="1142"/>
      <c r="G4" s="1142"/>
      <c r="H4" s="1143"/>
      <c r="I4" s="1"/>
      <c r="J4" s="1"/>
      <c r="K4" s="113"/>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row>
    <row r="5" spans="1:81" customFormat="1" ht="70.5" customHeight="1" thickBot="1">
      <c r="A5" s="1"/>
      <c r="B5" s="114" t="s">
        <v>414</v>
      </c>
      <c r="C5" s="115" t="s">
        <v>276</v>
      </c>
      <c r="D5" s="116" t="s">
        <v>415</v>
      </c>
      <c r="E5" s="116" t="s">
        <v>416</v>
      </c>
      <c r="F5" s="116" t="s">
        <v>417</v>
      </c>
      <c r="G5" s="116" t="s">
        <v>418</v>
      </c>
      <c r="H5" s="117"/>
      <c r="I5" s="1"/>
      <c r="J5" s="630"/>
      <c r="K5" s="631" t="s">
        <v>419</v>
      </c>
      <c r="L5" s="632"/>
      <c r="M5" s="1"/>
      <c r="N5" s="1"/>
      <c r="O5" s="1"/>
      <c r="P5" s="146"/>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row>
    <row r="6" spans="1:81" customFormat="1">
      <c r="A6" s="1"/>
      <c r="B6" s="349">
        <v>2006</v>
      </c>
      <c r="C6" s="377">
        <v>9864.1030354013474</v>
      </c>
      <c r="D6" s="100">
        <v>8.84313461080799</v>
      </c>
      <c r="E6" s="377" t="s">
        <v>410</v>
      </c>
      <c r="F6" s="377">
        <f>PIB_real!D$19</f>
        <v>9649.9079456779909</v>
      </c>
      <c r="G6" s="100">
        <f t="shared" ref="G6:G12" si="0">((C6-F6)/F6)*100</f>
        <v>2.2196594094899145</v>
      </c>
      <c r="H6" s="119"/>
      <c r="I6" s="1"/>
      <c r="J6" s="639" t="s">
        <v>420</v>
      </c>
      <c r="K6" s="640"/>
      <c r="L6" s="641"/>
      <c r="M6" s="1"/>
      <c r="N6" s="1"/>
      <c r="O6" s="1"/>
      <c r="P6" s="146"/>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row>
    <row r="7" spans="1:81" customFormat="1" ht="17.25">
      <c r="A7" s="1"/>
      <c r="B7" s="349">
        <f t="shared" ref="B7:B13" si="1">B6+1</f>
        <v>2007</v>
      </c>
      <c r="C7" s="377">
        <v>10508.007819926337</v>
      </c>
      <c r="D7" s="100">
        <f t="shared" ref="D7:D12" si="2">(C7/C6-1)*100</f>
        <v>6.5277580963426285</v>
      </c>
      <c r="E7" s="377">
        <f>C6*(1+$L$10)</f>
        <v>10258.667156817402</v>
      </c>
      <c r="F7" s="377">
        <f>PIB_real!E$19</f>
        <v>9961.0922632465245</v>
      </c>
      <c r="G7" s="100">
        <f t="shared" si="0"/>
        <v>5.4905179294219453</v>
      </c>
      <c r="H7" s="119"/>
      <c r="I7" s="1"/>
      <c r="J7" s="635" t="s">
        <v>421</v>
      </c>
      <c r="K7" s="633"/>
      <c r="L7" s="634"/>
      <c r="M7" s="1"/>
      <c r="N7" s="1"/>
      <c r="O7" s="1"/>
      <c r="P7" s="146"/>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row>
    <row r="8" spans="1:81" customFormat="1" ht="15.75" thickBot="1">
      <c r="A8" s="1"/>
      <c r="B8" s="349">
        <f t="shared" si="1"/>
        <v>2008</v>
      </c>
      <c r="C8" s="377">
        <v>10760.324940161812</v>
      </c>
      <c r="D8" s="100">
        <f t="shared" si="2"/>
        <v>2.4011889271438047</v>
      </c>
      <c r="E8" s="377">
        <f t="shared" ref="E8:E13" si="3">C7*(1+$L$10)</f>
        <v>10928.328132723391</v>
      </c>
      <c r="F8" s="377">
        <f>PIB_real!F$19</f>
        <v>10371.120510330094</v>
      </c>
      <c r="G8" s="100">
        <f t="shared" si="0"/>
        <v>3.752771259807973</v>
      </c>
      <c r="H8" s="119"/>
      <c r="I8" s="1"/>
      <c r="J8" s="636" t="s">
        <v>422</v>
      </c>
      <c r="K8" s="637"/>
      <c r="L8" s="638"/>
      <c r="M8" s="1"/>
      <c r="N8" s="1"/>
      <c r="O8" s="1"/>
      <c r="P8" s="146"/>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row>
    <row r="9" spans="1:81" customFormat="1" ht="15.75" thickBot="1">
      <c r="A9" s="1"/>
      <c r="B9" s="349">
        <f t="shared" si="1"/>
        <v>2009</v>
      </c>
      <c r="C9" s="377">
        <v>10584.875668060318</v>
      </c>
      <c r="D9" s="100">
        <f t="shared" si="2"/>
        <v>-1.6305202034061939</v>
      </c>
      <c r="E9" s="377">
        <f t="shared" si="3"/>
        <v>11190.737937768285</v>
      </c>
      <c r="F9" s="377">
        <f>PIB_real!G$19</f>
        <v>10754.773334771355</v>
      </c>
      <c r="G9" s="100">
        <f t="shared" si="0"/>
        <v>-1.5797419566411386</v>
      </c>
      <c r="H9" s="119"/>
      <c r="I9" s="1"/>
      <c r="J9" s="1"/>
      <c r="K9" s="1"/>
      <c r="L9" s="1"/>
      <c r="M9" s="1"/>
      <c r="N9" s="1"/>
      <c r="O9" s="1"/>
      <c r="P9" s="146"/>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row>
    <row r="10" spans="1:81" customFormat="1" ht="15.75" thickBot="1">
      <c r="A10" s="1"/>
      <c r="B10" s="349">
        <f>B9+1</f>
        <v>2010</v>
      </c>
      <c r="C10" s="377">
        <v>11099.247251539817</v>
      </c>
      <c r="D10" s="100">
        <f t="shared" si="2"/>
        <v>4.8594957523365734</v>
      </c>
      <c r="E10" s="377">
        <f t="shared" si="3"/>
        <v>11008.270694782732</v>
      </c>
      <c r="F10" s="377">
        <f>PIB_real!H$19</f>
        <v>11237.044976394514</v>
      </c>
      <c r="G10" s="100">
        <f t="shared" si="0"/>
        <v>-1.2262807984142379</v>
      </c>
      <c r="H10" s="119"/>
      <c r="I10" s="1"/>
      <c r="J10" s="628" t="s">
        <v>423</v>
      </c>
      <c r="K10" s="629"/>
      <c r="L10" s="460">
        <v>0.04</v>
      </c>
      <c r="M10" s="1"/>
      <c r="N10" s="1"/>
      <c r="O10" s="1"/>
      <c r="P10" s="146"/>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row>
    <row r="11" spans="1:81" customFormat="1">
      <c r="A11" s="1"/>
      <c r="B11" s="349">
        <f t="shared" si="1"/>
        <v>2011</v>
      </c>
      <c r="C11" s="377">
        <v>11726.952807166241</v>
      </c>
      <c r="D11" s="100">
        <f t="shared" si="2"/>
        <v>5.6553885268151083</v>
      </c>
      <c r="E11" s="377">
        <f t="shared" si="3"/>
        <v>11543.21714160141</v>
      </c>
      <c r="F11" s="377">
        <f>PIB_real!I$19</f>
        <v>11888.174551436117</v>
      </c>
      <c r="G11" s="100">
        <f t="shared" si="0"/>
        <v>-1.3561522298677944</v>
      </c>
      <c r="H11" s="119"/>
      <c r="I11" s="1"/>
      <c r="J11" s="1"/>
      <c r="K11" s="1"/>
      <c r="L11" s="1"/>
      <c r="M11" s="1"/>
      <c r="N11" s="1"/>
      <c r="O11" s="1"/>
      <c r="P11" s="146"/>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row>
    <row r="12" spans="1:81" customFormat="1">
      <c r="A12" s="1"/>
      <c r="B12" s="349">
        <f t="shared" si="1"/>
        <v>2012</v>
      </c>
      <c r="C12" s="377">
        <v>12184.443739182007</v>
      </c>
      <c r="D12" s="100">
        <f t="shared" si="2"/>
        <v>3.9011918913513188</v>
      </c>
      <c r="E12" s="377">
        <f t="shared" si="3"/>
        <v>12196.030919452891</v>
      </c>
      <c r="F12" s="377">
        <f>PIB_real!J$19</f>
        <v>12184.443739181999</v>
      </c>
      <c r="G12" s="100">
        <f t="shared" si="0"/>
        <v>5.971513981213472E-14</v>
      </c>
      <c r="H12" s="119"/>
      <c r="I12" s="1"/>
      <c r="J12" s="1"/>
      <c r="K12" s="1"/>
      <c r="L12" s="1"/>
      <c r="M12" s="1"/>
      <c r="N12" s="1"/>
      <c r="O12" s="1"/>
      <c r="P12" s="146"/>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row>
    <row r="13" spans="1:81" customFormat="1" ht="18.75" thickBot="1">
      <c r="A13" s="1"/>
      <c r="B13" s="349">
        <f t="shared" si="1"/>
        <v>2013</v>
      </c>
      <c r="C13" s="377">
        <f>PIB_real!K6</f>
        <v>12774.630811636434</v>
      </c>
      <c r="D13" s="100">
        <f>(E13/C12-1)*100</f>
        <v>4.0000000000000036</v>
      </c>
      <c r="E13" s="377">
        <f t="shared" si="3"/>
        <v>12671.821488749287</v>
      </c>
      <c r="F13" s="377">
        <f>PIB_real!K$19</f>
        <v>12671.8214887493</v>
      </c>
      <c r="G13" s="100">
        <f>((C13-F13)/F13)*100</f>
        <v>0.8113223736493943</v>
      </c>
      <c r="H13" s="119"/>
      <c r="I13" s="121" t="s">
        <v>424</v>
      </c>
      <c r="J13" s="1"/>
      <c r="K13" s="1"/>
      <c r="L13" s="1"/>
      <c r="M13" s="1"/>
      <c r="N13" s="1"/>
      <c r="O13" s="1"/>
      <c r="P13" s="146"/>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row>
    <row r="14" spans="1:81" customFormat="1" ht="15.75" thickBot="1">
      <c r="A14" s="1"/>
      <c r="B14" s="349">
        <v>2014</v>
      </c>
      <c r="C14" s="377"/>
      <c r="D14" s="100"/>
      <c r="E14" s="377">
        <f>C13*(1+$L$10)</f>
        <v>13285.616044101893</v>
      </c>
      <c r="F14" s="1050">
        <f>F13*(1+L10)</f>
        <v>13178.694348299272</v>
      </c>
      <c r="G14" s="100"/>
      <c r="H14" s="119"/>
      <c r="I14" s="121"/>
      <c r="J14" s="1"/>
      <c r="K14" s="1"/>
      <c r="L14" s="1"/>
      <c r="M14" s="1"/>
      <c r="N14" s="1"/>
      <c r="O14" s="1"/>
      <c r="P14" s="146"/>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row>
    <row r="15" spans="1:81" customFormat="1" ht="15.75" thickBot="1">
      <c r="A15" s="1"/>
      <c r="B15" s="122"/>
      <c r="C15" s="123"/>
      <c r="D15" s="123"/>
      <c r="E15" s="148"/>
      <c r="F15" s="148"/>
      <c r="G15" s="123"/>
      <c r="H15" s="124"/>
      <c r="I15" s="1"/>
      <c r="J15" s="1"/>
      <c r="K15" s="1"/>
      <c r="L15" s="1"/>
      <c r="M15" s="1"/>
      <c r="N15" s="1"/>
      <c r="O15" s="1"/>
      <c r="P15" s="146"/>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row>
    <row r="16" spans="1:81" customFormat="1" ht="15.75" thickBot="1">
      <c r="A16" s="1"/>
      <c r="B16" s="125"/>
      <c r="C16" s="1"/>
      <c r="D16" s="1"/>
      <c r="E16" s="1"/>
      <c r="F16" s="1"/>
      <c r="G16" s="1"/>
      <c r="H16" s="1"/>
      <c r="I16" s="1"/>
      <c r="J16" s="1"/>
      <c r="K16" s="1"/>
      <c r="L16" s="1"/>
      <c r="M16" s="1"/>
      <c r="N16" s="1"/>
      <c r="O16" s="1"/>
      <c r="P16" s="146"/>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row>
    <row r="17" spans="1:81" customFormat="1">
      <c r="A17" s="1"/>
      <c r="B17" s="1144" t="s">
        <v>425</v>
      </c>
      <c r="C17" s="1145"/>
      <c r="D17" s="1145"/>
      <c r="E17" s="1145"/>
      <c r="F17" s="1145"/>
      <c r="G17" s="1145"/>
      <c r="H17" s="1145"/>
      <c r="I17" s="1145"/>
      <c r="J17" s="1145"/>
      <c r="K17" s="1146"/>
      <c r="L17" s="1"/>
      <c r="M17" s="1"/>
      <c r="N17" s="1"/>
      <c r="O17" s="1"/>
      <c r="P17" s="146"/>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row>
    <row r="18" spans="1:81" customFormat="1">
      <c r="A18" s="1"/>
      <c r="B18" s="126"/>
      <c r="C18" s="127"/>
      <c r="D18" s="127"/>
      <c r="E18" s="127"/>
      <c r="F18" s="127"/>
      <c r="G18" s="127"/>
      <c r="H18" s="29"/>
      <c r="I18" s="31"/>
      <c r="J18" s="31"/>
      <c r="K18" s="32"/>
      <c r="L18" s="1"/>
      <c r="M18" s="1"/>
      <c r="N18" s="1"/>
      <c r="O18" s="1"/>
      <c r="P18" s="146"/>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row>
    <row r="19" spans="1:81" customFormat="1">
      <c r="A19" s="1"/>
      <c r="B19" s="128"/>
      <c r="C19" s="129"/>
      <c r="D19" s="129"/>
      <c r="E19" s="304"/>
      <c r="F19" s="129"/>
      <c r="G19" s="304" t="s">
        <v>426</v>
      </c>
      <c r="H19" s="29"/>
      <c r="I19" s="115" t="s">
        <v>427</v>
      </c>
      <c r="J19" s="31"/>
      <c r="K19" s="32"/>
      <c r="L19" s="1"/>
      <c r="M19" s="1"/>
      <c r="N19" s="1"/>
      <c r="O19" s="1"/>
      <c r="P19" s="146"/>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row>
    <row r="20" spans="1:81" customFormat="1">
      <c r="A20" s="1"/>
      <c r="B20" s="128"/>
      <c r="C20" s="130"/>
      <c r="D20" s="130"/>
      <c r="E20" s="304"/>
      <c r="F20" s="304"/>
      <c r="G20" s="304">
        <v>2014</v>
      </c>
      <c r="H20" s="29"/>
      <c r="I20" s="31"/>
      <c r="J20" s="31"/>
      <c r="K20" s="32"/>
      <c r="L20" s="1"/>
      <c r="M20" s="1"/>
      <c r="N20" s="1"/>
      <c r="O20" s="1"/>
      <c r="P20" s="146"/>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row>
    <row r="21" spans="1:81" customFormat="1" ht="15.75" thickBot="1">
      <c r="A21" s="1"/>
      <c r="B21" s="128" t="s">
        <v>428</v>
      </c>
      <c r="C21" s="127"/>
      <c r="D21" s="127"/>
      <c r="E21" s="127"/>
      <c r="F21" s="127"/>
      <c r="G21" s="127"/>
      <c r="H21" s="29"/>
      <c r="I21" s="31"/>
      <c r="J21" s="31"/>
      <c r="K21" s="32"/>
      <c r="L21" s="1"/>
      <c r="M21" s="1"/>
      <c r="N21" s="1"/>
      <c r="O21" s="1"/>
      <c r="P21" s="146"/>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row>
    <row r="22" spans="1:81" customFormat="1" ht="15.75" customHeight="1" thickBot="1">
      <c r="A22" s="1"/>
      <c r="B22" s="126" t="s">
        <v>429</v>
      </c>
      <c r="C22" s="131"/>
      <c r="D22" s="131"/>
      <c r="E22" s="131"/>
      <c r="F22" s="130"/>
      <c r="G22" s="378">
        <f>'Cuadro PIB'!J28</f>
        <v>4.4517020977380968</v>
      </c>
      <c r="H22" s="29"/>
      <c r="I22" s="31"/>
      <c r="J22" s="115"/>
      <c r="K22" s="32"/>
      <c r="L22" s="1"/>
      <c r="M22" s="1"/>
      <c r="N22" s="1"/>
      <c r="O22" s="1"/>
      <c r="P22" s="146"/>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row>
    <row r="23" spans="1:81" customFormat="1" ht="15.75" thickBot="1">
      <c r="A23" s="1"/>
      <c r="B23" s="126"/>
      <c r="C23" s="131"/>
      <c r="D23" s="131"/>
      <c r="E23" s="131"/>
      <c r="F23" s="130"/>
      <c r="G23" s="134"/>
      <c r="H23" s="29"/>
      <c r="I23" s="31"/>
      <c r="J23" s="115"/>
      <c r="K23" s="32"/>
      <c r="L23" s="1"/>
      <c r="M23" s="1"/>
      <c r="N23" s="1"/>
      <c r="O23" s="1"/>
      <c r="P23" s="146"/>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row>
    <row r="24" spans="1:81" customFormat="1" ht="15.75" thickBot="1">
      <c r="A24" s="1"/>
      <c r="B24" s="126" t="s">
        <v>430</v>
      </c>
      <c r="C24" s="131"/>
      <c r="D24" s="131"/>
      <c r="E24" s="131"/>
      <c r="F24" s="130"/>
      <c r="G24" s="378">
        <f>L10*100</f>
        <v>4</v>
      </c>
      <c r="H24" s="29"/>
      <c r="I24" s="31" t="s">
        <v>431</v>
      </c>
      <c r="J24" s="115"/>
      <c r="K24" s="32"/>
      <c r="L24" s="1"/>
      <c r="M24" s="1"/>
      <c r="N24" s="1"/>
      <c r="O24" s="1"/>
      <c r="P24" s="146"/>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customFormat="1" ht="15.75" thickBot="1">
      <c r="A25" s="1"/>
      <c r="B25" s="128"/>
      <c r="C25" s="132"/>
      <c r="D25" s="133"/>
      <c r="E25" s="133"/>
      <c r="F25" s="130"/>
      <c r="G25" s="379"/>
      <c r="H25" s="29"/>
      <c r="I25" s="31"/>
      <c r="J25" s="115"/>
      <c r="K25" s="32"/>
      <c r="L25" s="1"/>
      <c r="M25" s="1"/>
      <c r="N25" s="1"/>
      <c r="O25" s="1"/>
      <c r="P25" s="146"/>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row>
    <row r="26" spans="1:81" customFormat="1" ht="18.75" thickBot="1">
      <c r="A26" s="1"/>
      <c r="B26" s="126" t="s">
        <v>432</v>
      </c>
      <c r="C26" s="134"/>
      <c r="D26" s="135"/>
      <c r="E26" s="131"/>
      <c r="F26" s="130"/>
      <c r="G26" s="378">
        <f>(((C13/C6)^(1/7))-1)*100</f>
        <v>3.7627651939887485</v>
      </c>
      <c r="H26" s="29"/>
      <c r="I26" s="31" t="s">
        <v>433</v>
      </c>
      <c r="J26" s="115"/>
      <c r="K26" s="32"/>
      <c r="L26" s="1"/>
      <c r="M26" s="1"/>
      <c r="N26" s="1"/>
      <c r="O26" s="1"/>
      <c r="P26" s="146"/>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row>
    <row r="27" spans="1:81" customFormat="1" ht="15.75" thickBot="1">
      <c r="A27" s="1"/>
      <c r="B27" s="126"/>
      <c r="C27" s="134"/>
      <c r="D27" s="135"/>
      <c r="E27" s="131"/>
      <c r="F27" s="130"/>
      <c r="G27" s="130"/>
      <c r="H27" s="29"/>
      <c r="I27" s="31"/>
      <c r="J27" s="115"/>
      <c r="K27" s="32"/>
      <c r="L27" s="1"/>
      <c r="M27" s="1"/>
      <c r="N27" s="1"/>
      <c r="O27" s="1"/>
      <c r="P27" s="146"/>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row>
    <row r="28" spans="1:81" customFormat="1" ht="15.75" thickBot="1">
      <c r="A28" s="1"/>
      <c r="B28" s="126" t="s">
        <v>434</v>
      </c>
      <c r="C28" s="134"/>
      <c r="D28" s="135"/>
      <c r="E28" s="131"/>
      <c r="F28" s="130"/>
      <c r="G28" s="378">
        <f>G22</f>
        <v>4.4517020977380968</v>
      </c>
      <c r="H28" s="29"/>
      <c r="I28" s="31"/>
      <c r="J28" s="115"/>
      <c r="K28" s="32"/>
      <c r="L28" s="1"/>
      <c r="M28" s="1"/>
      <c r="N28" s="1"/>
      <c r="O28" s="1"/>
      <c r="P28" s="146"/>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row>
    <row r="29" spans="1:81" customFormat="1" ht="15.75" thickBot="1">
      <c r="A29" s="1"/>
      <c r="B29" s="126"/>
      <c r="C29" s="134"/>
      <c r="D29" s="135"/>
      <c r="E29" s="131"/>
      <c r="F29" s="130"/>
      <c r="G29" s="130"/>
      <c r="H29" s="29"/>
      <c r="I29" s="31"/>
      <c r="J29" s="115"/>
      <c r="K29" s="32"/>
      <c r="L29" s="1"/>
      <c r="M29" s="1"/>
      <c r="N29" s="1"/>
      <c r="O29" s="1"/>
      <c r="P29" s="146"/>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row>
    <row r="30" spans="1:81" customFormat="1" ht="18.75" thickBot="1">
      <c r="A30" s="1"/>
      <c r="B30" s="126" t="s">
        <v>435</v>
      </c>
      <c r="C30" s="134"/>
      <c r="D30" s="135"/>
      <c r="E30" s="131"/>
      <c r="F30" s="130"/>
      <c r="G30" s="1048">
        <f>C13*(1+G22/100)</f>
        <v>13343.31931945635</v>
      </c>
      <c r="H30" s="130"/>
      <c r="I30" s="31" t="s">
        <v>436</v>
      </c>
      <c r="J30" s="115"/>
      <c r="K30" s="32"/>
      <c r="L30" s="1"/>
      <c r="M30" s="1"/>
      <c r="N30" s="1"/>
      <c r="O30" s="1"/>
      <c r="P30" s="146"/>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row>
    <row r="31" spans="1:81" customFormat="1" ht="15.75" thickBot="1">
      <c r="A31" s="1"/>
      <c r="B31" s="126"/>
      <c r="C31" s="134"/>
      <c r="D31" s="135"/>
      <c r="E31" s="131"/>
      <c r="F31" s="130"/>
      <c r="G31" s="130"/>
      <c r="H31" s="130"/>
      <c r="I31" s="31"/>
      <c r="J31" s="115"/>
      <c r="K31" s="32"/>
      <c r="L31" s="1"/>
      <c r="M31" s="1"/>
      <c r="N31" s="1"/>
      <c r="O31" s="1"/>
      <c r="P31" s="146"/>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row>
    <row r="32" spans="1:81" customFormat="1" ht="18.75" thickBot="1">
      <c r="A32" s="1"/>
      <c r="B32" s="126" t="s">
        <v>29</v>
      </c>
      <c r="C32" s="134"/>
      <c r="D32" s="135"/>
      <c r="E32" s="131"/>
      <c r="F32" s="130"/>
      <c r="G32" s="1046">
        <f>((G30-F14)/F14)*100</f>
        <v>1.2491751216487026</v>
      </c>
      <c r="H32" s="130"/>
      <c r="I32" s="31" t="s">
        <v>437</v>
      </c>
      <c r="J32" s="115"/>
      <c r="K32" s="32"/>
      <c r="L32" s="1"/>
      <c r="M32" s="1"/>
      <c r="N32" s="1"/>
      <c r="O32" s="1"/>
      <c r="P32" s="146"/>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row>
    <row r="33" spans="1:81" customFormat="1" ht="15.75" thickBot="1">
      <c r="A33" s="1"/>
      <c r="B33" s="402"/>
      <c r="C33" s="403"/>
      <c r="D33" s="404"/>
      <c r="E33" s="401"/>
      <c r="F33" s="400"/>
      <c r="G33" s="405"/>
      <c r="H33" s="138"/>
      <c r="I33" s="123"/>
      <c r="J33" s="123"/>
      <c r="K33" s="124"/>
      <c r="L33" s="1"/>
      <c r="M33" s="1"/>
      <c r="N33" s="1"/>
      <c r="O33" s="1"/>
      <c r="P33" s="146"/>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row>
    <row r="34" spans="1:81" customFormat="1">
      <c r="A34" s="1"/>
      <c r="B34" s="1"/>
      <c r="C34" s="1"/>
      <c r="D34" s="1"/>
      <c r="E34" s="1"/>
      <c r="F34" s="1"/>
      <c r="G34" s="1"/>
      <c r="H34" s="1"/>
      <c r="I34" s="1"/>
      <c r="J34" s="1"/>
      <c r="K34" s="1"/>
      <c r="L34" s="1"/>
      <c r="M34" s="1"/>
      <c r="N34" s="1"/>
      <c r="O34" s="1"/>
      <c r="P34" s="146"/>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row>
    <row r="35" spans="1:81">
      <c r="A35" s="1"/>
      <c r="B35" s="1"/>
      <c r="C35" s="1"/>
      <c r="D35" s="1"/>
      <c r="E35" s="1"/>
      <c r="F35" s="1"/>
      <c r="G35" s="1"/>
      <c r="H35" s="1"/>
      <c r="I35" s="1"/>
      <c r="J35" s="1"/>
      <c r="K35" s="1"/>
      <c r="L35" s="120"/>
      <c r="M35" s="1"/>
      <c r="N35" s="1"/>
      <c r="O35" s="1"/>
      <c r="P35" s="146"/>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row>
    <row r="36" spans="1:81">
      <c r="A36" s="1"/>
      <c r="B36" s="1"/>
      <c r="C36" s="1"/>
      <c r="D36" s="1"/>
      <c r="E36" s="1"/>
      <c r="F36" s="1"/>
      <c r="G36" s="1"/>
      <c r="H36" s="1"/>
      <c r="I36" s="1"/>
      <c r="J36" s="1"/>
      <c r="K36" s="1"/>
      <c r="L36" s="1"/>
      <c r="M36" s="1"/>
      <c r="N36" s="1"/>
      <c r="O36" s="1"/>
      <c r="P36" s="146"/>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row>
    <row r="37" spans="1:81">
      <c r="A37" s="1"/>
      <c r="B37" s="1"/>
      <c r="C37" s="1"/>
      <c r="D37" s="1"/>
      <c r="E37" s="1"/>
      <c r="F37" s="1"/>
      <c r="G37" s="1"/>
      <c r="H37" s="1"/>
      <c r="I37" s="1"/>
      <c r="J37" s="1"/>
      <c r="K37" s="1"/>
      <c r="L37" s="1"/>
      <c r="M37" s="1"/>
      <c r="N37" s="1"/>
      <c r="O37" s="1"/>
      <c r="P37" s="146"/>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row>
  </sheetData>
  <mergeCells count="4">
    <mergeCell ref="C2:G2"/>
    <mergeCell ref="C3:H3"/>
    <mergeCell ref="B4:H4"/>
    <mergeCell ref="B17:K1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BT377"/>
  <sheetViews>
    <sheetView showGridLines="0" topLeftCell="E18" workbookViewId="0">
      <selection activeCell="K42" sqref="K42"/>
    </sheetView>
  </sheetViews>
  <sheetFormatPr baseColWidth="10" defaultColWidth="9.42578125" defaultRowHeight="15" outlineLevelRow="1" outlineLevelCol="1"/>
  <cols>
    <col min="1" max="1" width="9.42578125" style="2" hidden="1" customWidth="1" outlineLevel="1"/>
    <col min="2" max="4" width="9.42578125" style="113" hidden="1" customWidth="1" outlineLevel="1"/>
    <col min="5" max="5" width="9.42578125" style="113" customWidth="1" collapsed="1"/>
    <col min="6" max="6" width="13" style="113" customWidth="1"/>
    <col min="7" max="7" width="16.5703125" style="113" customWidth="1"/>
    <col min="8" max="8" width="16.28515625" style="2" customWidth="1"/>
    <col min="9" max="9" width="27.5703125" style="2" customWidth="1"/>
    <col min="10" max="11" width="10.5703125" style="2" customWidth="1"/>
    <col min="12" max="12" width="8.42578125" style="2" customWidth="1"/>
    <col min="13" max="14" width="9.42578125" style="2"/>
    <col min="15" max="15" width="10.140625" style="2" customWidth="1"/>
    <col min="16" max="16" width="9.42578125" style="2" customWidth="1"/>
    <col min="17" max="17" width="9.42578125" style="2"/>
    <col min="18" max="18" width="12.140625" style="2" bestFit="1" customWidth="1"/>
    <col min="19" max="16384" width="9.42578125" style="2"/>
  </cols>
  <sheetData>
    <row r="1" spans="6:72" hidden="1" outlineLevel="1">
      <c r="H1" s="1"/>
      <c r="I1" s="113"/>
      <c r="J1" s="113"/>
      <c r="K1" s="113"/>
      <c r="L1" s="113"/>
      <c r="M1" s="113"/>
      <c r="N1" s="113"/>
      <c r="O1" s="113"/>
      <c r="P1" s="113"/>
      <c r="Q1" s="113"/>
      <c r="R1" s="113"/>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6:72" hidden="1" outlineLevel="1">
      <c r="H2" s="113"/>
      <c r="I2" s="113"/>
      <c r="J2" s="113"/>
      <c r="K2" s="113"/>
      <c r="L2" s="113"/>
      <c r="M2" s="113"/>
      <c r="N2" s="113"/>
      <c r="O2" s="113"/>
      <c r="P2" s="113"/>
      <c r="Q2" s="113"/>
      <c r="R2" s="113"/>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6:72" ht="15" hidden="1" customHeight="1" outlineLevel="1">
      <c r="H3" s="113"/>
      <c r="I3" s="113"/>
      <c r="J3" s="113"/>
      <c r="K3" s="113"/>
      <c r="L3" s="113"/>
      <c r="M3" s="113"/>
      <c r="N3" s="113"/>
      <c r="O3" s="113"/>
      <c r="P3" s="113"/>
      <c r="Q3" s="113"/>
      <c r="R3" s="113"/>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6:72" ht="15" hidden="1" customHeight="1" outlineLevel="1">
      <c r="H4" s="113"/>
      <c r="I4" s="113"/>
      <c r="J4" s="113"/>
      <c r="K4" s="113"/>
      <c r="L4" s="113"/>
      <c r="M4" s="113"/>
      <c r="N4" s="113"/>
      <c r="O4" s="113"/>
      <c r="P4" s="1"/>
      <c r="Q4" s="1"/>
      <c r="R4" s="113"/>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6:72" ht="15" hidden="1" customHeight="1" outlineLevel="1">
      <c r="H5" s="113"/>
      <c r="I5" s="113"/>
      <c r="J5" s="113"/>
      <c r="K5" s="113"/>
      <c r="L5" s="113"/>
      <c r="M5" s="113"/>
      <c r="N5" s="113"/>
      <c r="O5" s="113"/>
      <c r="P5" s="1"/>
      <c r="Q5" s="1"/>
      <c r="R5" s="113"/>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6:72" ht="15" hidden="1" customHeight="1" outlineLevel="1">
      <c r="H6" s="113"/>
      <c r="I6" s="113"/>
      <c r="J6" s="113"/>
      <c r="K6" s="113"/>
      <c r="L6" s="113"/>
      <c r="M6" s="113"/>
      <c r="N6" s="113"/>
      <c r="O6" s="113"/>
      <c r="P6" s="1"/>
      <c r="Q6" s="1"/>
      <c r="R6" s="113"/>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6:72" ht="15" hidden="1" customHeight="1" outlineLevel="1">
      <c r="H7" s="113"/>
      <c r="I7" s="113"/>
      <c r="J7" s="113"/>
      <c r="K7" s="113"/>
      <c r="L7" s="113"/>
      <c r="M7" s="113"/>
      <c r="N7" s="113"/>
      <c r="O7" s="113"/>
      <c r="P7" s="1"/>
      <c r="Q7" s="1"/>
      <c r="R7" s="113"/>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6:72" ht="15" hidden="1" customHeight="1" outlineLevel="1">
      <c r="H8" s="113"/>
      <c r="I8" s="113"/>
      <c r="J8" s="113"/>
      <c r="K8" s="113"/>
      <c r="L8" s="113"/>
      <c r="M8" s="113"/>
      <c r="N8" s="113"/>
      <c r="O8" s="113"/>
      <c r="P8" s="1"/>
      <c r="Q8" s="1"/>
      <c r="R8" s="113"/>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6:72" ht="15" hidden="1" customHeight="1" outlineLevel="1">
      <c r="H9" s="113"/>
      <c r="I9" s="113"/>
      <c r="J9" s="113"/>
      <c r="K9" s="113"/>
      <c r="L9" s="113"/>
      <c r="M9" s="113"/>
      <c r="N9" s="113"/>
      <c r="O9" s="113"/>
      <c r="P9" s="1"/>
      <c r="Q9" s="1"/>
      <c r="R9" s="113"/>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6:72" ht="15" hidden="1" customHeight="1" outlineLevel="1">
      <c r="H10" s="113"/>
      <c r="I10" s="113"/>
      <c r="J10" s="113"/>
      <c r="K10" s="113"/>
      <c r="L10" s="113"/>
      <c r="M10" s="113"/>
      <c r="N10" s="113"/>
      <c r="O10" s="113"/>
      <c r="P10" s="1"/>
      <c r="Q10" s="1"/>
      <c r="R10" s="113"/>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6:72" ht="15" hidden="1" customHeight="1" outlineLevel="1" collapsed="1">
      <c r="H11" s="113"/>
      <c r="I11" s="113"/>
      <c r="J11" s="113"/>
      <c r="K11" s="113"/>
      <c r="L11" s="113"/>
      <c r="M11" s="113"/>
      <c r="N11" s="113"/>
      <c r="O11" s="113"/>
      <c r="P11" s="1"/>
      <c r="Q11" s="1"/>
      <c r="R11" s="113"/>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6:72" ht="15" customHeight="1" collapsed="1">
      <c r="H12" s="113"/>
      <c r="I12" s="113"/>
      <c r="J12" s="113"/>
      <c r="K12" s="113"/>
      <c r="L12" s="113"/>
      <c r="M12" s="113"/>
      <c r="N12" s="113"/>
      <c r="O12" s="113"/>
      <c r="P12" s="1"/>
      <c r="Q12" s="1"/>
      <c r="R12" s="113"/>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6:72" ht="25.5" customHeight="1" thickBot="1">
      <c r="F13" s="1147" t="s">
        <v>438</v>
      </c>
      <c r="G13" s="1147"/>
      <c r="H13" s="113"/>
      <c r="I13" s="374"/>
      <c r="J13" s="369"/>
      <c r="K13" s="369"/>
      <c r="L13" s="369" t="s">
        <v>439</v>
      </c>
      <c r="M13" s="369"/>
      <c r="N13" s="369"/>
      <c r="O13" s="369"/>
      <c r="P13" s="369"/>
      <c r="Q13" s="369"/>
      <c r="R13" s="113"/>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6:72" ht="25.5" customHeight="1">
      <c r="F14" s="1024"/>
      <c r="G14" s="1025" t="s">
        <v>440</v>
      </c>
      <c r="H14" s="113"/>
      <c r="I14" s="374" t="s">
        <v>441</v>
      </c>
      <c r="J14" s="369"/>
      <c r="K14" s="369"/>
      <c r="L14" s="369"/>
      <c r="M14" s="369"/>
      <c r="N14" s="369"/>
      <c r="O14" s="369"/>
      <c r="P14" s="369"/>
      <c r="Q14" s="369"/>
      <c r="R14" s="490"/>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6:72" ht="15" customHeight="1">
      <c r="F15" s="1026">
        <v>40544</v>
      </c>
      <c r="G15" s="144">
        <v>4.8352713407175951</v>
      </c>
      <c r="H15" s="113"/>
      <c r="I15" s="113"/>
      <c r="J15" s="113"/>
      <c r="K15" s="113"/>
      <c r="L15" s="113"/>
      <c r="M15" s="113"/>
      <c r="N15" s="113"/>
      <c r="O15" s="113"/>
      <c r="P15" s="1"/>
      <c r="Q15" s="1"/>
      <c r="R15" s="113"/>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6:72">
      <c r="F16" s="1026">
        <v>40575</v>
      </c>
      <c r="G16" s="144">
        <v>4.5743345868221263</v>
      </c>
      <c r="H16" s="113"/>
      <c r="I16" s="112" t="s">
        <v>442</v>
      </c>
      <c r="J16" s="112"/>
      <c r="K16" s="112"/>
      <c r="L16" s="112"/>
      <c r="M16" s="1"/>
      <c r="N16" s="1"/>
      <c r="O16" s="1"/>
      <c r="P16" s="1"/>
      <c r="Q16" s="1"/>
      <c r="R16" s="113"/>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6:72">
      <c r="F17" s="1026">
        <v>40603</v>
      </c>
      <c r="G17" s="144">
        <v>4.5830834033867562</v>
      </c>
      <c r="H17" s="113"/>
      <c r="I17" s="112" t="s">
        <v>443</v>
      </c>
      <c r="J17" s="112"/>
      <c r="K17" s="112"/>
      <c r="L17" s="112"/>
      <c r="M17" s="1"/>
      <c r="N17" s="1"/>
      <c r="O17" s="1"/>
      <c r="P17" s="1"/>
      <c r="Q17" s="1"/>
      <c r="R17" s="145"/>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6:72">
      <c r="F18" s="1026">
        <v>40634</v>
      </c>
      <c r="G18" s="144">
        <v>4.681901778288422</v>
      </c>
      <c r="H18" s="113"/>
      <c r="I18" s="112" t="s">
        <v>444</v>
      </c>
      <c r="J18" s="112"/>
      <c r="K18" s="112"/>
      <c r="L18" s="112"/>
      <c r="M18" s="113"/>
      <c r="N18" s="113"/>
      <c r="O18" s="113"/>
      <c r="P18" s="113"/>
      <c r="Q18" s="113"/>
      <c r="R18" s="113"/>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6:72" ht="15.75" thickBot="1">
      <c r="F19" s="1026">
        <v>40664</v>
      </c>
      <c r="G19" s="144">
        <v>4.8451392250327574</v>
      </c>
      <c r="H19" s="113"/>
      <c r="I19" s="145"/>
      <c r="J19" s="1"/>
      <c r="K19" s="1"/>
      <c r="L19" s="113"/>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6:72">
      <c r="F20" s="1026">
        <v>40695</v>
      </c>
      <c r="G20" s="144">
        <v>5.1759635599659015</v>
      </c>
      <c r="H20" s="113"/>
      <c r="I20" s="643" t="s">
        <v>445</v>
      </c>
      <c r="J20" s="299"/>
      <c r="K20" s="299"/>
      <c r="L20" s="299"/>
      <c r="M20" s="299"/>
      <c r="N20" s="299"/>
      <c r="O20" s="299"/>
      <c r="P20" s="299"/>
      <c r="Q20" s="299"/>
      <c r="R20" s="644"/>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6:72">
      <c r="F21" s="1026">
        <v>40725</v>
      </c>
      <c r="G21" s="144">
        <v>5.1938669501780055</v>
      </c>
      <c r="H21" s="113"/>
      <c r="I21" s="30"/>
      <c r="J21" s="31"/>
      <c r="K21" s="31"/>
      <c r="L21" s="31"/>
      <c r="M21" s="31"/>
      <c r="N21" s="31"/>
      <c r="O21" s="31"/>
      <c r="P21" s="31"/>
      <c r="Q21" s="31"/>
      <c r="R21" s="32"/>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6:72" ht="15.75" thickBot="1">
      <c r="F22" s="1026">
        <v>40756</v>
      </c>
      <c r="G22" s="144">
        <v>5.2518141402637664</v>
      </c>
      <c r="H22" s="113"/>
      <c r="I22" s="30"/>
      <c r="J22" s="31"/>
      <c r="K22" s="304" t="s">
        <v>446</v>
      </c>
      <c r="L22" s="31"/>
      <c r="M22" s="305" t="s">
        <v>447</v>
      </c>
      <c r="N22" s="31"/>
      <c r="O22" s="304" t="s">
        <v>448</v>
      </c>
      <c r="P22" s="31"/>
      <c r="Q22" s="305"/>
      <c r="R22" s="645"/>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6:72" ht="15.75" thickBot="1">
      <c r="F23" s="1026">
        <v>40787</v>
      </c>
      <c r="G23" s="144">
        <v>5.1747094400847571</v>
      </c>
      <c r="H23" s="113"/>
      <c r="I23" s="126" t="s">
        <v>449</v>
      </c>
      <c r="J23" s="31"/>
      <c r="K23" s="370">
        <v>1</v>
      </c>
      <c r="L23" s="304"/>
      <c r="M23" s="488">
        <v>1.4</v>
      </c>
      <c r="N23" s="31"/>
      <c r="O23" s="370">
        <f>K23*M23</f>
        <v>1.4</v>
      </c>
      <c r="P23" s="29"/>
      <c r="Q23" s="306"/>
      <c r="R23" s="17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6:72" ht="15.75" thickBot="1">
      <c r="F24" s="1026">
        <v>40817</v>
      </c>
      <c r="G24" s="144">
        <v>4.92632435102065</v>
      </c>
      <c r="H24" s="113"/>
      <c r="I24" s="128"/>
      <c r="J24" s="31"/>
      <c r="K24" s="307"/>
      <c r="L24" s="307"/>
      <c r="M24" s="887"/>
      <c r="N24" s="304"/>
      <c r="O24" s="304"/>
      <c r="P24" s="29"/>
      <c r="Q24" s="115"/>
      <c r="R24" s="32"/>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row>
    <row r="25" spans="6:72" ht="15.75" thickBot="1">
      <c r="F25" s="1026">
        <v>40848</v>
      </c>
      <c r="G25" s="144">
        <v>4.5554336736100653</v>
      </c>
      <c r="H25" s="113"/>
      <c r="I25" s="126" t="s">
        <v>450</v>
      </c>
      <c r="J25" s="31"/>
      <c r="K25" s="136">
        <f>K40</f>
        <v>6.1358513231091658</v>
      </c>
      <c r="L25" s="304"/>
      <c r="M25" s="488">
        <v>0.7</v>
      </c>
      <c r="N25" s="304"/>
      <c r="O25" s="370">
        <f>K25*M25</f>
        <v>4.2950959261764154</v>
      </c>
      <c r="P25" s="29"/>
      <c r="Q25" s="115"/>
      <c r="R25" s="32"/>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6:72" ht="15.75" thickBot="1">
      <c r="F26" s="1026">
        <v>40878</v>
      </c>
      <c r="G26" s="144">
        <v>4.7300000000000004</v>
      </c>
      <c r="H26" s="113"/>
      <c r="I26" s="189"/>
      <c r="J26" s="31"/>
      <c r="K26" s="367"/>
      <c r="L26" s="158"/>
      <c r="M26" s="143"/>
      <c r="N26" s="29"/>
      <c r="O26" s="371"/>
      <c r="P26" s="29"/>
      <c r="Q26" s="29"/>
      <c r="R26" s="32"/>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6:72" ht="15.75" thickBot="1">
      <c r="F27" s="1026">
        <v>40909</v>
      </c>
      <c r="G27" s="144">
        <v>4.2138538779120216</v>
      </c>
      <c r="H27" s="113"/>
      <c r="I27" s="126" t="s">
        <v>451</v>
      </c>
      <c r="J27" s="31"/>
      <c r="K27" s="136">
        <f>'PIB real y brecha del producto'!G32</f>
        <v>1.2491751216487026</v>
      </c>
      <c r="L27" s="307"/>
      <c r="M27" s="488">
        <v>1.4</v>
      </c>
      <c r="N27" s="133"/>
      <c r="O27" s="370">
        <f>K27*M27</f>
        <v>1.7488451703081835</v>
      </c>
      <c r="P27" s="29"/>
      <c r="Q27" s="31"/>
      <c r="R27" s="32"/>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6:72" ht="15.75" thickBot="1">
      <c r="F28" s="1026">
        <v>40940</v>
      </c>
      <c r="G28" s="144">
        <v>4.0533296398997054</v>
      </c>
      <c r="H28" s="113"/>
      <c r="I28" s="189"/>
      <c r="J28" s="31"/>
      <c r="K28" s="371"/>
      <c r="L28" s="29"/>
      <c r="M28" s="888"/>
      <c r="N28" s="29"/>
      <c r="O28" s="371"/>
      <c r="P28" s="29"/>
      <c r="Q28" s="29"/>
      <c r="R28" s="17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row>
    <row r="29" spans="6:72" ht="15.75" thickBot="1">
      <c r="F29" s="1026">
        <v>40969</v>
      </c>
      <c r="G29" s="144">
        <v>4.2080604426191659</v>
      </c>
      <c r="H29" s="113"/>
      <c r="I29" s="126" t="s">
        <v>452</v>
      </c>
      <c r="J29" s="31"/>
      <c r="K29" s="1017">
        <v>-0.31525678486062586</v>
      </c>
      <c r="L29" s="130"/>
      <c r="M29" s="488">
        <v>0.28000000000000003</v>
      </c>
      <c r="N29" s="133"/>
      <c r="O29" s="886">
        <f>K29*M29</f>
        <v>-8.8271899760975256E-2</v>
      </c>
      <c r="P29" s="29"/>
      <c r="Q29" s="31"/>
      <c r="R29" s="32"/>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row>
    <row r="30" spans="6:72" ht="15.75" thickBot="1">
      <c r="F30" s="1026">
        <v>41000</v>
      </c>
      <c r="G30" s="144">
        <v>4.7073967134633632</v>
      </c>
      <c r="H30" s="113"/>
      <c r="I30" s="646"/>
      <c r="J30" s="31"/>
      <c r="K30" s="130"/>
      <c r="L30" s="131"/>
      <c r="M30" s="133"/>
      <c r="N30" s="133"/>
      <c r="O30" s="372"/>
      <c r="P30" s="29"/>
      <c r="Q30" s="31"/>
      <c r="R30" s="32"/>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row>
    <row r="31" spans="6:72" ht="15.75" thickBot="1">
      <c r="F31" s="1026">
        <v>41030</v>
      </c>
      <c r="G31" s="144">
        <v>5.0352968167233447</v>
      </c>
      <c r="H31" s="113"/>
      <c r="I31" s="126" t="s">
        <v>453</v>
      </c>
      <c r="J31" s="31"/>
      <c r="K31" s="130"/>
      <c r="L31" s="131"/>
      <c r="M31" s="133"/>
      <c r="N31" s="133"/>
      <c r="O31" s="1128">
        <f>O23+O25+O27+O29</f>
        <v>7.3556691967236247</v>
      </c>
      <c r="P31" s="29"/>
      <c r="Q31" s="31"/>
      <c r="R31" s="32"/>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row>
    <row r="32" spans="6:72" ht="15.75" thickBot="1">
      <c r="F32" s="1026">
        <v>41061</v>
      </c>
      <c r="G32" s="144">
        <v>4.6149100506597929</v>
      </c>
      <c r="H32" s="113"/>
      <c r="I32" s="647"/>
      <c r="J32" s="123"/>
      <c r="K32" s="400"/>
      <c r="L32" s="648"/>
      <c r="M32" s="401"/>
      <c r="N32" s="401"/>
      <c r="O32" s="649"/>
      <c r="P32" s="138"/>
      <c r="Q32" s="123"/>
      <c r="R32" s="124"/>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6:72" ht="15.75" thickBot="1">
      <c r="F33" s="1026">
        <v>41091</v>
      </c>
      <c r="G33" s="144">
        <v>3.9486456658441638</v>
      </c>
      <c r="H33" s="113"/>
      <c r="I33" s="113"/>
      <c r="J33" s="113"/>
      <c r="K33" s="113"/>
      <c r="L33" s="113"/>
      <c r="M33" s="113"/>
      <c r="N33" s="113"/>
      <c r="O33" s="113"/>
      <c r="P33" s="113"/>
      <c r="Q33" s="113"/>
      <c r="R33" s="113"/>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6:72" ht="18.75" thickBot="1">
      <c r="F34" s="1026">
        <v>41122</v>
      </c>
      <c r="G34" s="144">
        <v>4.2308691089470107</v>
      </c>
      <c r="H34" s="113"/>
      <c r="I34" s="890" t="s">
        <v>1225</v>
      </c>
      <c r="J34" s="113"/>
      <c r="K34" s="1016">
        <f>K36-K29</f>
        <v>-7.6453412808979992E-4</v>
      </c>
      <c r="L34" s="113"/>
      <c r="M34" s="113"/>
      <c r="N34" s="113"/>
      <c r="O34" s="1129">
        <f>O31</f>
        <v>7.3556691967236247</v>
      </c>
      <c r="P34" s="113"/>
      <c r="Q34" s="113"/>
      <c r="R34" s="113"/>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row>
    <row r="35" spans="6:72" ht="15.75" thickBot="1">
      <c r="F35" s="1026">
        <v>41153</v>
      </c>
      <c r="G35" s="144">
        <v>4.4663053093978666</v>
      </c>
      <c r="H35" s="113"/>
      <c r="I35" s="145"/>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row>
    <row r="36" spans="6:72" ht="15.75" thickBot="1">
      <c r="F36" s="1026">
        <v>41183</v>
      </c>
      <c r="G36" s="144">
        <v>4.6840231206939809</v>
      </c>
      <c r="H36" s="113"/>
      <c r="I36" s="767" t="s">
        <v>452</v>
      </c>
      <c r="K36" s="486">
        <f>'TC nominal'!I34*100</f>
        <v>-0.31602131898871566</v>
      </c>
      <c r="L36" s="373"/>
      <c r="M36" s="373"/>
      <c r="N36" s="373"/>
      <c r="O36" s="353">
        <f>O31-O34</f>
        <v>0</v>
      </c>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row>
    <row r="37" spans="6:72">
      <c r="F37" s="1026">
        <v>41214</v>
      </c>
      <c r="G37" s="144">
        <v>5.216366320114818</v>
      </c>
      <c r="H37" s="113"/>
      <c r="I37" s="145"/>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row>
    <row r="38" spans="6:72">
      <c r="F38" s="1026">
        <v>41244</v>
      </c>
      <c r="G38" s="144">
        <v>4.9999999999999822</v>
      </c>
      <c r="H38" s="113"/>
      <c r="I38" s="130" t="s">
        <v>449</v>
      </c>
      <c r="J38" s="31"/>
      <c r="K38" s="372">
        <v>1</v>
      </c>
      <c r="L38" s="31"/>
      <c r="M38" s="31"/>
      <c r="N38" s="31"/>
      <c r="O38" s="31"/>
      <c r="P38" s="31"/>
      <c r="Q38" s="31"/>
      <c r="R38" s="3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row>
    <row r="39" spans="6:72" ht="15.75" thickBot="1">
      <c r="F39" s="1026">
        <v>41275</v>
      </c>
      <c r="G39" s="144">
        <f t="shared" ref="G39:G49" si="0">$K$25+G27-AVERAGE($G$27:$G$38)</f>
        <v>5.81811711216492</v>
      </c>
      <c r="H39" s="113"/>
      <c r="I39" s="127"/>
      <c r="J39" s="31"/>
      <c r="K39" s="368"/>
      <c r="L39" s="31"/>
      <c r="M39" s="31"/>
      <c r="N39" s="31"/>
      <c r="O39" s="31"/>
      <c r="P39" s="31"/>
      <c r="Q39" s="31"/>
      <c r="R39" s="3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row>
    <row r="40" spans="6:72" ht="15.75" thickBot="1">
      <c r="F40" s="1026">
        <v>41306</v>
      </c>
      <c r="G40" s="144">
        <f t="shared" si="0"/>
        <v>5.6575928741526038</v>
      </c>
      <c r="H40" s="113"/>
      <c r="I40" s="130" t="s">
        <v>454</v>
      </c>
      <c r="J40" s="31"/>
      <c r="K40" s="376">
        <v>6.1358513231091658</v>
      </c>
      <c r="L40" s="31"/>
      <c r="M40" s="31"/>
      <c r="N40" s="31"/>
      <c r="O40" s="31"/>
      <c r="P40" s="31"/>
      <c r="Q40" s="31"/>
      <c r="R40" s="3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6:72" ht="15.75" thickBot="1">
      <c r="F41" s="1026">
        <v>41334</v>
      </c>
      <c r="G41" s="144">
        <f t="shared" si="0"/>
        <v>5.8123236768720652</v>
      </c>
      <c r="H41" s="113"/>
      <c r="I41" s="29"/>
      <c r="J41" s="31"/>
      <c r="K41" s="367"/>
      <c r="L41" s="31"/>
      <c r="M41" s="31"/>
      <c r="N41" s="31"/>
      <c r="O41" s="31"/>
      <c r="P41" s="31"/>
      <c r="Q41" s="31"/>
      <c r="R41" s="3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6:72" ht="15.75" thickBot="1">
      <c r="F42" s="1026">
        <v>41365</v>
      </c>
      <c r="G42" s="144">
        <f t="shared" si="0"/>
        <v>6.3116599477162616</v>
      </c>
      <c r="H42" s="113"/>
      <c r="I42" s="130" t="s">
        <v>451</v>
      </c>
      <c r="J42" s="31"/>
      <c r="K42" s="376">
        <f>100*(('Cuadro PIB'!K28-PIB_real!L19)/PIB_real!L19)</f>
        <v>1.2491751216487026</v>
      </c>
      <c r="L42" s="31"/>
      <c r="M42" s="31"/>
      <c r="N42" s="31"/>
      <c r="O42" s="31"/>
      <c r="P42" s="31"/>
      <c r="Q42" s="31"/>
      <c r="R42" s="3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row>
    <row r="43" spans="6:72" ht="15.75" thickBot="1">
      <c r="F43" s="1026">
        <v>41395</v>
      </c>
      <c r="G43" s="144">
        <f t="shared" si="0"/>
        <v>6.6395600509762431</v>
      </c>
      <c r="H43" s="113"/>
      <c r="I43" s="29"/>
      <c r="J43" s="31"/>
      <c r="K43" s="371"/>
      <c r="L43" s="31"/>
      <c r="M43" s="31"/>
      <c r="N43" s="31"/>
      <c r="O43" s="31"/>
      <c r="P43" s="31"/>
      <c r="Q43" s="31"/>
      <c r="R43" s="3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6:72" ht="15.75" thickBot="1">
      <c r="F44" s="1026">
        <v>41426</v>
      </c>
      <c r="G44" s="144">
        <f t="shared" si="0"/>
        <v>6.2191732849126922</v>
      </c>
      <c r="H44" s="113"/>
      <c r="I44" s="130" t="s">
        <v>455</v>
      </c>
      <c r="J44" s="31"/>
      <c r="K44" s="376">
        <f>'TC nominal'!I24-'TC nominal'!I32</f>
        <v>0.41721528213294334</v>
      </c>
      <c r="L44" s="31"/>
      <c r="M44" s="31"/>
      <c r="N44" s="264"/>
      <c r="O44" s="264"/>
      <c r="P44" s="264"/>
      <c r="Q44" s="31"/>
      <c r="R44" s="3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row r="45" spans="6:72" ht="15.75" thickBot="1">
      <c r="F45" s="1026">
        <v>41456</v>
      </c>
      <c r="G45" s="144">
        <f t="shared" si="0"/>
        <v>5.5529089000970622</v>
      </c>
      <c r="H45" s="113"/>
      <c r="I45" s="1"/>
      <c r="J45" s="1"/>
      <c r="K45" s="1"/>
      <c r="L45" s="1"/>
      <c r="M45" s="1"/>
      <c r="N45" s="356"/>
      <c r="O45" s="356"/>
      <c r="P45" s="356"/>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row>
    <row r="46" spans="6:72">
      <c r="F46" s="1026">
        <v>41487</v>
      </c>
      <c r="G46" s="144">
        <f t="shared" si="0"/>
        <v>5.8351323431999091</v>
      </c>
      <c r="H46" s="113"/>
      <c r="I46" s="650"/>
      <c r="J46" s="651">
        <v>2006</v>
      </c>
      <c r="K46" s="651">
        <v>2007</v>
      </c>
      <c r="L46" s="651">
        <v>2008</v>
      </c>
      <c r="M46" s="651">
        <v>2009</v>
      </c>
      <c r="N46" s="651">
        <v>2010</v>
      </c>
      <c r="O46" s="651">
        <v>2011</v>
      </c>
      <c r="P46" s="651">
        <v>2012</v>
      </c>
      <c r="Q46" s="651">
        <v>2013</v>
      </c>
      <c r="R46" s="652">
        <v>2014</v>
      </c>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row>
    <row r="47" spans="6:72">
      <c r="F47" s="1026">
        <v>41518</v>
      </c>
      <c r="G47" s="144">
        <f t="shared" si="0"/>
        <v>6.070568543650765</v>
      </c>
      <c r="H47" s="113"/>
      <c r="I47" s="653" t="s">
        <v>456</v>
      </c>
      <c r="J47" s="375">
        <v>111.47076281469224</v>
      </c>
      <c r="K47" s="375">
        <v>121.90111549619533</v>
      </c>
      <c r="L47" s="375">
        <v>138.26591436753131</v>
      </c>
      <c r="M47" s="375">
        <v>149.10977218340307</v>
      </c>
      <c r="N47" s="375">
        <v>157.55334148580278</v>
      </c>
      <c r="O47" s="375">
        <v>165.23902853400347</v>
      </c>
      <c r="P47" s="375">
        <v>173.50097996070366</v>
      </c>
      <c r="Q47" s="375">
        <v>184.14674213522986</v>
      </c>
      <c r="R47" s="889">
        <f>Q47*(1+Inflación!O31/100)</f>
        <v>197.69196732324107</v>
      </c>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row>
    <row r="48" spans="6:72">
      <c r="F48" s="1026">
        <v>41548</v>
      </c>
      <c r="G48" s="144">
        <f t="shared" si="0"/>
        <v>6.2882863549468802</v>
      </c>
      <c r="H48" s="113"/>
      <c r="I48" s="653" t="s">
        <v>457</v>
      </c>
      <c r="J48" s="375">
        <v>109.43369957536677</v>
      </c>
      <c r="K48" s="375">
        <v>121.25902377866329</v>
      </c>
      <c r="L48" s="375">
        <v>138.11440113626225</v>
      </c>
      <c r="M48" s="375">
        <v>143.70487247121216</v>
      </c>
      <c r="N48" s="375">
        <v>152.07995120113708</v>
      </c>
      <c r="O48" s="375">
        <v>159.27529168357262</v>
      </c>
      <c r="P48" s="375">
        <v>167.39833155943481</v>
      </c>
      <c r="Q48" s="375">
        <v>178.45375802536728</v>
      </c>
      <c r="R48" s="889">
        <f>(Q48/Q47)*(Q47*(1+G51/100))</f>
        <v>191.01321749487266</v>
      </c>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row>
    <row r="49" spans="6:72">
      <c r="F49" s="1026">
        <v>41579</v>
      </c>
      <c r="G49" s="144">
        <f t="shared" si="0"/>
        <v>6.8206295543677165</v>
      </c>
      <c r="H49" s="113"/>
      <c r="I49" s="653" t="s">
        <v>458</v>
      </c>
      <c r="J49" s="100">
        <v>11.470762814692236</v>
      </c>
      <c r="K49" s="100">
        <v>9.357029967438546</v>
      </c>
      <c r="L49" s="100">
        <v>13.4246506315578</v>
      </c>
      <c r="M49" s="100">
        <v>7.8427556534629073</v>
      </c>
      <c r="N49" s="100">
        <v>5.662653210960733</v>
      </c>
      <c r="O49" s="100">
        <v>4.8781491879010819</v>
      </c>
      <c r="P49" s="100">
        <v>5</v>
      </c>
      <c r="Q49" s="100">
        <v>6.1358513231091649</v>
      </c>
      <c r="R49" s="119">
        <f>100*(R47/Q47-1)</f>
        <v>7.3556691967236354</v>
      </c>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row>
    <row r="50" spans="6:72">
      <c r="F50" s="1026">
        <v>41609</v>
      </c>
      <c r="G50" s="144">
        <f>$K$25+G38-AVERAGE($G$27:$G$38)</f>
        <v>6.6042632342528798</v>
      </c>
      <c r="H50" s="113"/>
      <c r="I50" s="653" t="s">
        <v>459</v>
      </c>
      <c r="J50" s="100"/>
      <c r="K50" s="100">
        <v>10.80592564190197</v>
      </c>
      <c r="L50" s="100">
        <v>13.900307649157263</v>
      </c>
      <c r="M50" s="100">
        <v>4.0477106579453803</v>
      </c>
      <c r="N50" s="100">
        <v>5.8279713038976277</v>
      </c>
      <c r="O50" s="100">
        <v>4.7312880005591085</v>
      </c>
      <c r="P50" s="100">
        <v>5.0999999999999996</v>
      </c>
      <c r="Q50" s="100">
        <v>6.6042632342528718</v>
      </c>
      <c r="R50" s="119">
        <f>100*(R48/Q48-1)</f>
        <v>7.0379349857793594</v>
      </c>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row>
    <row r="51" spans="6:72">
      <c r="F51" s="1026">
        <v>41640</v>
      </c>
      <c r="G51" s="144">
        <f t="shared" ref="G51:G61" si="1">$O$31+G39-AVERAGE($G$39:$G$50)</f>
        <v>7.0379349857793772</v>
      </c>
      <c r="H51" s="113"/>
      <c r="I51" s="653" t="s">
        <v>312</v>
      </c>
      <c r="J51" s="100">
        <v>11.156788372191698</v>
      </c>
      <c r="K51" s="100">
        <v>10.923957706722035</v>
      </c>
      <c r="L51" s="100">
        <v>11.077943216895676</v>
      </c>
      <c r="M51" s="100">
        <v>8.6233366426515374</v>
      </c>
      <c r="N51" s="100">
        <v>6.7637340471486311</v>
      </c>
      <c r="O51" s="100">
        <v>4.3046030992718585</v>
      </c>
      <c r="P51" s="100">
        <v>4.5272294135840951</v>
      </c>
      <c r="Q51" s="100">
        <v>6.8916442576464334</v>
      </c>
      <c r="R51" s="119">
        <f>(IF(ISBLANK(Deflactor_PIB!L35)," ",Deflactor_PIB!L35))/(IF(ISBLANK(Deflactor_PIB!K35)," ",Deflactor_PIB!K35))*100-100</f>
        <v>8.125559780007265</v>
      </c>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row>
    <row r="52" spans="6:72" ht="15.75" thickBot="1">
      <c r="F52" s="1026">
        <v>41671</v>
      </c>
      <c r="G52" s="144">
        <f>$O$31+G40-AVERAGE($G$39:$G$50)</f>
        <v>6.877410747767061</v>
      </c>
      <c r="H52" s="113"/>
      <c r="I52" s="654" t="s">
        <v>460</v>
      </c>
      <c r="J52" s="462">
        <v>11</v>
      </c>
      <c r="K52" s="462">
        <v>8</v>
      </c>
      <c r="L52" s="462">
        <v>9</v>
      </c>
      <c r="M52" s="462">
        <v>8.5</v>
      </c>
      <c r="N52" s="462">
        <v>6</v>
      </c>
      <c r="O52" s="462">
        <v>6</v>
      </c>
      <c r="P52" s="462">
        <v>5</v>
      </c>
      <c r="Q52" s="462">
        <v>5</v>
      </c>
      <c r="R52" s="655">
        <v>5</v>
      </c>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row>
    <row r="53" spans="6:72">
      <c r="F53" s="1026">
        <v>41699</v>
      </c>
      <c r="G53" s="144">
        <f t="shared" si="1"/>
        <v>7.0321415504865223</v>
      </c>
      <c r="H53" s="113"/>
      <c r="I53" s="113"/>
      <c r="J53" s="113"/>
      <c r="K53" s="113"/>
      <c r="L53" s="113"/>
      <c r="M53" s="113"/>
      <c r="N53" s="113"/>
      <c r="O53" s="113"/>
      <c r="P53" s="113"/>
      <c r="Q53" s="113"/>
      <c r="R53" s="113"/>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row>
    <row r="54" spans="6:72">
      <c r="F54" s="1026">
        <v>41730</v>
      </c>
      <c r="G54" s="144">
        <f t="shared" si="1"/>
        <v>7.5314778213307187</v>
      </c>
      <c r="H54" s="113"/>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row>
    <row r="55" spans="6:72">
      <c r="F55" s="1026">
        <v>41760</v>
      </c>
      <c r="G55" s="144">
        <f t="shared" si="1"/>
        <v>7.8593779245907003</v>
      </c>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row>
    <row r="56" spans="6:72">
      <c r="F56" s="1026">
        <v>41791</v>
      </c>
      <c r="G56" s="144">
        <f t="shared" si="1"/>
        <v>7.4389911585271493</v>
      </c>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row>
    <row r="57" spans="6:72">
      <c r="F57" s="1026">
        <v>41821</v>
      </c>
      <c r="G57" s="144">
        <f t="shared" si="1"/>
        <v>6.7727267737115193</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6:72">
      <c r="F58" s="1026">
        <v>41852</v>
      </c>
      <c r="G58" s="144">
        <f t="shared" si="1"/>
        <v>7.0549502168143663</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6:72">
      <c r="F59" s="1026">
        <v>41883</v>
      </c>
      <c r="G59" s="144">
        <f t="shared" si="1"/>
        <v>7.2903864172652222</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6:72">
      <c r="F60" s="1026">
        <v>41913</v>
      </c>
      <c r="G60" s="144">
        <f t="shared" si="1"/>
        <v>7.5081042285613373</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6:72">
      <c r="F61" s="1026">
        <v>41944</v>
      </c>
      <c r="G61" s="144">
        <f t="shared" si="1"/>
        <v>8.0404474279821727</v>
      </c>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6:72">
      <c r="F62" s="1026">
        <v>41974</v>
      </c>
      <c r="G62" s="144">
        <f>$O$31+G50-AVERAGE($G$39:$G$50)</f>
        <v>7.8240811078673369</v>
      </c>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6:72" ht="45.75" thickBot="1">
      <c r="F63" s="1027" t="s">
        <v>461</v>
      </c>
      <c r="G63" s="1028">
        <f>AVERAGE(G51:G62)</f>
        <v>7.3556691967236247</v>
      </c>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6:72">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8:72">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8:72">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8:72">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8:72">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8:72">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8:72">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8:72">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8:72">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8:72">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row r="74" spans="8:72">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row>
    <row r="75" spans="8:72">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row>
    <row r="76" spans="8:72">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row>
    <row r="77" spans="8:72">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row>
    <row r="78" spans="8:72">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row>
    <row r="79" spans="8:72">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row>
    <row r="80" spans="8:72">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row>
    <row r="81" spans="8:72">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row>
    <row r="82" spans="8:72">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row>
    <row r="83" spans="8:72">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row>
    <row r="84" spans="8:72">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row>
    <row r="85" spans="8:72">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row>
    <row r="86" spans="8:72">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row>
    <row r="87" spans="8:72">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row>
    <row r="88" spans="8:72">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row>
    <row r="89" spans="8:72">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row>
    <row r="90" spans="8:72">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row>
    <row r="91" spans="8:72">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row>
    <row r="92" spans="8:72">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row>
    <row r="93" spans="8:72">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row>
    <row r="94" spans="8:72">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row>
    <row r="95" spans="8:72">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row>
    <row r="96" spans="8:72">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row>
    <row r="97" spans="8:72">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row>
    <row r="98" spans="8:72">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row>
    <row r="99" spans="8:72">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row>
    <row r="100" spans="8:72">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row>
    <row r="101" spans="8:72">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row>
    <row r="102" spans="8:72">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row>
    <row r="103" spans="8:72">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row>
    <row r="104" spans="8:72">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row>
    <row r="105" spans="8:72">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row>
    <row r="106" spans="8:72">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row>
    <row r="107" spans="8:72">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row>
    <row r="108" spans="8:72">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row>
    <row r="109" spans="8:72">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row>
    <row r="110" spans="8:72">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row>
    <row r="111" spans="8:72">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row>
    <row r="112" spans="8:72">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row>
    <row r="113" spans="8:72">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8:72">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row>
    <row r="115" spans="8:72">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row>
    <row r="116" spans="8:72">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row>
    <row r="117" spans="8:72">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row>
    <row r="118" spans="8:72">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row>
    <row r="119" spans="8:72">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row>
    <row r="120" spans="8:72">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row>
    <row r="121" spans="8:72">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row>
    <row r="122" spans="8:72">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row>
    <row r="123" spans="8:72">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row>
    <row r="124" spans="8:72">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row>
    <row r="125" spans="8:72">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row>
    <row r="126" spans="8:72">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row>
    <row r="127" spans="8:72">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row>
    <row r="128" spans="8:72">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row>
    <row r="129" spans="8:72">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row>
    <row r="130" spans="8:72">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row>
    <row r="131" spans="8:72">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row>
    <row r="132" spans="8:72">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row>
    <row r="133" spans="8:72">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row>
    <row r="134" spans="8:72">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row>
    <row r="135" spans="8:72">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row>
    <row r="136" spans="8:72">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row>
    <row r="137" spans="8:72">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row>
    <row r="138" spans="8:72">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row>
    <row r="139" spans="8:72">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row>
    <row r="140" spans="8:72">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row>
    <row r="141" spans="8:72">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row>
    <row r="142" spans="8:72">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row>
    <row r="143" spans="8:72">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row>
    <row r="144" spans="8:72">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row>
    <row r="145" spans="8:72">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row>
    <row r="146" spans="8:72">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row>
    <row r="147" spans="8:72">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row>
    <row r="148" spans="8:72">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row>
    <row r="149" spans="8:72">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row>
    <row r="150" spans="8:72">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row>
    <row r="151" spans="8:72">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row>
    <row r="152" spans="8:72">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row>
    <row r="153" spans="8:72">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row>
    <row r="154" spans="8:72">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row>
    <row r="155" spans="8:72">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row>
    <row r="156" spans="8:72">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row>
    <row r="157" spans="8:72">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row>
    <row r="158" spans="8:72">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row>
    <row r="159" spans="8:72">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row>
    <row r="160" spans="8:72">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row>
    <row r="161" spans="8:72">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row>
    <row r="162" spans="8:72">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row>
    <row r="163" spans="8:72">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row>
    <row r="164" spans="8:72">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row>
    <row r="165" spans="8:72">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row>
    <row r="166" spans="8:72">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row>
    <row r="167" spans="8:72">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row>
    <row r="168" spans="8:72">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row>
    <row r="169" spans="8:72">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row>
    <row r="170" spans="8:72">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row>
    <row r="171" spans="8:72">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row>
    <row r="172" spans="8:72">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row>
    <row r="173" spans="8:72">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row>
    <row r="174" spans="8:72">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row>
    <row r="175" spans="8:72">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row>
    <row r="176" spans="8:72">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row>
    <row r="177" spans="8:72">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row>
    <row r="178" spans="8:72">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row>
    <row r="179" spans="8:72">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row>
    <row r="180" spans="8:72">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row>
    <row r="181" spans="8:72">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row>
    <row r="182" spans="8:72">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row>
    <row r="183" spans="8:72">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row>
    <row r="184" spans="8:72">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row>
    <row r="185" spans="8:72">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row>
    <row r="186" spans="8:72">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row>
    <row r="187" spans="8:72">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row>
    <row r="188" spans="8:72">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row>
    <row r="189" spans="8:72">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row>
    <row r="190" spans="8:72">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row>
    <row r="191" spans="8:72">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row>
    <row r="192" spans="8:72">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row>
    <row r="193" spans="8:72">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row>
    <row r="194" spans="8:72">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row>
    <row r="195" spans="8:72">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row>
    <row r="196" spans="8:72">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row>
    <row r="197" spans="8:72">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row>
    <row r="198" spans="8:72">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row>
    <row r="199" spans="8:72">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row>
    <row r="200" spans="8:72">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row>
    <row r="201" spans="8:72">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row>
    <row r="202" spans="8:72">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row>
    <row r="203" spans="8:72">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row>
    <row r="204" spans="8:72">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row>
    <row r="205" spans="8:72">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row>
    <row r="206" spans="8:72">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row>
    <row r="207" spans="8:72">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row>
    <row r="208" spans="8:72">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row>
    <row r="209" spans="8:72">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row>
    <row r="210" spans="8:72">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row>
    <row r="211" spans="8:72">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row>
    <row r="212" spans="8:72">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row>
    <row r="213" spans="8:72">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row>
    <row r="214" spans="8:72">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row>
    <row r="215" spans="8:72">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row>
    <row r="216" spans="8:72">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row>
    <row r="217" spans="8:72">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row>
    <row r="218" spans="8:72">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row>
    <row r="219" spans="8:72">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row>
    <row r="220" spans="8:72">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row>
    <row r="221" spans="8:72">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row>
    <row r="222" spans="8:72">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8:72">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8:72">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8:72">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8:72">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8:72">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8:72">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8:72">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8:72">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8:72">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row>
    <row r="232" spans="8:72">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row>
    <row r="233" spans="8:72">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row>
    <row r="234" spans="8:72">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row>
    <row r="235" spans="8:72">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row>
    <row r="236" spans="8:72">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row>
    <row r="237" spans="8:72">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row>
    <row r="238" spans="8:72">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8:72">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8:72">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8:72">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8:72">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8:72">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8:72">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8:72">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8:72">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8:72">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8:72">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8:72">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8:72">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8:72">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8:72">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8:72">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8:72">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8:72">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8:72">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8:72">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8:72">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8:72">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8:72">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8:72">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8:72">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8:72">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8:72">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8:72">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8:72">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8:72">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8:72">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8:72">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8:72">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row>
    <row r="271" spans="8:72">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row>
    <row r="272" spans="8:72">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row>
    <row r="273" spans="8:72">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row>
    <row r="274" spans="8:72">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row>
    <row r="275" spans="8:72">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row>
    <row r="276" spans="8:72">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row>
    <row r="277" spans="8:72">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8:72">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8:72">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8:72">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8:72">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8:72">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8:72">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8:72">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8:72">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8:72">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8:72">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8:72">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8:72">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8:72">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8:72">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8:72">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8:72">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8:72">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8:72">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8:72">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8:72">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8:72">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8:72">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8:72">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8:72">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8:72">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8:72">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8:72">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8:72">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8:72">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8:72">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8:72">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8:72">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8:72">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row>
    <row r="311" spans="8:72">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row>
    <row r="312" spans="8:72">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row>
    <row r="313" spans="8:72">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row>
    <row r="314" spans="8:72">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row>
    <row r="315" spans="8:72">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row>
    <row r="316" spans="8:72">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8:72">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8:72">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8:72">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8:72">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8:72">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8:72">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8:72">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8:72">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8:72">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8:72">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8:72">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8:72">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8:72">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8:72">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8:72">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8:72">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8:72">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8:72">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8:72">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8:7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8:72">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8:72">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8:72">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8:72">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8:72">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8:72">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8:72">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8:72">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8:72">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8:72">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8:72">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8:72">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8:72">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8:72">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row>
    <row r="351" spans="8:72">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row>
    <row r="352" spans="8:72">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row>
    <row r="353" spans="8:72">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row>
    <row r="354" spans="8:72">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row>
    <row r="355" spans="8:72">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8:72">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8:72">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8:72">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8:72">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8:72">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8:72">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8:72">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8:72">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8:72">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8:72">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8:72">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8:72">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8:72">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8:72">
      <c r="H369" s="1"/>
      <c r="I369" s="1"/>
      <c r="J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8:72">
      <c r="H370" s="1"/>
      <c r="I370" s="1"/>
      <c r="J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8:72">
      <c r="H371" s="1"/>
      <c r="I371" s="1"/>
      <c r="J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8:72">
      <c r="H372" s="1"/>
      <c r="I372" s="1"/>
      <c r="J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8:72">
      <c r="H373" s="1"/>
      <c r="I373" s="1"/>
      <c r="J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8:72">
      <c r="H374" s="1"/>
      <c r="I374" s="1"/>
      <c r="J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8:72">
      <c r="H375" s="1"/>
      <c r="I375" s="1"/>
      <c r="J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8:72">
      <c r="H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8:72">
      <c r="H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row>
  </sheetData>
  <mergeCells count="1">
    <mergeCell ref="F13:G1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2:Y99"/>
  <sheetViews>
    <sheetView topLeftCell="B16" zoomScaleNormal="100" workbookViewId="0">
      <selection activeCell="I20" sqref="I20"/>
    </sheetView>
  </sheetViews>
  <sheetFormatPr baseColWidth="10" defaultColWidth="9.42578125" defaultRowHeight="15" outlineLevelRow="1" outlineLevelCol="1"/>
  <cols>
    <col min="1" max="1" width="0" style="2" hidden="1" customWidth="1" outlineLevel="1"/>
    <col min="2" max="2" width="52.5703125" style="2" customWidth="1" collapsed="1"/>
    <col min="3" max="3" width="10.5703125" style="2" customWidth="1" outlineLevel="1"/>
    <col min="4" max="4" width="11.5703125" style="2" customWidth="1" outlineLevel="1"/>
    <col min="5" max="5" width="9.42578125" style="2" customWidth="1" outlineLevel="1"/>
    <col min="6" max="6" width="11.5703125" style="2" customWidth="1" outlineLevel="1"/>
    <col min="7" max="7" width="11.7109375" style="2" bestFit="1" customWidth="1"/>
    <col min="8" max="8" width="9.85546875" style="2" customWidth="1"/>
    <col min="9" max="9" width="10.28515625" style="2" customWidth="1"/>
    <col min="10" max="10" width="11.85546875" style="2" customWidth="1"/>
    <col min="11" max="11" width="11.42578125" style="2" bestFit="1" customWidth="1"/>
    <col min="12" max="12" width="10.42578125" style="2" bestFit="1" customWidth="1"/>
    <col min="13" max="14" width="9.42578125" style="2"/>
    <col min="15" max="16" width="10.42578125" style="2" bestFit="1" customWidth="1"/>
    <col min="17" max="17" width="11.5703125" style="2" bestFit="1" customWidth="1"/>
    <col min="18" max="18" width="17.5703125" style="2" customWidth="1"/>
    <col min="19" max="16384" width="9.42578125" style="2"/>
  </cols>
  <sheetData>
    <row r="2" spans="1:20">
      <c r="B2" s="49" t="s">
        <v>462</v>
      </c>
    </row>
    <row r="3" spans="1:20">
      <c r="B3" s="49" t="s">
        <v>463</v>
      </c>
    </row>
    <row r="4" spans="1:20">
      <c r="B4" s="49" t="s">
        <v>464</v>
      </c>
    </row>
    <row r="5" spans="1:20" ht="15.75" thickBot="1"/>
    <row r="6" spans="1:20">
      <c r="B6" s="193"/>
      <c r="C6" s="194"/>
      <c r="D6" s="194"/>
      <c r="E6" s="194"/>
      <c r="F6" s="194"/>
      <c r="G6" s="194"/>
      <c r="H6" s="194"/>
      <c r="I6" s="194"/>
      <c r="J6" s="194"/>
      <c r="K6" s="657"/>
      <c r="L6" s="194"/>
      <c r="M6" s="194"/>
      <c r="N6" s="194"/>
      <c r="O6" s="194"/>
      <c r="P6" s="195"/>
      <c r="Q6" s="656"/>
    </row>
    <row r="7" spans="1:20">
      <c r="B7" s="1148" t="s">
        <v>465</v>
      </c>
      <c r="C7" s="1149"/>
      <c r="D7" s="1149"/>
      <c r="E7" s="1149"/>
      <c r="F7" s="1149"/>
      <c r="G7" s="1149"/>
      <c r="H7" s="1149"/>
      <c r="I7" s="1149"/>
      <c r="J7" s="1149"/>
      <c r="K7" s="1149"/>
      <c r="L7" s="1149"/>
      <c r="M7" s="1149"/>
      <c r="N7" s="1149"/>
      <c r="O7" s="1149"/>
      <c r="P7" s="1149"/>
      <c r="Q7" s="1150"/>
    </row>
    <row r="8" spans="1:20">
      <c r="B8" s="154"/>
      <c r="C8" s="153"/>
      <c r="D8" s="153"/>
      <c r="E8" s="153"/>
      <c r="F8" s="153"/>
      <c r="G8" s="153"/>
      <c r="H8" s="153"/>
      <c r="I8" s="153"/>
      <c r="J8" s="153"/>
      <c r="K8" s="177"/>
      <c r="L8" s="153"/>
      <c r="M8" s="153"/>
      <c r="N8" s="153"/>
      <c r="O8" s="153"/>
      <c r="P8" s="29"/>
      <c r="Q8" s="171"/>
    </row>
    <row r="9" spans="1:20">
      <c r="B9" s="174"/>
      <c r="C9" s="175"/>
      <c r="D9" s="175"/>
      <c r="E9" s="175"/>
      <c r="F9" s="175"/>
      <c r="G9" s="175"/>
      <c r="H9" s="175"/>
      <c r="I9" s="176"/>
      <c r="J9" s="155"/>
      <c r="K9" s="177"/>
      <c r="L9" s="153"/>
      <c r="M9" s="153"/>
      <c r="N9" s="153"/>
      <c r="O9" s="153"/>
      <c r="P9" s="29"/>
      <c r="Q9" s="171"/>
    </row>
    <row r="10" spans="1:20">
      <c r="B10" s="178"/>
      <c r="C10" s="350">
        <v>2008</v>
      </c>
      <c r="D10" s="350">
        <v>2009</v>
      </c>
      <c r="E10" s="350">
        <v>2010</v>
      </c>
      <c r="F10" s="350">
        <v>2011</v>
      </c>
      <c r="G10" s="350">
        <v>2012</v>
      </c>
      <c r="H10" s="350">
        <v>2013</v>
      </c>
      <c r="I10" s="350">
        <v>2014</v>
      </c>
      <c r="J10" s="155"/>
      <c r="K10" s="180" t="s">
        <v>466</v>
      </c>
      <c r="L10" s="181"/>
      <c r="M10" s="181"/>
      <c r="N10" s="153"/>
      <c r="O10" s="153"/>
      <c r="P10" s="153"/>
      <c r="Q10" s="182"/>
    </row>
    <row r="11" spans="1:20">
      <c r="B11" s="154"/>
      <c r="C11" s="156"/>
      <c r="D11" s="156"/>
      <c r="E11" s="156"/>
      <c r="F11" s="156"/>
      <c r="G11" s="484"/>
      <c r="H11" s="156"/>
      <c r="I11" s="156"/>
      <c r="J11" s="156"/>
      <c r="K11" s="181"/>
      <c r="L11" s="181"/>
      <c r="M11" s="181"/>
      <c r="N11" s="153"/>
      <c r="O11" s="153"/>
      <c r="P11" s="153"/>
      <c r="Q11" s="182"/>
      <c r="T11" s="249"/>
    </row>
    <row r="12" spans="1:20" ht="15.75" thickBot="1">
      <c r="B12" s="154" t="s">
        <v>467</v>
      </c>
      <c r="C12" s="204"/>
      <c r="D12" s="204"/>
      <c r="E12" s="204"/>
      <c r="F12" s="204"/>
      <c r="G12" s="204"/>
      <c r="H12" s="204"/>
      <c r="I12" s="204"/>
      <c r="J12" s="153"/>
      <c r="K12" s="153"/>
      <c r="L12" s="153"/>
      <c r="M12" s="153"/>
      <c r="N12" s="153"/>
      <c r="O12" s="153"/>
      <c r="P12" s="153"/>
      <c r="Q12" s="182"/>
      <c r="T12" s="249"/>
    </row>
    <row r="13" spans="1:20" ht="18.75" outlineLevel="1" thickBot="1">
      <c r="B13" s="154" t="s">
        <v>468</v>
      </c>
      <c r="C13" s="204">
        <v>526.23551344086002</v>
      </c>
      <c r="D13" s="204">
        <v>573.287956733231</v>
      </c>
      <c r="E13" s="204">
        <v>525.829200716846</v>
      </c>
      <c r="F13" s="204">
        <v>506.4</v>
      </c>
      <c r="G13" s="204">
        <v>510.78961259840202</v>
      </c>
      <c r="H13" s="204">
        <v>530.21903193696369</v>
      </c>
      <c r="I13" s="1045">
        <f>H13*(1+I18/100)*(1+I24/100)/(1+I20/100)</f>
        <v>563.14784587758732</v>
      </c>
      <c r="J13" s="153"/>
      <c r="K13" s="153" t="s">
        <v>469</v>
      </c>
      <c r="L13" s="153"/>
      <c r="M13" s="153"/>
      <c r="N13" s="153"/>
      <c r="O13" s="153"/>
      <c r="P13" s="153"/>
      <c r="Q13" s="182"/>
      <c r="T13" s="249"/>
    </row>
    <row r="14" spans="1:20" ht="18.75" outlineLevel="1" thickBot="1">
      <c r="B14" s="154" t="s">
        <v>470</v>
      </c>
      <c r="C14" s="204">
        <v>555.47</v>
      </c>
      <c r="D14" s="204">
        <v>565.24</v>
      </c>
      <c r="E14" s="204">
        <v>512.97</v>
      </c>
      <c r="F14" s="204">
        <v>510.56</v>
      </c>
      <c r="G14" s="204">
        <v>511.01922519680301</v>
      </c>
      <c r="H14" s="204">
        <v>549.41883867712431</v>
      </c>
      <c r="I14" s="465">
        <f>(I13*2)-H14</f>
        <v>576.87685307805032</v>
      </c>
      <c r="J14" s="153"/>
      <c r="K14" s="153" t="s">
        <v>471</v>
      </c>
      <c r="L14" s="153"/>
      <c r="M14" s="153"/>
      <c r="N14" s="153"/>
      <c r="O14" s="153"/>
      <c r="P14" s="153"/>
      <c r="Q14" s="182"/>
      <c r="T14" s="249"/>
    </row>
    <row r="15" spans="1:20" ht="15.75" outlineLevel="1" thickBot="1">
      <c r="B15" s="154"/>
      <c r="C15" s="352"/>
      <c r="D15" s="352"/>
      <c r="E15" s="352"/>
      <c r="F15" s="352"/>
      <c r="G15" s="352"/>
      <c r="H15" s="352"/>
      <c r="I15" s="466"/>
      <c r="J15" s="153"/>
      <c r="K15" s="153"/>
      <c r="L15" s="153"/>
      <c r="M15" s="153"/>
      <c r="N15" s="153"/>
      <c r="O15" s="153"/>
      <c r="P15" s="153"/>
      <c r="Q15" s="182"/>
      <c r="T15" s="249"/>
    </row>
    <row r="16" spans="1:20" ht="18.75" outlineLevel="1" thickBot="1">
      <c r="B16" s="154" t="s">
        <v>472</v>
      </c>
      <c r="C16" s="184"/>
      <c r="D16" s="184">
        <v>8.9413279967960335</v>
      </c>
      <c r="E16" s="184">
        <v>-8.2783451944149373</v>
      </c>
      <c r="F16" s="184">
        <v>-3.6949641994698745</v>
      </c>
      <c r="G16" s="184">
        <v>0.86682713238586118</v>
      </c>
      <c r="H16" s="184">
        <v>3.803800793779577</v>
      </c>
      <c r="I16" s="1044">
        <f>(I13/H13-1)*100</f>
        <v>6.210417196895035</v>
      </c>
      <c r="J16" s="153"/>
      <c r="K16" s="153" t="s">
        <v>473</v>
      </c>
      <c r="L16" s="153"/>
      <c r="M16" s="153"/>
      <c r="N16" s="153"/>
      <c r="O16" s="153"/>
      <c r="P16" s="153"/>
      <c r="Q16" s="182"/>
    </row>
    <row r="17" spans="2:18" ht="15.75" outlineLevel="1" thickBot="1">
      <c r="B17" s="154"/>
      <c r="C17" s="184"/>
      <c r="D17" s="184"/>
      <c r="E17" s="184"/>
      <c r="F17" s="184"/>
      <c r="G17" s="184"/>
      <c r="H17" s="184"/>
      <c r="I17" s="196"/>
      <c r="J17" s="153"/>
      <c r="K17" s="153"/>
      <c r="L17" s="153"/>
      <c r="M17" s="153"/>
      <c r="N17" s="153"/>
      <c r="O17" s="153"/>
      <c r="P17" s="153"/>
      <c r="Q17" s="182"/>
    </row>
    <row r="18" spans="2:18" ht="15.75" outlineLevel="1" thickBot="1">
      <c r="B18" s="154" t="s">
        <v>474</v>
      </c>
      <c r="C18" s="184">
        <v>13.424650631557796</v>
      </c>
      <c r="D18" s="184">
        <v>7.8427556534629019</v>
      </c>
      <c r="E18" s="184">
        <v>5.6626532109607268</v>
      </c>
      <c r="F18" s="184">
        <v>4.8781491879010872</v>
      </c>
      <c r="G18" s="184">
        <v>4.6130302133459367</v>
      </c>
      <c r="H18" s="184">
        <v>6.1358513231091649</v>
      </c>
      <c r="I18" s="534">
        <f>Inflación!O31</f>
        <v>7.3556691967236247</v>
      </c>
      <c r="J18" s="153"/>
      <c r="K18" s="153" t="s">
        <v>475</v>
      </c>
      <c r="L18" s="153"/>
      <c r="M18" s="153"/>
      <c r="N18" s="153"/>
      <c r="O18" s="153"/>
      <c r="P18" s="153"/>
      <c r="Q18" s="182"/>
    </row>
    <row r="19" spans="2:18" ht="15.75" outlineLevel="1" thickBot="1">
      <c r="B19" s="154"/>
      <c r="C19" s="184"/>
      <c r="D19" s="184"/>
      <c r="E19" s="184"/>
      <c r="F19" s="184"/>
      <c r="G19" s="184"/>
      <c r="H19" s="184"/>
      <c r="I19" s="196"/>
      <c r="J19" s="153"/>
      <c r="K19" s="153"/>
      <c r="L19" s="153"/>
      <c r="M19" s="153"/>
      <c r="N19" s="153"/>
      <c r="O19" s="153"/>
      <c r="P19" s="153"/>
      <c r="Q19" s="182"/>
    </row>
    <row r="20" spans="2:18" ht="15.75" outlineLevel="1" thickBot="1">
      <c r="B20" s="154" t="s">
        <v>476</v>
      </c>
      <c r="C20" s="184">
        <v>3.5952509527075844</v>
      </c>
      <c r="D20" s="184">
        <v>-0.17065774831935981</v>
      </c>
      <c r="E20" s="184">
        <v>1.5164247318407489</v>
      </c>
      <c r="F20" s="184">
        <v>2.8675084033778688</v>
      </c>
      <c r="G20" s="184">
        <v>1.9575440825266084</v>
      </c>
      <c r="H20" s="184">
        <v>1.5</v>
      </c>
      <c r="I20" s="510">
        <v>1.5</v>
      </c>
      <c r="J20" s="153"/>
      <c r="K20" s="153" t="s">
        <v>477</v>
      </c>
      <c r="L20" s="153"/>
      <c r="M20" s="153"/>
      <c r="N20" s="153"/>
      <c r="O20" s="153"/>
      <c r="P20" s="153"/>
      <c r="Q20" s="182"/>
    </row>
    <row r="21" spans="2:18" ht="15.75" outlineLevel="1" thickBot="1">
      <c r="B21" s="154"/>
      <c r="C21" s="184"/>
      <c r="D21" s="184"/>
      <c r="E21" s="184"/>
      <c r="F21" s="184"/>
      <c r="G21" s="184"/>
      <c r="H21" s="184"/>
      <c r="I21" s="196"/>
      <c r="J21" s="153"/>
      <c r="K21" s="153"/>
      <c r="L21" s="153"/>
      <c r="M21" s="153"/>
      <c r="N21" s="153"/>
      <c r="O21" s="153"/>
      <c r="P21" s="153"/>
      <c r="Q21" s="182"/>
    </row>
    <row r="22" spans="2:18" ht="18.75" outlineLevel="1" thickBot="1">
      <c r="B22" s="154" t="s">
        <v>478</v>
      </c>
      <c r="C22" s="184">
        <v>121.17953211036611</v>
      </c>
      <c r="D22" s="184">
        <v>122.20505458470026</v>
      </c>
      <c r="E22" s="184">
        <v>107.6901181007282</v>
      </c>
      <c r="F22" s="184">
        <v>101.7227415353677</v>
      </c>
      <c r="G22" s="184">
        <v>100</v>
      </c>
      <c r="H22" s="184">
        <v>99.269809863715537</v>
      </c>
      <c r="I22" s="1113">
        <f>H31*(1+I34)</f>
        <v>99.683978681011283</v>
      </c>
      <c r="J22" s="153"/>
      <c r="K22" s="153" t="s">
        <v>479</v>
      </c>
      <c r="L22" s="153"/>
      <c r="M22" s="153"/>
      <c r="N22" s="153"/>
      <c r="O22" s="153"/>
      <c r="P22" s="153"/>
      <c r="Q22" s="182"/>
      <c r="R22" s="267"/>
    </row>
    <row r="23" spans="2:18" ht="15.75" outlineLevel="1" thickBot="1">
      <c r="B23" s="154"/>
      <c r="C23" s="184"/>
      <c r="D23" s="184"/>
      <c r="E23" s="184"/>
      <c r="F23" s="184"/>
      <c r="G23" s="184"/>
      <c r="H23" s="184"/>
      <c r="I23" s="196"/>
      <c r="J23" s="153"/>
      <c r="K23" s="153"/>
      <c r="L23" s="153"/>
      <c r="M23" s="153"/>
      <c r="N23" s="153"/>
      <c r="O23" s="153"/>
      <c r="P23" s="153"/>
      <c r="Q23" s="182"/>
    </row>
    <row r="24" spans="2:18" ht="15.75" outlineLevel="1" thickBot="1">
      <c r="B24" s="154" t="s">
        <v>480</v>
      </c>
      <c r="C24" s="153"/>
      <c r="D24" s="187">
        <v>0.84628357320288838</v>
      </c>
      <c r="E24" s="187">
        <v>-11.877525470038364</v>
      </c>
      <c r="F24" s="187">
        <v>-5.5412480463424618</v>
      </c>
      <c r="G24" s="187">
        <v>-1.6935657743442967</v>
      </c>
      <c r="H24" s="187">
        <v>-0.73019013628445872</v>
      </c>
      <c r="I24" s="510">
        <f>100*(I22/H22-1)</f>
        <v>0.41721528213294334</v>
      </c>
      <c r="J24" s="153"/>
      <c r="K24" s="181" t="s">
        <v>481</v>
      </c>
      <c r="L24" s="181"/>
      <c r="M24" s="181"/>
      <c r="N24" s="153"/>
      <c r="O24" s="153"/>
      <c r="P24" s="29"/>
      <c r="Q24" s="171"/>
    </row>
    <row r="25" spans="2:18" outlineLevel="1">
      <c r="B25" s="154"/>
      <c r="C25" s="153"/>
      <c r="D25" s="187"/>
      <c r="E25" s="187"/>
      <c r="F25" s="187"/>
      <c r="G25" s="187"/>
      <c r="H25" s="187"/>
      <c r="I25" s="187"/>
      <c r="J25" s="187"/>
      <c r="K25" s="153"/>
      <c r="L25" s="153"/>
      <c r="M25" s="153"/>
      <c r="N25" s="153"/>
      <c r="O25" s="153"/>
      <c r="P25" s="153"/>
      <c r="Q25" s="171"/>
    </row>
    <row r="26" spans="2:18" ht="15.75" outlineLevel="1" thickBot="1">
      <c r="B26" s="392" t="s">
        <v>482</v>
      </c>
      <c r="C26" s="138"/>
      <c r="D26" s="138"/>
      <c r="E26" s="138"/>
      <c r="F26" s="138"/>
      <c r="G26" s="138"/>
      <c r="H26" s="138"/>
      <c r="I26" s="138"/>
      <c r="J26" s="138"/>
      <c r="K26" s="138"/>
      <c r="L26" s="138"/>
      <c r="M26" s="138"/>
      <c r="N26" s="138"/>
      <c r="O26" s="138"/>
      <c r="P26" s="138"/>
      <c r="Q26" s="173"/>
    </row>
    <row r="27" spans="2:18" outlineLevel="1"/>
    <row r="28" spans="2:18" ht="15.75" outlineLevel="1" thickBot="1"/>
    <row r="29" spans="2:18" ht="15.75" outlineLevel="1" thickBot="1">
      <c r="B29" s="572" t="s">
        <v>483</v>
      </c>
      <c r="C29" s="867">
        <f>D29/((D13/C13)*(1+D20/100)/(1+D18/100))</f>
        <v>121.1795321103661</v>
      </c>
      <c r="D29" s="867">
        <f>E29/((E13/D13)*(1+E20/100)/(1+E18/100))</f>
        <v>122.20505458470025</v>
      </c>
      <c r="E29" s="867">
        <f>F29/((F13/E13)*(1+F20/100)/(1+F18/100))</f>
        <v>107.69011810072818</v>
      </c>
      <c r="F29" s="867">
        <f>G29/((G13/F13)*(1+G20/100)/(1+G18/100))</f>
        <v>101.7227415353677</v>
      </c>
      <c r="G29" s="867">
        <f>G31</f>
        <v>100</v>
      </c>
      <c r="H29" s="867">
        <f>H31*(1+H34)</f>
        <v>99.269809863715537</v>
      </c>
      <c r="I29" s="862">
        <f>I31*(1+I34)</f>
        <v>99.683978681011283</v>
      </c>
      <c r="J29" s="190"/>
    </row>
    <row r="30" spans="2:18" ht="15.75" outlineLevel="1" thickBot="1">
      <c r="B30" s="154" t="s">
        <v>305</v>
      </c>
      <c r="C30" s="371"/>
      <c r="D30" s="371">
        <f t="shared" ref="D30:I30" si="0">(D29/C29-1)*100</f>
        <v>0.84628357320288838</v>
      </c>
      <c r="E30" s="371">
        <f t="shared" si="0"/>
        <v>-11.877525470038375</v>
      </c>
      <c r="F30" s="371">
        <f t="shared" si="0"/>
        <v>-5.5412480463424512</v>
      </c>
      <c r="G30" s="371">
        <f t="shared" si="0"/>
        <v>-1.6935657743442967</v>
      </c>
      <c r="H30" s="371">
        <f t="shared" si="0"/>
        <v>-0.73019013628445872</v>
      </c>
      <c r="I30" s="863">
        <f t="shared" si="0"/>
        <v>0.41721528213294334</v>
      </c>
    </row>
    <row r="31" spans="2:18" ht="15.75" outlineLevel="1" thickBot="1">
      <c r="B31" s="154" t="s">
        <v>484</v>
      </c>
      <c r="C31" s="371">
        <f>D31/(1+D32/100)</f>
        <v>100</v>
      </c>
      <c r="D31" s="371">
        <f>E31/(1+E32/100)</f>
        <v>100</v>
      </c>
      <c r="E31" s="371">
        <f>F31/(1+F32/100)</f>
        <v>100</v>
      </c>
      <c r="F31" s="371">
        <f>G31/(1+G32/100)</f>
        <v>100</v>
      </c>
      <c r="G31" s="371">
        <v>100</v>
      </c>
      <c r="H31" s="371">
        <f>G31*(1+H32/100)</f>
        <v>100</v>
      </c>
      <c r="I31" s="862">
        <f>H31*(1+I32/100)</f>
        <v>100</v>
      </c>
    </row>
    <row r="32" spans="2:18" ht="15.75" outlineLevel="1" thickBot="1">
      <c r="B32" s="154" t="s">
        <v>485</v>
      </c>
      <c r="C32" s="258">
        <f>D32</f>
        <v>0</v>
      </c>
      <c r="D32" s="258">
        <f t="shared" ref="D32:H32" si="1">E32</f>
        <v>0</v>
      </c>
      <c r="E32" s="258">
        <f t="shared" si="1"/>
        <v>0</v>
      </c>
      <c r="F32" s="258">
        <f t="shared" si="1"/>
        <v>0</v>
      </c>
      <c r="G32" s="258">
        <f t="shared" si="1"/>
        <v>0</v>
      </c>
      <c r="H32" s="258">
        <f t="shared" si="1"/>
        <v>0</v>
      </c>
      <c r="I32" s="862">
        <v>0</v>
      </c>
    </row>
    <row r="33" spans="2:10" ht="15.75" thickBot="1">
      <c r="B33" s="154"/>
      <c r="C33" s="29"/>
      <c r="D33" s="29"/>
      <c r="E33" s="29"/>
      <c r="F33" s="29"/>
      <c r="G33" s="29"/>
      <c r="H33" s="29"/>
      <c r="I33" s="1061"/>
    </row>
    <row r="34" spans="2:10" ht="15.75" thickBot="1">
      <c r="B34" s="154" t="s">
        <v>486</v>
      </c>
      <c r="C34" s="29"/>
      <c r="D34" s="29"/>
      <c r="E34" s="29"/>
      <c r="F34" s="29"/>
      <c r="G34" s="29"/>
      <c r="H34" s="864">
        <f>H36+H38-H40-H42</f>
        <v>-7.3019013628447017E-3</v>
      </c>
      <c r="I34" s="1060">
        <f>I36+I38-I40-I42</f>
        <v>-3.1602131898871566E-3</v>
      </c>
    </row>
    <row r="35" spans="2:10" ht="15" customHeight="1" thickBot="1">
      <c r="B35" s="154"/>
      <c r="C35" s="29"/>
      <c r="D35" s="29"/>
      <c r="E35" s="29"/>
      <c r="F35" s="29"/>
      <c r="G35" s="29"/>
      <c r="H35" s="29"/>
      <c r="I35" s="171"/>
    </row>
    <row r="36" spans="2:10" ht="15" customHeight="1" thickBot="1">
      <c r="B36" s="154" t="s">
        <v>487</v>
      </c>
      <c r="C36" s="29"/>
      <c r="D36" s="29"/>
      <c r="E36" s="29"/>
      <c r="F36" s="29"/>
      <c r="G36" s="29"/>
      <c r="H36" s="864">
        <v>5.0000000000000001E-3</v>
      </c>
      <c r="I36" s="865">
        <v>5.0000000000000001E-3</v>
      </c>
    </row>
    <row r="37" spans="2:10" ht="15" customHeight="1" thickBot="1">
      <c r="B37" s="154"/>
      <c r="C37" s="29"/>
      <c r="D37" s="29"/>
      <c r="E37" s="29"/>
      <c r="F37" s="29"/>
      <c r="G37" s="29"/>
      <c r="H37" s="864"/>
      <c r="I37" s="171"/>
    </row>
    <row r="38" spans="2:10" ht="15" customHeight="1" thickBot="1">
      <c r="B38" s="154" t="s">
        <v>488</v>
      </c>
      <c r="C38" s="29"/>
      <c r="D38" s="29"/>
      <c r="E38" s="29"/>
      <c r="F38" s="29"/>
      <c r="G38" s="29"/>
      <c r="H38" s="864">
        <v>1.4999999999999999E-2</v>
      </c>
      <c r="I38" s="865">
        <v>1.4999999999999999E-2</v>
      </c>
    </row>
    <row r="39" spans="2:10" ht="15" customHeight="1" thickBot="1">
      <c r="B39" s="189"/>
      <c r="C39" s="29"/>
      <c r="D39" s="29"/>
      <c r="E39" s="29"/>
      <c r="F39" s="29"/>
      <c r="G39" s="29"/>
      <c r="H39" s="864"/>
      <c r="I39" s="171"/>
    </row>
    <row r="40" spans="2:10" ht="15" customHeight="1" thickBot="1">
      <c r="B40" s="189" t="s">
        <v>489</v>
      </c>
      <c r="C40" s="29"/>
      <c r="D40" s="29"/>
      <c r="E40" s="29"/>
      <c r="F40" s="29"/>
      <c r="G40" s="29"/>
      <c r="H40" s="864">
        <f>(('Regla de Taylor '!D8)-('Regla de Taylor '!F8))/100</f>
        <v>2.7301901362844702E-2</v>
      </c>
      <c r="I40" s="1015">
        <f>(('Regla de Taylor '!$D$9)-('Regla de Taylor '!$F$9))/100</f>
        <v>2.3160213189887157E-2</v>
      </c>
      <c r="J40" s="223">
        <f>(('Regla de Taylor '!$D$9)-('Regla de Taylor '!$F$9))/100</f>
        <v>2.3160213189887157E-2</v>
      </c>
    </row>
    <row r="41" spans="2:10" ht="15" customHeight="1" thickBot="1">
      <c r="B41" s="189"/>
      <c r="C41" s="29"/>
      <c r="D41" s="29"/>
      <c r="E41" s="29"/>
      <c r="F41" s="29"/>
      <c r="G41" s="29"/>
      <c r="H41" s="864"/>
      <c r="I41" s="171"/>
    </row>
    <row r="42" spans="2:10" ht="15.75" thickBot="1">
      <c r="B42" s="392" t="s">
        <v>490</v>
      </c>
      <c r="C42" s="138"/>
      <c r="D42" s="138"/>
      <c r="E42" s="138"/>
      <c r="F42" s="138"/>
      <c r="G42" s="138"/>
      <c r="H42" s="866">
        <v>0</v>
      </c>
      <c r="I42" s="863">
        <v>0</v>
      </c>
    </row>
    <row r="43" spans="2:10" ht="15" customHeight="1"/>
    <row r="44" spans="2:10" ht="15" customHeight="1">
      <c r="H44" s="223"/>
      <c r="I44" s="223"/>
    </row>
    <row r="45" spans="2:10" ht="15" customHeight="1"/>
    <row r="82" spans="6:22" ht="18" customHeight="1"/>
    <row r="83" spans="6:22">
      <c r="F83" s="267"/>
    </row>
    <row r="91" spans="6:22">
      <c r="U91" s="250"/>
    </row>
    <row r="92" spans="6:22">
      <c r="U92" s="250"/>
    </row>
    <row r="93" spans="6:22">
      <c r="U93" s="250"/>
    </row>
    <row r="94" spans="6:22">
      <c r="V94" s="250"/>
    </row>
    <row r="95" spans="6:22">
      <c r="V95" s="250"/>
    </row>
    <row r="96" spans="6:22">
      <c r="V96" s="250"/>
    </row>
    <row r="97" spans="23:25">
      <c r="W97" s="250"/>
    </row>
    <row r="98" spans="23:25">
      <c r="X98" s="250"/>
    </row>
    <row r="99" spans="23:25">
      <c r="Y99" s="250"/>
    </row>
  </sheetData>
  <mergeCells count="1">
    <mergeCell ref="B7:Q7"/>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110695" r:id="rId4">
          <objectPr defaultSize="0" autoPict="0" r:id="rId5">
            <anchor moveWithCells="1">
              <from>
                <xdr:col>4</xdr:col>
                <xdr:colOff>561975</xdr:colOff>
                <xdr:row>84</xdr:row>
                <xdr:rowOff>28575</xdr:rowOff>
              </from>
              <to>
                <xdr:col>6</xdr:col>
                <xdr:colOff>647700</xdr:colOff>
                <xdr:row>85</xdr:row>
                <xdr:rowOff>76200</xdr:rowOff>
              </to>
            </anchor>
          </objectPr>
        </oleObject>
      </mc:Choice>
      <mc:Fallback>
        <oleObject progId="Equation.DSMT4" shapeId="110695" r:id="rId4"/>
      </mc:Fallback>
    </mc:AlternateContent>
    <mc:AlternateContent xmlns:mc="http://schemas.openxmlformats.org/markup-compatibility/2006">
      <mc:Choice Requires="x14">
        <oleObject progId="Equation.DSMT4" shapeId="110696" r:id="rId6">
          <objectPr defaultSize="0" r:id="rId7">
            <anchor moveWithCells="1">
              <from>
                <xdr:col>4</xdr:col>
                <xdr:colOff>409575</xdr:colOff>
                <xdr:row>82</xdr:row>
                <xdr:rowOff>152400</xdr:rowOff>
              </from>
              <to>
                <xdr:col>5</xdr:col>
                <xdr:colOff>76200</xdr:colOff>
                <xdr:row>84</xdr:row>
                <xdr:rowOff>19050</xdr:rowOff>
              </to>
            </anchor>
          </objectPr>
        </oleObject>
      </mc:Choice>
      <mc:Fallback>
        <oleObject progId="Equation.DSMT4" shapeId="110696" r:id="rId6"/>
      </mc:Fallback>
    </mc:AlternateContent>
    <mc:AlternateContent xmlns:mc="http://schemas.openxmlformats.org/markup-compatibility/2006">
      <mc:Choice Requires="x14">
        <oleObject progId="Equation.DSMT4" shapeId="110697" r:id="rId8">
          <objectPr defaultSize="0" r:id="rId9">
            <anchor moveWithCells="1">
              <from>
                <xdr:col>5</xdr:col>
                <xdr:colOff>238125</xdr:colOff>
                <xdr:row>82</xdr:row>
                <xdr:rowOff>152400</xdr:rowOff>
              </from>
              <to>
                <xdr:col>5</xdr:col>
                <xdr:colOff>447675</xdr:colOff>
                <xdr:row>84</xdr:row>
                <xdr:rowOff>0</xdr:rowOff>
              </to>
            </anchor>
          </objectPr>
        </oleObject>
      </mc:Choice>
      <mc:Fallback>
        <oleObject progId="Equation.DSMT4" shapeId="110697" r:id="rId8"/>
      </mc:Fallback>
    </mc:AlternateContent>
    <mc:AlternateContent xmlns:mc="http://schemas.openxmlformats.org/markup-compatibility/2006">
      <mc:Choice Requires="x14">
        <oleObject progId="Equation.DSMT4" shapeId="110698" r:id="rId10">
          <objectPr defaultSize="0" r:id="rId11">
            <anchor moveWithCells="1">
              <from>
                <xdr:col>6</xdr:col>
                <xdr:colOff>638175</xdr:colOff>
                <xdr:row>82</xdr:row>
                <xdr:rowOff>180975</xdr:rowOff>
              </from>
              <to>
                <xdr:col>6</xdr:col>
                <xdr:colOff>752475</xdr:colOff>
                <xdr:row>84</xdr:row>
                <xdr:rowOff>38100</xdr:rowOff>
              </to>
            </anchor>
          </objectPr>
        </oleObject>
      </mc:Choice>
      <mc:Fallback>
        <oleObject progId="Equation.DSMT4" shapeId="110698" r:id="rId10"/>
      </mc:Fallback>
    </mc:AlternateContent>
    <mc:AlternateContent xmlns:mc="http://schemas.openxmlformats.org/markup-compatibility/2006">
      <mc:Choice Requires="x14">
        <oleObject progId="Equation.DSMT4" shapeId="110699" r:id="rId12">
          <objectPr defaultSize="0" r:id="rId13">
            <anchor moveWithCells="1">
              <from>
                <xdr:col>5</xdr:col>
                <xdr:colOff>704850</xdr:colOff>
                <xdr:row>82</xdr:row>
                <xdr:rowOff>114300</xdr:rowOff>
              </from>
              <to>
                <xdr:col>6</xdr:col>
                <xdr:colOff>561975</xdr:colOff>
                <xdr:row>83</xdr:row>
                <xdr:rowOff>123825</xdr:rowOff>
              </to>
            </anchor>
          </objectPr>
        </oleObject>
      </mc:Choice>
      <mc:Fallback>
        <oleObject progId="Equation.DSMT4" shapeId="110699" r:id="rId12"/>
      </mc:Fallback>
    </mc:AlternateContent>
    <mc:AlternateContent xmlns:mc="http://schemas.openxmlformats.org/markup-compatibility/2006">
      <mc:Choice Requires="x14">
        <oleObject progId="Equation.DSMT4" shapeId="110700" r:id="rId14">
          <objectPr defaultSize="0" autoPict="0" r:id="rId15">
            <anchor moveWithCells="1">
              <from>
                <xdr:col>1</xdr:col>
                <xdr:colOff>819150</xdr:colOff>
                <xdr:row>96</xdr:row>
                <xdr:rowOff>180975</xdr:rowOff>
              </from>
              <to>
                <xdr:col>1</xdr:col>
                <xdr:colOff>3314700</xdr:colOff>
                <xdr:row>98</xdr:row>
                <xdr:rowOff>57150</xdr:rowOff>
              </to>
            </anchor>
          </objectPr>
        </oleObject>
      </mc:Choice>
      <mc:Fallback>
        <oleObject progId="Equation.DSMT4" shapeId="110700" r:id="rId14"/>
      </mc:Fallback>
    </mc:AlternateContent>
    <mc:AlternateContent xmlns:mc="http://schemas.openxmlformats.org/markup-compatibility/2006">
      <mc:Choice Requires="x14">
        <oleObject progId="Equation.DSMT4" shapeId="110703" r:id="rId16">
          <objectPr defaultSize="0" autoPict="0" r:id="rId17">
            <anchor moveWithCells="1">
              <from>
                <xdr:col>1</xdr:col>
                <xdr:colOff>914400</xdr:colOff>
                <xdr:row>85</xdr:row>
                <xdr:rowOff>85725</xdr:rowOff>
              </from>
              <to>
                <xdr:col>4</xdr:col>
                <xdr:colOff>266700</xdr:colOff>
                <xdr:row>86</xdr:row>
                <xdr:rowOff>133350</xdr:rowOff>
              </to>
            </anchor>
          </objectPr>
        </oleObject>
      </mc:Choice>
      <mc:Fallback>
        <oleObject progId="Equation.DSMT4" shapeId="110703" r:id="rId16"/>
      </mc:Fallback>
    </mc:AlternateContent>
    <mc:AlternateContent xmlns:mc="http://schemas.openxmlformats.org/markup-compatibility/2006">
      <mc:Choice Requires="x14">
        <oleObject progId="Equation.DSMT4" shapeId="110710" r:id="rId18">
          <objectPr defaultSize="0" r:id="rId19">
            <anchor moveWithCells="1">
              <from>
                <xdr:col>1</xdr:col>
                <xdr:colOff>1038225</xdr:colOff>
                <xdr:row>94</xdr:row>
                <xdr:rowOff>95250</xdr:rowOff>
              </from>
              <to>
                <xdr:col>2</xdr:col>
                <xdr:colOff>19050</xdr:colOff>
                <xdr:row>95</xdr:row>
                <xdr:rowOff>180975</xdr:rowOff>
              </to>
            </anchor>
          </objectPr>
        </oleObject>
      </mc:Choice>
      <mc:Fallback>
        <oleObject progId="Equation.DSMT4" shapeId="110710" r:id="rId18"/>
      </mc:Fallback>
    </mc:AlternateContent>
    <mc:AlternateContent xmlns:mc="http://schemas.openxmlformats.org/markup-compatibility/2006">
      <mc:Choice Requires="x14">
        <oleObject progId="Equation.DSMT4" shapeId="110713" r:id="rId20">
          <objectPr defaultSize="0" autoPict="0" r:id="rId5">
            <anchor moveWithCells="1">
              <from>
                <xdr:col>1</xdr:col>
                <xdr:colOff>1162050</xdr:colOff>
                <xdr:row>90</xdr:row>
                <xdr:rowOff>104775</xdr:rowOff>
              </from>
              <to>
                <xdr:col>1</xdr:col>
                <xdr:colOff>2638425</xdr:colOff>
                <xdr:row>91</xdr:row>
                <xdr:rowOff>152400</xdr:rowOff>
              </to>
            </anchor>
          </objectPr>
        </oleObject>
      </mc:Choice>
      <mc:Fallback>
        <oleObject progId="Equation.DSMT4" shapeId="110713" r:id="rId20"/>
      </mc:Fallback>
    </mc:AlternateContent>
    <mc:AlternateContent xmlns:mc="http://schemas.openxmlformats.org/markup-compatibility/2006">
      <mc:Choice Requires="x14">
        <oleObject progId="Equation.DSMT4" shapeId="110727" r:id="rId21">
          <objectPr defaultSize="0" r:id="rId7">
            <anchor moveWithCells="1">
              <from>
                <xdr:col>7</xdr:col>
                <xdr:colOff>76200</xdr:colOff>
                <xdr:row>82</xdr:row>
                <xdr:rowOff>104775</xdr:rowOff>
              </from>
              <to>
                <xdr:col>7</xdr:col>
                <xdr:colOff>371475</xdr:colOff>
                <xdr:row>83</xdr:row>
                <xdr:rowOff>161925</xdr:rowOff>
              </to>
            </anchor>
          </objectPr>
        </oleObject>
      </mc:Choice>
      <mc:Fallback>
        <oleObject progId="Equation.DSMT4" shapeId="110727" r:id="rId21"/>
      </mc:Fallback>
    </mc:AlternateContent>
    <mc:AlternateContent xmlns:mc="http://schemas.openxmlformats.org/markup-compatibility/2006">
      <mc:Choice Requires="x14">
        <oleObject progId="Equation.DSMT4" shapeId="110730" r:id="rId22">
          <objectPr defaultSize="0" r:id="rId13">
            <anchor moveWithCells="1">
              <from>
                <xdr:col>8</xdr:col>
                <xdr:colOff>190500</xdr:colOff>
                <xdr:row>83</xdr:row>
                <xdr:rowOff>66675</xdr:rowOff>
              </from>
              <to>
                <xdr:col>9</xdr:col>
                <xdr:colOff>133350</xdr:colOff>
                <xdr:row>84</xdr:row>
                <xdr:rowOff>76200</xdr:rowOff>
              </to>
            </anchor>
          </objectPr>
        </oleObject>
      </mc:Choice>
      <mc:Fallback>
        <oleObject progId="Equation.DSMT4" shapeId="110730" r:id="rId22"/>
      </mc:Fallback>
    </mc:AlternateContent>
    <mc:AlternateContent xmlns:mc="http://schemas.openxmlformats.org/markup-compatibility/2006">
      <mc:Choice Requires="x14">
        <oleObject progId="Equation.DSMT4" shapeId="110731" r:id="rId23">
          <objectPr defaultSize="0" autoPict="0" r:id="rId5">
            <anchor moveWithCells="1">
              <from>
                <xdr:col>5</xdr:col>
                <xdr:colOff>762000</xdr:colOff>
                <xdr:row>87</xdr:row>
                <xdr:rowOff>57150</xdr:rowOff>
              </from>
              <to>
                <xdr:col>8</xdr:col>
                <xdr:colOff>38100</xdr:colOff>
                <xdr:row>88</xdr:row>
                <xdr:rowOff>104775</xdr:rowOff>
              </to>
            </anchor>
          </objectPr>
        </oleObject>
      </mc:Choice>
      <mc:Fallback>
        <oleObject progId="Equation.DSMT4" shapeId="110731" r:id="rId23"/>
      </mc:Fallback>
    </mc:AlternateContent>
    <mc:AlternateContent xmlns:mc="http://schemas.openxmlformats.org/markup-compatibility/2006">
      <mc:Choice Requires="x14">
        <oleObject progId="Equation.DSMT4" shapeId="110732" r:id="rId24">
          <objectPr defaultSize="0" autoPict="0" r:id="rId15">
            <anchor moveWithCells="1">
              <from>
                <xdr:col>1</xdr:col>
                <xdr:colOff>809625</xdr:colOff>
                <xdr:row>88</xdr:row>
                <xdr:rowOff>9525</xdr:rowOff>
              </from>
              <to>
                <xdr:col>1</xdr:col>
                <xdr:colOff>3295650</xdr:colOff>
                <xdr:row>89</xdr:row>
                <xdr:rowOff>76200</xdr:rowOff>
              </to>
            </anchor>
          </objectPr>
        </oleObject>
      </mc:Choice>
      <mc:Fallback>
        <oleObject progId="Equation.DSMT4" shapeId="110732" r:id="rId24"/>
      </mc:Fallback>
    </mc:AlternateContent>
    <mc:AlternateContent xmlns:mc="http://schemas.openxmlformats.org/markup-compatibility/2006">
      <mc:Choice Requires="x14">
        <oleObject progId="Equation.DSMT4" shapeId="110733" r:id="rId25">
          <objectPr defaultSize="0" autoPict="0" r:id="rId17">
            <anchor moveWithCells="1">
              <from>
                <xdr:col>1</xdr:col>
                <xdr:colOff>933450</xdr:colOff>
                <xdr:row>83</xdr:row>
                <xdr:rowOff>57150</xdr:rowOff>
              </from>
              <to>
                <xdr:col>3</xdr:col>
                <xdr:colOff>619125</xdr:colOff>
                <xdr:row>84</xdr:row>
                <xdr:rowOff>123825</xdr:rowOff>
              </to>
            </anchor>
          </objectPr>
        </oleObject>
      </mc:Choice>
      <mc:Fallback>
        <oleObject progId="Equation.DSMT4" shapeId="110733" r:id="rId25"/>
      </mc:Fallback>
    </mc:AlternateContent>
  </oleObjec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BZ304"/>
  <sheetViews>
    <sheetView topLeftCell="A4" zoomScaleNormal="100" workbookViewId="0">
      <selection activeCell="B28" sqref="B28"/>
    </sheetView>
  </sheetViews>
  <sheetFormatPr baseColWidth="10" defaultColWidth="9.140625" defaultRowHeight="15"/>
  <cols>
    <col min="2" max="2" width="21" customWidth="1"/>
    <col min="3" max="3" width="10.5703125" bestFit="1" customWidth="1"/>
    <col min="4" max="4" width="11.5703125" bestFit="1" customWidth="1"/>
    <col min="5" max="5" width="11.5703125" customWidth="1"/>
    <col min="6" max="6" width="11" bestFit="1" customWidth="1"/>
    <col min="7" max="7" width="9.140625" customWidth="1"/>
    <col min="8" max="8" width="19.140625" customWidth="1"/>
    <col min="9" max="9" width="11" bestFit="1" customWidth="1"/>
    <col min="12" max="12" width="13.85546875" customWidth="1"/>
    <col min="14" max="14" width="11" bestFit="1" customWidth="1"/>
    <col min="15" max="15" width="11.5703125" bestFit="1" customWidth="1"/>
    <col min="16" max="16" width="11" bestFit="1" customWidth="1"/>
    <col min="17" max="17" width="14.85546875" customWidth="1"/>
    <col min="20" max="20" width="11.5703125" bestFit="1" customWidth="1"/>
    <col min="23" max="23" width="12" bestFit="1" customWidth="1"/>
    <col min="24" max="24" width="33.140625" bestFit="1" customWidth="1"/>
    <col min="25" max="25" width="8.28515625" bestFit="1" customWidth="1"/>
    <col min="26" max="26" width="6.7109375" bestFit="1" customWidth="1"/>
    <col min="27" max="27" width="9.85546875" bestFit="1" customWidth="1"/>
    <col min="28" max="28" width="14.28515625" bestFit="1" customWidth="1"/>
    <col min="29" max="29" width="12.5703125" bestFit="1" customWidth="1"/>
    <col min="30" max="30" width="11.5703125" bestFit="1" customWidth="1"/>
    <col min="31" max="31" width="10.5703125" bestFit="1" customWidth="1"/>
    <col min="32" max="32" width="10.42578125" bestFit="1" customWidth="1"/>
    <col min="33" max="34" width="10.5703125" bestFit="1" customWidth="1"/>
    <col min="35" max="35" width="10.42578125" bestFit="1" customWidth="1"/>
    <col min="36" max="38" width="10.5703125" bestFit="1" customWidth="1"/>
    <col min="39" max="39" width="11.5703125" bestFit="1" customWidth="1"/>
    <col min="40" max="40" width="10.5703125" bestFit="1" customWidth="1"/>
  </cols>
  <sheetData>
    <row r="1" spans="1:7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c r="A2" s="1"/>
      <c r="B2" s="112" t="s">
        <v>276</v>
      </c>
      <c r="C2" s="1140" t="s">
        <v>409</v>
      </c>
      <c r="D2" s="1140"/>
      <c r="E2" s="1140"/>
      <c r="F2" s="1140"/>
      <c r="G2" s="1140"/>
      <c r="H2" s="1140"/>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15" customHeight="1">
      <c r="A3" s="1"/>
      <c r="B3" s="112" t="s">
        <v>491</v>
      </c>
      <c r="C3" s="1153" t="s">
        <v>492</v>
      </c>
      <c r="D3" s="1153"/>
      <c r="E3" s="1153"/>
      <c r="F3" s="1153"/>
      <c r="G3" s="1153"/>
      <c r="H3" s="1153"/>
      <c r="I3" s="1153"/>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19.5" thickBot="1">
      <c r="A4" s="1"/>
      <c r="B4" s="1"/>
      <c r="C4" s="1"/>
      <c r="D4" s="1"/>
      <c r="E4" s="1"/>
      <c r="F4" s="1"/>
      <c r="G4" s="1"/>
      <c r="H4" s="1"/>
      <c r="I4" s="118"/>
      <c r="J4" s="118"/>
      <c r="K4" s="118"/>
      <c r="L4" s="118"/>
      <c r="M4" s="118"/>
      <c r="N4" s="118"/>
      <c r="O4" s="118"/>
      <c r="P4" s="118"/>
      <c r="Q4" s="118"/>
      <c r="R4" s="118"/>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c r="A5" s="1"/>
      <c r="B5" s="140" t="s">
        <v>414</v>
      </c>
      <c r="C5" s="141" t="s">
        <v>491</v>
      </c>
      <c r="D5" s="141" t="s">
        <v>276</v>
      </c>
      <c r="E5" s="141" t="s">
        <v>493</v>
      </c>
      <c r="F5" s="141"/>
      <c r="G5" s="141"/>
      <c r="H5" s="142"/>
      <c r="I5" s="1"/>
      <c r="J5" s="1"/>
      <c r="K5" s="1154" t="s">
        <v>494</v>
      </c>
      <c r="L5" s="1155"/>
      <c r="M5" s="1155"/>
      <c r="N5" s="1155"/>
      <c r="O5" s="1155"/>
      <c r="P5" s="388"/>
      <c r="Q5" s="459"/>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row>
    <row r="6" spans="1:78" ht="23.25" customHeight="1">
      <c r="A6" s="1"/>
      <c r="B6" s="30"/>
      <c r="C6" s="31"/>
      <c r="D6" s="31"/>
      <c r="E6" s="31"/>
      <c r="F6" s="31"/>
      <c r="G6" s="31"/>
      <c r="H6" s="32"/>
      <c r="I6" s="1"/>
      <c r="J6" s="1"/>
      <c r="K6" s="308" t="s">
        <v>495</v>
      </c>
      <c r="L6" s="563"/>
      <c r="M6" s="563"/>
      <c r="N6" s="563"/>
      <c r="O6" s="563"/>
      <c r="P6" s="563"/>
      <c r="Q6" s="564"/>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row>
    <row r="7" spans="1:78">
      <c r="A7" s="1"/>
      <c r="B7" s="30">
        <v>2006</v>
      </c>
      <c r="C7" s="24">
        <v>6791.1229180638329</v>
      </c>
      <c r="D7" s="24">
        <f>'PIB real y brecha del producto'!C6</f>
        <v>9864.1030354013474</v>
      </c>
      <c r="E7" s="100">
        <f>C7/D7*100</f>
        <v>68.846836794902941</v>
      </c>
      <c r="F7" s="143"/>
      <c r="G7" s="143"/>
      <c r="H7" s="144"/>
      <c r="I7" s="1"/>
      <c r="J7" s="1"/>
      <c r="K7" s="308" t="s">
        <v>496</v>
      </c>
      <c r="L7" s="31"/>
      <c r="M7" s="31"/>
      <c r="N7" s="31"/>
      <c r="O7" s="461">
        <v>0.65</v>
      </c>
      <c r="P7" s="31"/>
      <c r="Q7" s="463"/>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row>
    <row r="8" spans="1:78">
      <c r="A8" s="145"/>
      <c r="B8" s="30">
        <f t="shared" ref="B8:B14" si="0">B7+1</f>
        <v>2007</v>
      </c>
      <c r="C8" s="24">
        <v>7301.5719476151062</v>
      </c>
      <c r="D8" s="24">
        <f>'PIB real y brecha del producto'!C7</f>
        <v>10508.007819926337</v>
      </c>
      <c r="E8" s="100">
        <f t="shared" ref="E8:E13" si="1">C8/D8*100</f>
        <v>69.485787151482072</v>
      </c>
      <c r="F8" s="143"/>
      <c r="G8" s="143"/>
      <c r="H8" s="144"/>
      <c r="I8" s="1"/>
      <c r="J8" s="1"/>
      <c r="K8" s="308" t="s">
        <v>497</v>
      </c>
      <c r="L8" s="115"/>
      <c r="M8" s="381"/>
      <c r="N8" s="31"/>
      <c r="O8" s="461">
        <v>0.88</v>
      </c>
      <c r="P8" s="31"/>
      <c r="Q8" s="32"/>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row>
    <row r="9" spans="1:78">
      <c r="A9" s="145"/>
      <c r="B9" s="30">
        <f t="shared" si="0"/>
        <v>2008</v>
      </c>
      <c r="C9" s="24">
        <v>7553.2800709883222</v>
      </c>
      <c r="D9" s="24">
        <f>'PIB real y brecha del producto'!C8</f>
        <v>10760.324940161812</v>
      </c>
      <c r="E9" s="100">
        <f t="shared" si="1"/>
        <v>70.195650345060471</v>
      </c>
      <c r="F9" s="143"/>
      <c r="G9" s="143"/>
      <c r="H9" s="144"/>
      <c r="I9" s="146"/>
      <c r="J9" s="1"/>
      <c r="K9" s="30"/>
      <c r="L9" s="31"/>
      <c r="M9" s="31"/>
      <c r="N9" s="31"/>
      <c r="O9" s="31"/>
      <c r="P9" s="31"/>
      <c r="Q9" s="32"/>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row>
    <row r="10" spans="1:78">
      <c r="A10" s="145"/>
      <c r="B10" s="30">
        <f t="shared" si="0"/>
        <v>2009</v>
      </c>
      <c r="C10" s="24">
        <v>7682.1636093113693</v>
      </c>
      <c r="D10" s="24">
        <f>'PIB real y brecha del producto'!C9</f>
        <v>10584.875668060318</v>
      </c>
      <c r="E10" s="100">
        <f t="shared" si="1"/>
        <v>72.576795894657195</v>
      </c>
      <c r="F10" s="143"/>
      <c r="G10" s="143"/>
      <c r="H10" s="144"/>
      <c r="I10" s="146"/>
      <c r="J10" s="1"/>
      <c r="K10" s="30"/>
      <c r="L10" s="31"/>
      <c r="M10" s="31"/>
      <c r="N10" s="31"/>
      <c r="O10" s="31"/>
      <c r="P10" s="31"/>
      <c r="Q10" s="32"/>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row>
    <row r="11" spans="1:78" ht="15.75" thickBot="1">
      <c r="A11" s="145"/>
      <c r="B11" s="30">
        <f t="shared" si="0"/>
        <v>2010</v>
      </c>
      <c r="C11" s="24">
        <v>8033.6929626220171</v>
      </c>
      <c r="D11" s="24">
        <f>'PIB real y brecha del producto'!C10</f>
        <v>11099.247251539817</v>
      </c>
      <c r="E11" s="100">
        <f t="shared" si="1"/>
        <v>72.380520773672202</v>
      </c>
      <c r="F11" s="143"/>
      <c r="G11" s="143"/>
      <c r="H11" s="144"/>
      <c r="I11" s="146"/>
      <c r="J11" s="1"/>
      <c r="K11" s="122"/>
      <c r="L11" s="123"/>
      <c r="M11" s="123"/>
      <c r="N11" s="123"/>
      <c r="O11" s="123"/>
      <c r="P11" s="123"/>
      <c r="Q11" s="124"/>
      <c r="R11" s="1"/>
      <c r="S11" s="1"/>
      <c r="T11" s="1"/>
      <c r="U11" s="1"/>
      <c r="V11" s="1"/>
      <c r="W11" s="1"/>
      <c r="X11" s="1"/>
      <c r="Y11" s="1"/>
      <c r="Z11" s="1"/>
      <c r="AA11" s="1"/>
      <c r="AB11" s="1"/>
      <c r="AC11" s="1"/>
      <c r="AD11" s="1"/>
      <c r="AE11" s="1"/>
      <c r="AF11" s="1"/>
      <c r="AG11" s="1"/>
      <c r="AH11" s="1"/>
      <c r="AI11" s="1"/>
      <c r="AJ11" s="1"/>
      <c r="AK11" s="1"/>
      <c r="AL11" s="1"/>
      <c r="AM11" s="1"/>
      <c r="AN11" s="1"/>
      <c r="AO11" s="1"/>
      <c r="AP11" s="523"/>
      <c r="AQ11" s="523"/>
      <c r="AR11" s="523"/>
      <c r="AS11" s="523"/>
      <c r="AT11" s="523"/>
      <c r="AU11" s="523"/>
      <c r="AV11" s="523"/>
      <c r="AW11" s="523"/>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row>
    <row r="12" spans="1:78">
      <c r="A12" s="145"/>
      <c r="B12" s="30">
        <f t="shared" si="0"/>
        <v>2011</v>
      </c>
      <c r="C12" s="24">
        <v>8406.4346952201358</v>
      </c>
      <c r="D12" s="24">
        <f>'PIB real y brecha del producto'!C11</f>
        <v>11726.952807166241</v>
      </c>
      <c r="E12" s="100">
        <f t="shared" si="1"/>
        <v>71.6847320310101</v>
      </c>
      <c r="F12" s="143"/>
      <c r="G12" s="143"/>
      <c r="H12" s="144"/>
      <c r="I12" s="146"/>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row>
    <row r="13" spans="1:78">
      <c r="A13" s="145"/>
      <c r="B13" s="30">
        <f t="shared" si="0"/>
        <v>2012</v>
      </c>
      <c r="C13" s="24">
        <v>8818.3499952859311</v>
      </c>
      <c r="D13" s="24">
        <f>'PIB real y brecha del producto'!C12</f>
        <v>12184.443739182007</v>
      </c>
      <c r="E13" s="100">
        <f t="shared" si="1"/>
        <v>72.37384146580618</v>
      </c>
      <c r="F13" s="143"/>
      <c r="G13" s="143"/>
      <c r="H13" s="144"/>
      <c r="I13" s="146"/>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row>
    <row r="14" spans="1:78">
      <c r="A14" s="145"/>
      <c r="B14" s="30">
        <f t="shared" si="0"/>
        <v>2013</v>
      </c>
      <c r="C14" s="24">
        <v>9288</v>
      </c>
      <c r="D14" s="24">
        <f>'PIB real y brecha del producto'!C13</f>
        <v>12774.630811636434</v>
      </c>
      <c r="E14" s="100">
        <f>C14/D14*100</f>
        <v>72.70660214727728</v>
      </c>
      <c r="F14" s="143"/>
      <c r="G14" s="143"/>
      <c r="H14" s="144"/>
      <c r="I14" s="146"/>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row>
    <row r="15" spans="1:78" ht="15.75" thickBot="1">
      <c r="A15" s="1"/>
      <c r="B15" s="147" t="s">
        <v>498</v>
      </c>
      <c r="C15" s="148"/>
      <c r="D15" s="148"/>
      <c r="E15" s="462">
        <f>AVERAGE(E7:E13)</f>
        <v>71.077737779513015</v>
      </c>
      <c r="F15" s="148"/>
      <c r="G15" s="148"/>
      <c r="H15" s="149"/>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row>
    <row r="16" spans="1:78" ht="15.75" thickBo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row>
    <row r="17" spans="1:78">
      <c r="A17" s="1"/>
      <c r="B17" s="1151" t="s">
        <v>499</v>
      </c>
      <c r="C17" s="1152"/>
      <c r="D17" s="1152"/>
      <c r="E17" s="1152"/>
      <c r="F17" s="1152"/>
      <c r="G17" s="1152"/>
      <c r="H17" s="1152"/>
      <c r="I17" s="1152"/>
      <c r="J17" s="1152"/>
      <c r="K17" s="1152"/>
      <c r="L17" s="1152"/>
      <c r="M17" s="1152"/>
      <c r="N17" s="150"/>
      <c r="O17" s="150"/>
      <c r="P17" s="150"/>
      <c r="Q17" s="15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row>
    <row r="18" spans="1:78">
      <c r="A18" s="1"/>
      <c r="B18" s="152"/>
      <c r="C18" s="153"/>
      <c r="D18" s="153"/>
      <c r="E18" s="153"/>
      <c r="F18" s="153"/>
      <c r="G18" s="153"/>
      <c r="H18" s="153"/>
      <c r="I18" s="29"/>
      <c r="J18" s="29"/>
      <c r="K18" s="29"/>
      <c r="L18" s="29"/>
      <c r="M18" s="29"/>
      <c r="N18" s="31"/>
      <c r="O18" s="31"/>
      <c r="P18" s="31"/>
      <c r="Q18" s="32"/>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row>
    <row r="19" spans="1:78">
      <c r="A19" s="1"/>
      <c r="B19" s="154"/>
      <c r="C19" s="155"/>
      <c r="D19" s="155"/>
      <c r="E19" s="155"/>
      <c r="F19" s="156"/>
      <c r="G19" s="155"/>
      <c r="H19" s="156" t="s">
        <v>426</v>
      </c>
      <c r="I19" s="29"/>
      <c r="J19" s="157" t="s">
        <v>500</v>
      </c>
      <c r="K19" s="158"/>
      <c r="L19" s="157" t="s">
        <v>493</v>
      </c>
      <c r="M19" s="158"/>
      <c r="N19" s="31"/>
      <c r="O19" s="115" t="s">
        <v>427</v>
      </c>
      <c r="P19" s="31"/>
      <c r="Q19" s="32"/>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row>
    <row r="20" spans="1:78">
      <c r="A20" s="1"/>
      <c r="B20" s="154"/>
      <c r="C20" s="159"/>
      <c r="D20" s="159"/>
      <c r="E20" s="159"/>
      <c r="F20" s="156"/>
      <c r="G20" s="156"/>
      <c r="H20" s="156">
        <v>2014</v>
      </c>
      <c r="I20" s="29"/>
      <c r="J20" s="156">
        <f>H20</f>
        <v>2014</v>
      </c>
      <c r="K20" s="29"/>
      <c r="L20" s="156">
        <f>J20</f>
        <v>2014</v>
      </c>
      <c r="M20" s="29"/>
      <c r="N20" s="31"/>
      <c r="O20" s="31"/>
      <c r="P20" s="31"/>
      <c r="Q20" s="32"/>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row>
    <row r="21" spans="1:78" ht="15.75" thickBot="1">
      <c r="A21" s="1"/>
      <c r="B21" s="154"/>
      <c r="C21" s="153"/>
      <c r="D21" s="153"/>
      <c r="E21" s="153"/>
      <c r="F21" s="153"/>
      <c r="G21" s="153"/>
      <c r="H21" s="153"/>
      <c r="I21" s="29"/>
      <c r="J21" s="29"/>
      <c r="K21" s="29"/>
      <c r="L21" s="29"/>
      <c r="M21" s="29"/>
      <c r="N21" s="31"/>
      <c r="O21" s="31"/>
      <c r="P21" s="31"/>
      <c r="Q21" s="32"/>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row>
    <row r="22" spans="1:78" ht="15.75" thickBot="1">
      <c r="A22" s="1"/>
      <c r="B22" s="152" t="s">
        <v>501</v>
      </c>
      <c r="C22" s="159"/>
      <c r="D22" s="153"/>
      <c r="E22" s="153"/>
      <c r="F22" s="153"/>
      <c r="G22" s="153"/>
      <c r="H22" s="511">
        <f>'PIB real y brecha del producto'!G30</f>
        <v>13343.31931945635</v>
      </c>
      <c r="I22" s="29"/>
      <c r="J22" s="29"/>
      <c r="K22" s="29"/>
      <c r="L22" s="29"/>
      <c r="M22" s="29"/>
      <c r="N22" s="31"/>
      <c r="O22" s="31"/>
      <c r="P22" s="31"/>
      <c r="Q22" s="32"/>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row>
    <row r="23" spans="1:78" ht="15.75" thickBot="1">
      <c r="A23" s="1"/>
      <c r="B23" s="152"/>
      <c r="C23" s="159"/>
      <c r="D23" s="153"/>
      <c r="E23" s="153"/>
      <c r="F23" s="153"/>
      <c r="G23" s="153"/>
      <c r="H23" s="161"/>
      <c r="I23" s="29"/>
      <c r="J23" s="29"/>
      <c r="K23" s="29"/>
      <c r="L23" s="258"/>
      <c r="M23" s="29"/>
      <c r="N23" s="31"/>
      <c r="O23" s="31"/>
      <c r="P23" s="31"/>
      <c r="Q23" s="32"/>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row>
    <row r="24" spans="1:78" ht="15.75" thickBot="1">
      <c r="A24" s="1"/>
      <c r="B24" s="152" t="s">
        <v>502</v>
      </c>
      <c r="C24" s="159"/>
      <c r="D24" s="153"/>
      <c r="E24" s="153"/>
      <c r="F24" s="153"/>
      <c r="G24" s="153"/>
      <c r="H24" s="160">
        <f>'PIB real y brecha del producto'!G28</f>
        <v>4.4517020977380968</v>
      </c>
      <c r="I24" s="29"/>
      <c r="J24" s="29"/>
      <c r="K24" s="29"/>
      <c r="L24" s="29"/>
      <c r="M24" s="29"/>
      <c r="N24" s="31"/>
      <c r="O24" s="31"/>
      <c r="P24" s="31"/>
      <c r="Q24" s="32"/>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row>
    <row r="25" spans="1:78" ht="15.75" thickBot="1">
      <c r="A25" s="1"/>
      <c r="B25" s="154"/>
      <c r="C25" s="153"/>
      <c r="D25" s="153"/>
      <c r="E25" s="153"/>
      <c r="F25" s="153"/>
      <c r="G25" s="153"/>
      <c r="H25" s="161"/>
      <c r="I25" s="29"/>
      <c r="J25" s="29"/>
      <c r="K25" s="29"/>
      <c r="L25" s="161"/>
      <c r="M25" s="29"/>
      <c r="N25" s="31"/>
      <c r="O25" s="31"/>
      <c r="P25" s="31"/>
      <c r="Q25" s="32"/>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row>
    <row r="26" spans="1:78" ht="15.75" thickBot="1">
      <c r="A26" s="1"/>
      <c r="B26" s="152" t="s">
        <v>503</v>
      </c>
      <c r="C26" s="159"/>
      <c r="D26" s="159"/>
      <c r="E26" s="159"/>
      <c r="F26" s="153"/>
      <c r="G26" s="153"/>
      <c r="H26" s="160">
        <f>H24</f>
        <v>4.4517020977380968</v>
      </c>
      <c r="I26" s="29"/>
      <c r="J26" s="29"/>
      <c r="K26" s="29"/>
      <c r="L26" s="161"/>
      <c r="M26" s="29"/>
      <c r="N26" s="31"/>
      <c r="O26" s="31"/>
      <c r="P26" s="31"/>
      <c r="Q26" s="32"/>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row>
    <row r="27" spans="1:78" ht="15.75" thickBot="1">
      <c r="A27" s="1"/>
      <c r="B27" s="154"/>
      <c r="C27" s="153"/>
      <c r="D27" s="153"/>
      <c r="E27" s="153"/>
      <c r="F27" s="153"/>
      <c r="G27" s="153"/>
      <c r="H27" s="161"/>
      <c r="I27" s="29"/>
      <c r="J27" s="29"/>
      <c r="K27" s="29"/>
      <c r="L27" s="161"/>
      <c r="M27" s="29"/>
      <c r="N27" s="31"/>
      <c r="O27" s="31"/>
      <c r="P27" s="31"/>
      <c r="Q27" s="32"/>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row>
    <row r="28" spans="1:78" ht="18.75" thickBot="1">
      <c r="A28" s="1"/>
      <c r="B28" s="152" t="s">
        <v>504</v>
      </c>
      <c r="C28" s="162"/>
      <c r="D28" s="162"/>
      <c r="E28" s="162"/>
      <c r="F28" s="162"/>
      <c r="G28" s="159"/>
      <c r="H28" s="1049">
        <f>H22*(C14/D14)</f>
        <v>9701.4740908379135</v>
      </c>
      <c r="I28" s="29"/>
      <c r="J28" s="464">
        <f>(H28/$C$14-1)*100</f>
        <v>4.4517020977380861</v>
      </c>
      <c r="K28" s="29"/>
      <c r="L28" s="161">
        <f>H28/$H$22*100</f>
        <v>72.706602147277266</v>
      </c>
      <c r="M28" s="29"/>
      <c r="N28" s="115"/>
      <c r="O28" s="31" t="s">
        <v>505</v>
      </c>
      <c r="P28" s="31"/>
      <c r="Q28" s="32"/>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row>
    <row r="29" spans="1:78" ht="15.75" thickBot="1">
      <c r="A29" s="1"/>
      <c r="B29" s="152"/>
      <c r="C29" s="162"/>
      <c r="D29" s="162"/>
      <c r="E29" s="162"/>
      <c r="F29" s="162"/>
      <c r="G29" s="159"/>
      <c r="H29" s="161"/>
      <c r="I29" s="29"/>
      <c r="J29" s="161"/>
      <c r="K29" s="29"/>
      <c r="L29" s="161"/>
      <c r="M29" s="29"/>
      <c r="N29" s="115"/>
      <c r="O29" s="31"/>
      <c r="P29" s="31"/>
      <c r="Q29" s="32"/>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row>
    <row r="30" spans="1:78" ht="15.75" hidden="1" thickBot="1">
      <c r="A30" s="1"/>
      <c r="B30" s="152" t="s">
        <v>1122</v>
      </c>
      <c r="C30" s="163"/>
      <c r="D30" s="164"/>
      <c r="E30" s="164"/>
      <c r="F30" s="164"/>
      <c r="G30" s="159"/>
      <c r="H30" s="382" t="e">
        <f>C13*(1+#REF!/100)</f>
        <v>#REF!</v>
      </c>
      <c r="I30" s="29"/>
      <c r="J30" s="263" t="e">
        <f>(H30/$C$13-1)*100</f>
        <v>#REF!</v>
      </c>
      <c r="K30" s="29"/>
      <c r="L30" s="263" t="e">
        <f>H30/$H$22*100</f>
        <v>#REF!</v>
      </c>
      <c r="M30" s="29"/>
      <c r="N30" s="115"/>
      <c r="O30" s="31"/>
      <c r="P30" s="31"/>
      <c r="Q30" s="32"/>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row>
    <row r="31" spans="1:78" ht="15.75" hidden="1" thickBot="1">
      <c r="A31" s="1"/>
      <c r="B31" s="152"/>
      <c r="C31" s="163"/>
      <c r="D31" s="164"/>
      <c r="E31" s="164"/>
      <c r="F31" s="164"/>
      <c r="G31" s="159"/>
      <c r="H31" s="161"/>
      <c r="I31" s="29"/>
      <c r="J31" s="161"/>
      <c r="K31" s="29"/>
      <c r="L31" s="161"/>
      <c r="M31" s="29"/>
      <c r="N31" s="115"/>
      <c r="O31" s="31"/>
      <c r="P31" s="31"/>
      <c r="Q31" s="32"/>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row>
    <row r="32" spans="1:78" ht="18.75" thickBot="1">
      <c r="A32" s="1"/>
      <c r="B32" s="152" t="s">
        <v>506</v>
      </c>
      <c r="C32" s="159"/>
      <c r="D32" s="153"/>
      <c r="E32" s="153"/>
      <c r="F32" s="153"/>
      <c r="G32" s="153"/>
      <c r="H32" s="1049">
        <f>C14*(1+(O7*H24/100))</f>
        <v>9556.7581590446443</v>
      </c>
      <c r="I32" s="29"/>
      <c r="J32" s="161">
        <f>(H32/$C$14-1)*100</f>
        <v>2.8936063635297549</v>
      </c>
      <c r="K32" s="29"/>
      <c r="L32" s="161">
        <f>H32/$H$22*100</f>
        <v>71.622044936821752</v>
      </c>
      <c r="M32" s="29"/>
      <c r="N32" s="115"/>
      <c r="O32" s="31" t="s">
        <v>507</v>
      </c>
      <c r="P32" s="31"/>
      <c r="Q32" s="32"/>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row>
    <row r="33" spans="1:78" ht="15.75" thickBot="1">
      <c r="A33" s="1"/>
      <c r="B33" s="154"/>
      <c r="C33" s="167"/>
      <c r="D33" s="168"/>
      <c r="E33" s="168"/>
      <c r="F33" s="164"/>
      <c r="G33" s="159"/>
      <c r="H33" s="161"/>
      <c r="I33" s="29"/>
      <c r="J33" s="161"/>
      <c r="K33" s="29"/>
      <c r="L33" s="161"/>
      <c r="M33" s="29"/>
      <c r="N33" s="115"/>
      <c r="O33" s="31"/>
      <c r="P33" s="31"/>
      <c r="Q33" s="32"/>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row>
    <row r="34" spans="1:78" ht="15.75" thickBot="1">
      <c r="A34" s="1"/>
      <c r="B34" s="152" t="s">
        <v>508</v>
      </c>
      <c r="C34" s="162"/>
      <c r="D34" s="164"/>
      <c r="E34" s="164"/>
      <c r="F34" s="164"/>
      <c r="G34" s="159"/>
      <c r="H34" s="382">
        <f>H32</f>
        <v>9556.7581590446443</v>
      </c>
      <c r="I34" s="29"/>
      <c r="J34" s="161">
        <f>(H34/$C$14-1)*100</f>
        <v>2.8936063635297549</v>
      </c>
      <c r="K34" s="29"/>
      <c r="L34" s="161">
        <f>H34/$H$22*100</f>
        <v>71.622044936821752</v>
      </c>
      <c r="M34" s="29"/>
      <c r="N34" s="31"/>
      <c r="O34" s="31"/>
      <c r="P34" s="31"/>
      <c r="Q34" s="32"/>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row>
    <row r="35" spans="1:78">
      <c r="A35" s="1"/>
      <c r="B35" s="154"/>
      <c r="C35" s="153"/>
      <c r="D35" s="153"/>
      <c r="E35" s="153"/>
      <c r="F35" s="153"/>
      <c r="G35" s="153"/>
      <c r="H35" s="153"/>
      <c r="I35" s="29"/>
      <c r="J35" s="29"/>
      <c r="K35" s="29"/>
      <c r="L35" s="29"/>
      <c r="M35" s="29"/>
      <c r="N35" s="31"/>
      <c r="O35" s="31"/>
      <c r="P35" s="31"/>
      <c r="Q35" s="32"/>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row>
    <row r="36" spans="1:78" ht="15.75" thickBot="1">
      <c r="A36" s="1"/>
      <c r="B36" s="137"/>
      <c r="C36" s="138"/>
      <c r="D36" s="138"/>
      <c r="E36" s="138"/>
      <c r="F36" s="138"/>
      <c r="G36" s="138"/>
      <c r="H36" s="138"/>
      <c r="I36" s="138"/>
      <c r="J36" s="138"/>
      <c r="K36" s="138"/>
      <c r="L36" s="138"/>
      <c r="M36" s="138"/>
      <c r="N36" s="123"/>
      <c r="O36" s="123"/>
      <c r="P36" s="123"/>
      <c r="Q36" s="124"/>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row>
    <row r="37" spans="1:78">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row>
    <row r="38" spans="1:78">
      <c r="A38" s="1"/>
      <c r="B38" s="1"/>
      <c r="C38" s="1"/>
      <c r="D38" s="1"/>
      <c r="E38" s="1"/>
      <c r="F38" s="1"/>
      <c r="G38" s="1"/>
      <c r="H38" s="1"/>
      <c r="I38" s="1"/>
      <c r="J38" s="1"/>
      <c r="K38" s="1"/>
      <c r="L38" s="1"/>
      <c r="M38" s="1"/>
      <c r="N38" s="1"/>
      <c r="O38" s="1"/>
      <c r="P38" s="1"/>
      <c r="Q38" s="1"/>
      <c r="R38" s="1"/>
      <c r="S38" s="1"/>
      <c r="T38" s="286"/>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row>
    <row r="39" spans="1:78">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row>
    <row r="40" spans="1:78">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row>
    <row r="41" spans="1:78">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row>
    <row r="42" spans="1:78">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row>
    <row r="43" spans="1:78">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row>
    <row r="44" spans="1:78">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row>
    <row r="45" spans="1:78">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row>
    <row r="46" spans="1:78">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row>
    <row r="47" spans="1:78">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row>
    <row r="48" spans="1:7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row>
    <row r="49" spans="1:78">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row>
    <row r="50" spans="1:78">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row>
    <row r="51" spans="1:78">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row>
    <row r="52" spans="1:78">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row>
    <row r="53" spans="1:78">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row>
    <row r="54" spans="1:78">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row>
    <row r="55" spans="1:78">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row>
    <row r="56" spans="1:78">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row>
    <row r="57" spans="1:7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row r="74" spans="1:7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row>
    <row r="75" spans="1:7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row>
    <row r="76" spans="1:7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row>
    <row r="77" spans="1:7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row>
    <row r="78" spans="1: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row>
    <row r="79" spans="1:7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row>
    <row r="80" spans="1:7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row>
    <row r="81" spans="1:7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row>
    <row r="82" spans="1:7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row>
    <row r="83" spans="1:7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row>
    <row r="84" spans="1:7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row>
    <row r="85" spans="1:7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row>
    <row r="86" spans="1:7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row>
    <row r="87" spans="1:7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row>
    <row r="88" spans="1:7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row>
    <row r="89" spans="1:7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row>
    <row r="90" spans="1:7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row>
    <row r="91" spans="1:7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row>
    <row r="92" spans="1:7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row>
    <row r="93" spans="1:7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row>
    <row r="94" spans="1:7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row>
    <row r="95" spans="1:7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row>
    <row r="96" spans="1:7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row>
    <row r="97" spans="1:7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row>
    <row r="98" spans="1:7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row>
    <row r="99" spans="1:7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row>
    <row r="100" spans="1:7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row>
    <row r="101" spans="1:7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row>
    <row r="102" spans="1:7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row>
    <row r="103" spans="1:7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row>
    <row r="104" spans="1:7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row>
    <row r="105" spans="1:7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row>
    <row r="106" spans="1:7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row>
    <row r="107" spans="1:7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row>
    <row r="108" spans="1:7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row>
    <row r="109" spans="1:7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row>
    <row r="110" spans="1:7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row>
    <row r="111" spans="1:7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row>
    <row r="112" spans="1:7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row>
    <row r="113" spans="1:7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row>
    <row r="114" spans="1:7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row>
    <row r="115" spans="1:7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row>
    <row r="116" spans="1:7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row>
    <row r="117" spans="1:7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row>
    <row r="118" spans="1:7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row>
    <row r="119" spans="1:7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row>
    <row r="120" spans="1:7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row>
    <row r="121" spans="1:7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row>
    <row r="122" spans="1:7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row>
    <row r="123" spans="1:7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row>
    <row r="124" spans="1:7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row>
    <row r="125" spans="1:7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row>
    <row r="126" spans="1:7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row>
    <row r="127" spans="1:7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row>
    <row r="128" spans="1:7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row>
    <row r="129" spans="1:7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row>
    <row r="130" spans="1:7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row>
    <row r="131" spans="1:7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row>
    <row r="132" spans="1:7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row>
    <row r="133" spans="1:7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row>
    <row r="134" spans="1:7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row>
    <row r="135" spans="1:7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row>
    <row r="136" spans="1:7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row>
    <row r="137" spans="1:7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row>
    <row r="138" spans="1:7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row>
    <row r="139" spans="1:7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row>
    <row r="140" spans="1:7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row>
    <row r="141" spans="1:7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row>
    <row r="142" spans="1:7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row>
    <row r="143" spans="1:7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row>
    <row r="144" spans="1:7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row>
    <row r="145" spans="1:7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row>
    <row r="146" spans="1:7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row>
    <row r="147" spans="1:7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row>
    <row r="148" spans="1:7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row>
    <row r="149" spans="1:7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row>
    <row r="150" spans="1:7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row>
    <row r="151" spans="1:7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row>
    <row r="152" spans="1:7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row>
    <row r="153" spans="1:7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row>
    <row r="154" spans="1:7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row>
    <row r="155" spans="1:7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row>
    <row r="156" spans="1:7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row>
    <row r="157" spans="1:7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row>
    <row r="158" spans="1:7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row>
    <row r="159" spans="1:7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row>
    <row r="160" spans="1:7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row>
    <row r="161" spans="1:7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row>
    <row r="162" spans="1:7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row>
    <row r="163" spans="1:7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row>
    <row r="164" spans="1:7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row>
    <row r="165" spans="1:7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row>
    <row r="166" spans="1:7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row>
    <row r="167" spans="1:7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row>
    <row r="168" spans="1:7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row>
    <row r="169" spans="1:7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row>
    <row r="170" spans="1:7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row>
    <row r="171" spans="1:7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row>
    <row r="172" spans="1:7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row>
    <row r="173" spans="1:7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row>
    <row r="174" spans="1:7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row>
    <row r="175" spans="1:7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row>
    <row r="176" spans="1:7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row>
    <row r="177" spans="1:7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row>
    <row r="178" spans="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row>
    <row r="179" spans="1:7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row>
    <row r="180" spans="1:7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row>
    <row r="181" spans="1:7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row>
    <row r="182" spans="1:7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row>
    <row r="183" spans="1:7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row>
    <row r="184" spans="1:7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row>
    <row r="185" spans="1:7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row>
    <row r="186" spans="1:7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row>
    <row r="187" spans="1:7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row>
    <row r="188" spans="1:7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row>
    <row r="189" spans="1:7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row>
    <row r="190" spans="1:7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row>
    <row r="191" spans="1:7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row>
    <row r="192" spans="1:7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row>
    <row r="193" spans="1:7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row>
    <row r="194" spans="1:7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row>
    <row r="195" spans="1:7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row>
    <row r="196" spans="1:7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row>
    <row r="197" spans="1:7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row>
    <row r="198" spans="1:7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row>
    <row r="199" spans="1:7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row>
    <row r="200" spans="1:7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row>
    <row r="201" spans="1:7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row>
    <row r="202" spans="1:7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row>
    <row r="203" spans="1:7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row>
    <row r="204" spans="1:7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row>
    <row r="205" spans="1:7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row>
    <row r="206" spans="1:7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row>
    <row r="207" spans="1:7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row>
    <row r="208" spans="1:7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row>
    <row r="209" spans="1:7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row>
    <row r="210" spans="1:7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row>
    <row r="211" spans="1:7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row>
    <row r="212" spans="1:7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row>
    <row r="213" spans="1:7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row>
    <row r="214" spans="1:7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row>
    <row r="215" spans="1:7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row>
    <row r="216" spans="1:7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row>
    <row r="217" spans="1:7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row>
    <row r="218" spans="1:7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row>
    <row r="219" spans="1:7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row>
    <row r="220" spans="1:7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row>
    <row r="221" spans="1:7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row>
    <row r="222" spans="1:7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row>
    <row r="223" spans="1:7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row>
    <row r="224" spans="1:7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row>
    <row r="225" spans="1:7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row>
    <row r="226" spans="1:7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row>
    <row r="227" spans="1:7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row>
    <row r="228" spans="1:7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row>
    <row r="229" spans="1:7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row>
    <row r="230" spans="1:7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row>
    <row r="231" spans="1:7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row>
    <row r="232" spans="1:7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row>
    <row r="233" spans="1:7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row>
    <row r="234" spans="1:7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row>
    <row r="235" spans="1:7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row>
    <row r="236" spans="1:7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row>
    <row r="237" spans="1:7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row>
    <row r="238" spans="1:7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row>
    <row r="239" spans="1:7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row>
    <row r="240" spans="1:7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row>
    <row r="241" spans="1:7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row>
    <row r="242" spans="1:7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row>
    <row r="243" spans="1:7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row>
    <row r="244" spans="1:7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row>
    <row r="245" spans="1:7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row>
    <row r="246" spans="1:7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row>
    <row r="247" spans="1:7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row>
    <row r="248" spans="1:7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row>
    <row r="249" spans="1:7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row>
    <row r="250" spans="1:7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row>
    <row r="251" spans="1:7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row>
    <row r="252" spans="1:7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row>
    <row r="253" spans="1:7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row>
    <row r="254" spans="1:7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row>
    <row r="255" spans="1:7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row>
    <row r="256" spans="1:7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row>
    <row r="257" spans="1:7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row>
    <row r="258" spans="1:7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row>
    <row r="259" spans="1:7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row>
    <row r="260" spans="1:7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row>
    <row r="261" spans="1:7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row>
    <row r="262" spans="1:7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row>
    <row r="263" spans="1:7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row>
    <row r="264" spans="1:7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row>
    <row r="265" spans="1:7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row>
    <row r="266" spans="1:7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row>
    <row r="267" spans="1:7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row>
    <row r="268" spans="1:7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row>
    <row r="269" spans="1:7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row>
    <row r="270" spans="1:7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row>
    <row r="271" spans="1:7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row>
    <row r="272" spans="1:7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row>
    <row r="273" spans="1:7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row>
    <row r="274" spans="1:7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row>
    <row r="275" spans="1:7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row>
    <row r="276" spans="1:7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row>
    <row r="277" spans="1:7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row>
    <row r="278" spans="1: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row>
    <row r="279" spans="1:7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row>
    <row r="280" spans="1:7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row>
    <row r="281" spans="1:7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row>
    <row r="282" spans="1:7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row>
    <row r="283" spans="1:7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row>
    <row r="284" spans="1:7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row>
    <row r="285" spans="1:7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row>
    <row r="286" spans="1:7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row>
    <row r="287" spans="1:7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row>
    <row r="288" spans="1:7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row>
    <row r="289" spans="1:7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row>
    <row r="290" spans="1:7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row>
    <row r="291" spans="1:7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row>
    <row r="292" spans="1:7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row>
    <row r="293" spans="1:7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row>
    <row r="294" spans="1:7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row>
    <row r="295" spans="1:7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row>
    <row r="296" spans="1:7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row>
    <row r="297" spans="1:7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row>
    <row r="298" spans="1:7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row>
    <row r="299" spans="1:7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row>
    <row r="300" spans="1:7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row>
    <row r="301" spans="1:7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row>
    <row r="302" spans="1:7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row>
    <row r="303" spans="1:7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row>
    <row r="304" spans="1:7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row>
  </sheetData>
  <mergeCells count="4">
    <mergeCell ref="B17:M17"/>
    <mergeCell ref="C2:H2"/>
    <mergeCell ref="C3:I3"/>
    <mergeCell ref="K5:O5"/>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W309"/>
  <sheetViews>
    <sheetView topLeftCell="A7" zoomScaleNormal="100" workbookViewId="0">
      <selection activeCell="I17" sqref="I17"/>
    </sheetView>
  </sheetViews>
  <sheetFormatPr baseColWidth="10" defaultColWidth="9.140625" defaultRowHeight="15" outlineLevelRow="1"/>
  <cols>
    <col min="1" max="1" width="11" style="2" customWidth="1"/>
    <col min="2" max="2" width="9.140625" style="2"/>
    <col min="3" max="3" width="10.5703125" style="2" bestFit="1" customWidth="1"/>
    <col min="4" max="4" width="11.5703125" style="2" bestFit="1" customWidth="1"/>
    <col min="5" max="5" width="11.5703125" style="2" customWidth="1"/>
    <col min="6" max="6" width="9.42578125" style="2" bestFit="1" customWidth="1"/>
    <col min="7" max="7" width="13" style="2" customWidth="1"/>
    <col min="8" max="8" width="20.5703125" style="2" customWidth="1"/>
    <col min="9" max="9" width="19.5703125" style="2" bestFit="1" customWidth="1"/>
    <col min="10" max="10" width="11.5703125" style="2" bestFit="1" customWidth="1"/>
    <col min="11" max="11" width="9.42578125" style="2" customWidth="1"/>
    <col min="12" max="13" width="12" style="2" bestFit="1" customWidth="1"/>
    <col min="14" max="18" width="9.140625" style="2"/>
    <col min="19" max="19" width="11.5703125" style="2" bestFit="1" customWidth="1"/>
    <col min="20" max="16384" width="9.140625" style="2"/>
  </cols>
  <sheetData>
    <row r="1" spans="1:23">
      <c r="A1" s="1"/>
      <c r="B1" s="1"/>
      <c r="C1" s="1"/>
      <c r="D1" s="1"/>
      <c r="E1" s="1"/>
      <c r="F1" s="1"/>
      <c r="G1" s="1"/>
      <c r="H1" s="1"/>
      <c r="I1" s="1"/>
      <c r="J1" s="1"/>
      <c r="K1" s="1"/>
      <c r="L1" s="1"/>
      <c r="M1" s="1"/>
      <c r="N1" s="1"/>
      <c r="O1" s="1"/>
      <c r="P1" s="1"/>
      <c r="Q1" s="1"/>
      <c r="R1" s="1"/>
      <c r="S1" s="1"/>
      <c r="T1" s="1"/>
      <c r="U1" s="1"/>
      <c r="V1" s="1"/>
      <c r="W1" s="1"/>
    </row>
    <row r="2" spans="1:23">
      <c r="A2" s="1"/>
      <c r="B2" s="112" t="s">
        <v>276</v>
      </c>
      <c r="C2" s="1140" t="s">
        <v>409</v>
      </c>
      <c r="D2" s="1140"/>
      <c r="E2" s="1140"/>
      <c r="F2" s="1140"/>
      <c r="G2" s="1140"/>
      <c r="H2" s="1140"/>
      <c r="I2" s="1"/>
      <c r="J2" s="1"/>
      <c r="K2" s="1"/>
      <c r="L2" s="1"/>
      <c r="M2" s="1"/>
      <c r="N2" s="1"/>
      <c r="O2" s="1"/>
      <c r="P2" s="1"/>
      <c r="Q2" s="1"/>
      <c r="R2" s="1"/>
      <c r="S2" s="1"/>
      <c r="T2" s="1"/>
      <c r="U2" s="1"/>
      <c r="V2" s="1"/>
      <c r="W2" s="1"/>
    </row>
    <row r="3" spans="1:23" ht="15" customHeight="1">
      <c r="A3" s="1"/>
      <c r="B3" s="112" t="s">
        <v>509</v>
      </c>
      <c r="C3" s="1153" t="s">
        <v>510</v>
      </c>
      <c r="D3" s="1153"/>
      <c r="E3" s="1153"/>
      <c r="F3" s="1153"/>
      <c r="G3" s="1153"/>
      <c r="H3" s="1153"/>
      <c r="I3" s="1153"/>
      <c r="J3" s="1"/>
      <c r="K3" s="1"/>
      <c r="L3" s="1"/>
      <c r="M3" s="1"/>
      <c r="N3" s="1"/>
      <c r="O3" s="1"/>
      <c r="P3" s="1"/>
      <c r="Q3" s="1"/>
      <c r="R3" s="1"/>
      <c r="S3" s="1"/>
      <c r="T3" s="1"/>
      <c r="U3" s="1"/>
      <c r="V3" s="1"/>
      <c r="W3" s="1"/>
    </row>
    <row r="4" spans="1:23" ht="15" customHeight="1" thickBot="1">
      <c r="A4" s="1"/>
      <c r="B4" s="112" t="s">
        <v>511</v>
      </c>
      <c r="C4" s="1153" t="s">
        <v>512</v>
      </c>
      <c r="D4" s="1153"/>
      <c r="E4" s="1153"/>
      <c r="F4" s="1153"/>
      <c r="G4" s="1153"/>
      <c r="H4" s="1153"/>
      <c r="I4" s="266"/>
      <c r="J4" s="1"/>
      <c r="K4" s="1"/>
      <c r="L4" s="1"/>
      <c r="M4" s="1"/>
      <c r="N4" s="1"/>
      <c r="O4" s="1"/>
      <c r="P4" s="1"/>
      <c r="Q4" s="1"/>
      <c r="R4" s="1"/>
      <c r="S4" s="1"/>
      <c r="T4" s="1"/>
      <c r="U4" s="1"/>
      <c r="V4" s="1"/>
      <c r="W4" s="1"/>
    </row>
    <row r="5" spans="1:23" ht="18.75">
      <c r="A5" s="1"/>
      <c r="B5" s="661" t="s">
        <v>513</v>
      </c>
      <c r="C5" s="662"/>
      <c r="D5" s="662"/>
      <c r="E5" s="662"/>
      <c r="F5" s="663"/>
      <c r="G5" s="663"/>
      <c r="H5" s="663"/>
      <c r="I5" s="662"/>
      <c r="J5" s="662"/>
      <c r="K5" s="664"/>
      <c r="L5" s="139"/>
      <c r="M5" s="386"/>
      <c r="N5" s="387" t="s">
        <v>514</v>
      </c>
      <c r="O5" s="387"/>
      <c r="P5" s="387"/>
      <c r="Q5" s="388"/>
      <c r="R5" s="388"/>
      <c r="S5" s="389"/>
      <c r="V5" s="1"/>
      <c r="W5" s="1"/>
    </row>
    <row r="6" spans="1:23" ht="45.75" thickBot="1">
      <c r="A6" s="1"/>
      <c r="B6" s="658" t="s">
        <v>414</v>
      </c>
      <c r="C6" s="562" t="s">
        <v>509</v>
      </c>
      <c r="D6" s="562" t="s">
        <v>276</v>
      </c>
      <c r="E6" s="562" t="s">
        <v>515</v>
      </c>
      <c r="F6" s="562" t="s">
        <v>516</v>
      </c>
      <c r="G6" s="562" t="s">
        <v>517</v>
      </c>
      <c r="H6" s="659"/>
      <c r="I6" s="659" t="s">
        <v>518</v>
      </c>
      <c r="J6" s="659" t="s">
        <v>519</v>
      </c>
      <c r="K6" s="660" t="s">
        <v>520</v>
      </c>
      <c r="L6" s="1"/>
      <c r="M6" s="30"/>
      <c r="N6" s="287" t="s">
        <v>521</v>
      </c>
      <c r="O6" s="115"/>
      <c r="P6" s="115"/>
      <c r="Q6" s="31"/>
      <c r="R6" s="31"/>
      <c r="S6" s="32"/>
      <c r="V6" s="1"/>
      <c r="W6" s="1"/>
    </row>
    <row r="7" spans="1:23" ht="18.75" thickBot="1">
      <c r="A7" s="1"/>
      <c r="B7" s="30"/>
      <c r="C7" s="31"/>
      <c r="D7" s="31"/>
      <c r="E7" s="31"/>
      <c r="F7" s="31"/>
      <c r="G7" s="31"/>
      <c r="H7" s="31"/>
      <c r="I7" s="31"/>
      <c r="J7" s="31"/>
      <c r="K7" s="32"/>
      <c r="L7" s="1"/>
      <c r="M7" s="30"/>
      <c r="N7" s="287" t="s">
        <v>522</v>
      </c>
      <c r="O7" s="287"/>
      <c r="P7" s="287"/>
      <c r="Q7" s="702">
        <f>H28</f>
        <v>4.4517020977380968</v>
      </c>
      <c r="R7" s="287"/>
      <c r="S7" s="32"/>
      <c r="V7" s="1126"/>
      <c r="W7" s="1"/>
    </row>
    <row r="8" spans="1:23" ht="18.75" thickBot="1">
      <c r="A8" s="1"/>
      <c r="B8" s="349">
        <v>2006</v>
      </c>
      <c r="C8" s="377">
        <v>1667.8794568364867</v>
      </c>
      <c r="D8" s="377">
        <f>'PIB real y brecha del producto'!C6</f>
        <v>9864.1030354013474</v>
      </c>
      <c r="E8" s="100">
        <f t="shared" ref="E8:E14" si="0">C8/D8*100</f>
        <v>16.908576997326801</v>
      </c>
      <c r="F8" s="100">
        <v>8.8431346108079936</v>
      </c>
      <c r="G8" s="100">
        <v>11.557972507128426</v>
      </c>
      <c r="H8" s="143"/>
      <c r="I8" s="100">
        <f>DD!H25</f>
        <v>11.25</v>
      </c>
      <c r="J8" s="100">
        <v>11.470762814692236</v>
      </c>
      <c r="K8" s="119">
        <f>I8-J8</f>
        <v>-0.22076281469223602</v>
      </c>
      <c r="L8" s="1"/>
      <c r="M8" s="30"/>
      <c r="N8" s="287" t="s">
        <v>523</v>
      </c>
      <c r="O8" s="31"/>
      <c r="P8" s="31"/>
      <c r="Q8" s="526">
        <v>1.4950000000000001</v>
      </c>
      <c r="R8" s="31"/>
      <c r="S8" s="32"/>
      <c r="V8" s="1126"/>
      <c r="W8" s="1"/>
    </row>
    <row r="9" spans="1:23" ht="18.75" thickBot="1">
      <c r="A9" s="145"/>
      <c r="B9" s="349">
        <f t="shared" ref="B9:B14" si="1">B8+1</f>
        <v>2007</v>
      </c>
      <c r="C9" s="377">
        <v>1987.7597677341118</v>
      </c>
      <c r="D9" s="377">
        <f>'PIB real y brecha del producto'!C7</f>
        <v>10508.007819926337</v>
      </c>
      <c r="E9" s="100">
        <f t="shared" si="0"/>
        <v>18.916618656913471</v>
      </c>
      <c r="F9" s="100">
        <f t="shared" ref="F9:F14" si="2">100*(D9/D8-1)</f>
        <v>6.5277580963426285</v>
      </c>
      <c r="G9" s="100">
        <f t="shared" ref="G9:G15" si="3">100*(C9/C8-1)</f>
        <v>19.178862692172661</v>
      </c>
      <c r="H9" s="143"/>
      <c r="I9" s="100">
        <f>DD!H26</f>
        <v>7</v>
      </c>
      <c r="J9" s="100">
        <v>9.3570299674385495</v>
      </c>
      <c r="K9" s="119">
        <f t="shared" ref="K9:K13" si="4">I9-J9</f>
        <v>-2.3570299674385495</v>
      </c>
      <c r="L9" s="1"/>
      <c r="M9" s="30"/>
      <c r="N9" s="287" t="s">
        <v>524</v>
      </c>
      <c r="O9" s="31"/>
      <c r="P9" s="31"/>
      <c r="Q9" s="702">
        <f>(K16-K15)</f>
        <v>1.2518726420978812</v>
      </c>
      <c r="R9" s="31"/>
      <c r="S9" s="32"/>
      <c r="V9" s="1126"/>
      <c r="W9" s="1"/>
    </row>
    <row r="10" spans="1:23" ht="18.75" thickBot="1">
      <c r="A10" s="145"/>
      <c r="B10" s="349">
        <f t="shared" si="1"/>
        <v>2008</v>
      </c>
      <c r="C10" s="377">
        <v>2155.8516861084545</v>
      </c>
      <c r="D10" s="377">
        <f>'PIB real y brecha del producto'!C8</f>
        <v>10760.324940161812</v>
      </c>
      <c r="E10" s="100">
        <f t="shared" si="0"/>
        <v>20.035191298563472</v>
      </c>
      <c r="F10" s="100">
        <f t="shared" si="2"/>
        <v>2.4011889271438047</v>
      </c>
      <c r="G10" s="100">
        <f t="shared" si="3"/>
        <v>8.4563497613171954</v>
      </c>
      <c r="H10" s="143"/>
      <c r="I10" s="100">
        <f>DD!H27</f>
        <v>11.5</v>
      </c>
      <c r="J10" s="100">
        <v>13.424650631557796</v>
      </c>
      <c r="K10" s="119">
        <f t="shared" si="4"/>
        <v>-1.924650631557796</v>
      </c>
      <c r="L10" s="1"/>
      <c r="M10" s="30"/>
      <c r="N10" s="287" t="s">
        <v>525</v>
      </c>
      <c r="O10" s="31"/>
      <c r="P10" s="31"/>
      <c r="Q10" s="143">
        <v>-1.3</v>
      </c>
      <c r="R10" s="31"/>
      <c r="S10" s="32"/>
      <c r="V10" s="1126"/>
      <c r="W10" s="1"/>
    </row>
    <row r="11" spans="1:23" ht="18.75" thickBot="1">
      <c r="A11" s="145"/>
      <c r="B11" s="349">
        <f t="shared" si="1"/>
        <v>2009</v>
      </c>
      <c r="C11" s="377">
        <v>1924.3945576502415</v>
      </c>
      <c r="D11" s="377">
        <f>'PIB real y brecha del producto'!C9</f>
        <v>10584.875668060318</v>
      </c>
      <c r="E11" s="100">
        <f t="shared" si="0"/>
        <v>18.180606159192493</v>
      </c>
      <c r="F11" s="100">
        <f t="shared" si="2"/>
        <v>-1.6305202034061939</v>
      </c>
      <c r="G11" s="100">
        <f t="shared" si="3"/>
        <v>-10.736226891192969</v>
      </c>
      <c r="H11" s="143"/>
      <c r="I11" s="100">
        <f>DD!H28</f>
        <v>8.25</v>
      </c>
      <c r="J11" s="100">
        <v>7.8427556534629019</v>
      </c>
      <c r="K11" s="119">
        <f t="shared" si="4"/>
        <v>0.40724434653709807</v>
      </c>
      <c r="L11" s="1"/>
      <c r="M11" s="30"/>
      <c r="N11" s="287" t="s">
        <v>526</v>
      </c>
      <c r="O11" s="31"/>
      <c r="P11" s="31"/>
      <c r="Q11" s="703">
        <f>(Q7*Q8+Q9*Q10)</f>
        <v>5.0278602013912099</v>
      </c>
      <c r="R11" s="31"/>
      <c r="S11" s="32"/>
      <c r="V11" s="1127"/>
      <c r="W11" s="1"/>
    </row>
    <row r="12" spans="1:23">
      <c r="A12" s="145"/>
      <c r="B12" s="349">
        <f t="shared" si="1"/>
        <v>2010</v>
      </c>
      <c r="C12" s="377">
        <v>1897.396164787687</v>
      </c>
      <c r="D12" s="377">
        <f>'PIB real y brecha del producto'!C10</f>
        <v>11099.247251539817</v>
      </c>
      <c r="E12" s="100">
        <f t="shared" si="0"/>
        <v>17.094818430362096</v>
      </c>
      <c r="F12" s="100">
        <f t="shared" si="2"/>
        <v>4.8594957523365734</v>
      </c>
      <c r="G12" s="100">
        <f t="shared" si="3"/>
        <v>-1.4029551660923678</v>
      </c>
      <c r="H12" s="143"/>
      <c r="I12" s="100">
        <f>DD!H29</f>
        <v>8</v>
      </c>
      <c r="J12" s="100">
        <v>5.6626532109607268</v>
      </c>
      <c r="K12" s="119">
        <f t="shared" si="4"/>
        <v>2.3373467890392732</v>
      </c>
      <c r="L12" s="1"/>
      <c r="M12" s="30"/>
      <c r="N12" s="287"/>
      <c r="O12" s="31"/>
      <c r="P12" s="31"/>
      <c r="Q12" s="31"/>
      <c r="R12" s="31"/>
      <c r="S12" s="32"/>
      <c r="V12" s="1"/>
      <c r="W12" s="1"/>
    </row>
    <row r="13" spans="1:23">
      <c r="A13" s="145"/>
      <c r="B13" s="349">
        <f t="shared" si="1"/>
        <v>2011</v>
      </c>
      <c r="C13" s="377">
        <v>2226.5912048958708</v>
      </c>
      <c r="D13" s="377">
        <f>'PIB real y brecha del producto'!C11</f>
        <v>11726.952807166241</v>
      </c>
      <c r="E13" s="100">
        <f t="shared" si="0"/>
        <v>18.986954595188784</v>
      </c>
      <c r="F13" s="100">
        <f t="shared" si="2"/>
        <v>5.6553885268151083</v>
      </c>
      <c r="G13" s="100">
        <f t="shared" si="3"/>
        <v>17.349831638614056</v>
      </c>
      <c r="H13" s="143"/>
      <c r="I13" s="100">
        <f>DD!H30</f>
        <v>8</v>
      </c>
      <c r="J13" s="199">
        <v>4.8781491879010819</v>
      </c>
      <c r="K13" s="119">
        <f t="shared" si="4"/>
        <v>3.1218508120989181</v>
      </c>
      <c r="L13" s="1"/>
      <c r="M13" s="30"/>
      <c r="N13" s="287"/>
      <c r="O13" s="31"/>
      <c r="P13" s="31"/>
      <c r="Q13" s="380"/>
      <c r="R13" s="143"/>
      <c r="S13" s="32"/>
      <c r="V13" s="1"/>
      <c r="W13" s="1"/>
    </row>
    <row r="14" spans="1:23">
      <c r="A14" s="145"/>
      <c r="B14" s="349">
        <f t="shared" si="1"/>
        <v>2012</v>
      </c>
      <c r="C14" s="377">
        <f>PIB_real!J11</f>
        <v>2241.1691238288968</v>
      </c>
      <c r="D14" s="377">
        <f>'PIB real y brecha del producto'!C12</f>
        <v>12184.443739182007</v>
      </c>
      <c r="E14" s="100">
        <f t="shared" si="0"/>
        <v>18.393692578856751</v>
      </c>
      <c r="F14" s="100">
        <f t="shared" si="2"/>
        <v>3.9011918913513188</v>
      </c>
      <c r="G14" s="100">
        <f t="shared" si="3"/>
        <v>0.65471914651291652</v>
      </c>
      <c r="H14" s="143"/>
      <c r="I14" s="100">
        <f>DD!H31</f>
        <v>9.25</v>
      </c>
      <c r="J14" s="199">
        <v>5</v>
      </c>
      <c r="K14" s="119">
        <f>I14-J14</f>
        <v>4.25</v>
      </c>
      <c r="L14" s="1"/>
      <c r="M14" s="30"/>
      <c r="N14" s="115"/>
      <c r="O14" s="31"/>
      <c r="P14" s="31"/>
      <c r="Q14" s="143"/>
      <c r="R14" s="143"/>
      <c r="S14" s="32"/>
      <c r="V14" s="1"/>
      <c r="W14" s="1"/>
    </row>
    <row r="15" spans="1:23" ht="15.75" thickBot="1">
      <c r="A15" s="145"/>
      <c r="B15" s="349">
        <v>2013</v>
      </c>
      <c r="C15" s="377">
        <f>PIB_real!K11</f>
        <v>2336.1027450103306</v>
      </c>
      <c r="D15" s="377">
        <f>'PIB real y brecha del producto'!C13</f>
        <v>12774.630811636434</v>
      </c>
      <c r="E15" s="100">
        <f>C15/D15*100</f>
        <v>18.287047034520722</v>
      </c>
      <c r="F15" s="100">
        <f>100*(D15/D14-1)</f>
        <v>4.8437752685954738</v>
      </c>
      <c r="G15" s="100">
        <f t="shared" si="3"/>
        <v>4.2358972454183075</v>
      </c>
      <c r="H15" s="143"/>
      <c r="I15" s="100">
        <f>DD!H32</f>
        <v>12.2</v>
      </c>
      <c r="J15" s="199">
        <v>6.1358513231091649</v>
      </c>
      <c r="K15" s="119">
        <f>I15-J15</f>
        <v>6.0641486768908344</v>
      </c>
      <c r="L15" s="1"/>
      <c r="M15" s="30"/>
      <c r="N15" s="287"/>
      <c r="O15" s="31"/>
      <c r="P15" s="31"/>
      <c r="Q15" s="143"/>
      <c r="R15" s="390"/>
      <c r="S15" s="32"/>
      <c r="V15" s="1"/>
      <c r="W15" s="1"/>
    </row>
    <row r="16" spans="1:23" ht="15.75" thickBot="1">
      <c r="A16" s="145"/>
      <c r="B16" s="485">
        <v>2014</v>
      </c>
      <c r="C16" s="148"/>
      <c r="D16" s="148"/>
      <c r="E16" s="148"/>
      <c r="F16" s="148"/>
      <c r="G16" s="148"/>
      <c r="H16" s="148"/>
      <c r="I16" s="1013">
        <f>'Regla de Taylor '!F32</f>
        <v>14.67169051571234</v>
      </c>
      <c r="J16" s="462">
        <f>Inflación!O31</f>
        <v>7.3556691967236247</v>
      </c>
      <c r="K16" s="655">
        <f>I16-J16</f>
        <v>7.3160213189887155</v>
      </c>
      <c r="L16" s="145"/>
      <c r="M16" s="30"/>
      <c r="N16" s="391"/>
      <c r="O16" s="31"/>
      <c r="P16" s="31"/>
      <c r="Q16" s="143"/>
      <c r="R16" s="390"/>
      <c r="S16" s="32"/>
      <c r="V16" s="1"/>
      <c r="W16" s="1"/>
    </row>
    <row r="17" spans="1:23" ht="17.25" customHeight="1" outlineLevel="1">
      <c r="A17" s="145"/>
      <c r="B17" s="30"/>
      <c r="C17" s="143"/>
      <c r="D17" s="143"/>
      <c r="E17" s="143"/>
      <c r="F17" s="143"/>
      <c r="G17" s="143"/>
      <c r="H17" s="143"/>
      <c r="I17" s="1032" t="s">
        <v>527</v>
      </c>
      <c r="J17" s="143"/>
      <c r="K17" s="144"/>
      <c r="L17" s="1"/>
      <c r="M17" s="30"/>
      <c r="N17" s="391"/>
      <c r="O17" s="31"/>
      <c r="P17" s="31"/>
      <c r="Q17" s="143"/>
      <c r="R17" s="390"/>
      <c r="S17" s="32"/>
      <c r="V17" s="1"/>
      <c r="W17" s="1"/>
    </row>
    <row r="18" spans="1:23" ht="15.75" outlineLevel="1" thickBot="1">
      <c r="A18" s="145"/>
      <c r="B18" s="533"/>
      <c r="C18" s="383"/>
      <c r="D18" s="383"/>
      <c r="E18" s="385"/>
      <c r="F18" s="383"/>
      <c r="G18" s="383"/>
      <c r="H18" s="384"/>
      <c r="I18" s="384"/>
      <c r="J18" s="480"/>
      <c r="K18" s="149"/>
      <c r="L18" s="1"/>
      <c r="M18" s="122"/>
      <c r="N18" s="123"/>
      <c r="O18" s="123"/>
      <c r="P18" s="123"/>
      <c r="Q18" s="123"/>
      <c r="R18" s="123"/>
      <c r="S18" s="124"/>
      <c r="V18" s="1"/>
      <c r="W18" s="1"/>
    </row>
    <row r="19" spans="1:23" outlineLevel="1">
      <c r="A19" s="145"/>
      <c r="B19" s="145"/>
      <c r="C19" s="145"/>
      <c r="D19" s="145"/>
      <c r="E19" s="145"/>
      <c r="F19" s="145"/>
      <c r="G19" s="145"/>
      <c r="H19" s="145"/>
      <c r="I19" s="145"/>
      <c r="J19" s="145"/>
      <c r="K19" s="145"/>
      <c r="L19" s="1"/>
      <c r="M19" s="1"/>
      <c r="N19" s="1"/>
      <c r="O19" s="1"/>
      <c r="P19" s="1"/>
      <c r="Q19" s="1"/>
      <c r="R19" s="1"/>
      <c r="S19" s="1"/>
      <c r="T19" s="1"/>
      <c r="U19" s="1"/>
      <c r="V19" s="1"/>
      <c r="W19" s="1"/>
    </row>
    <row r="20" spans="1:23" ht="15.75" thickBot="1">
      <c r="A20" s="145"/>
      <c r="B20" s="169"/>
      <c r="C20" s="170"/>
      <c r="D20" s="170"/>
      <c r="E20" s="170"/>
      <c r="F20" s="170"/>
      <c r="G20" s="170"/>
      <c r="H20" s="170"/>
      <c r="I20" s="145"/>
      <c r="J20" s="145"/>
      <c r="K20" s="145"/>
      <c r="L20" s="1"/>
      <c r="M20" s="1"/>
      <c r="N20" s="1"/>
      <c r="O20" s="1"/>
      <c r="P20" s="1"/>
      <c r="Q20" s="1"/>
      <c r="R20" s="1"/>
      <c r="S20" s="1"/>
      <c r="T20" s="1"/>
      <c r="U20" s="1"/>
      <c r="V20" s="1"/>
      <c r="W20" s="1"/>
    </row>
    <row r="21" spans="1:23">
      <c r="A21" s="1"/>
      <c r="B21" s="1151" t="s">
        <v>528</v>
      </c>
      <c r="C21" s="1152"/>
      <c r="D21" s="1152"/>
      <c r="E21" s="1152"/>
      <c r="F21" s="1152"/>
      <c r="G21" s="1152"/>
      <c r="H21" s="1152"/>
      <c r="I21" s="1152"/>
      <c r="J21" s="1152"/>
      <c r="K21" s="1152"/>
      <c r="L21" s="1152"/>
      <c r="M21" s="1152"/>
      <c r="N21" s="1152"/>
      <c r="O21" s="1152"/>
      <c r="P21" s="1152"/>
      <c r="Q21" s="1152"/>
      <c r="R21" s="1152"/>
      <c r="S21" s="1156"/>
      <c r="T21" s="1"/>
      <c r="U21" s="1"/>
      <c r="V21" s="1"/>
      <c r="W21" s="1"/>
    </row>
    <row r="22" spans="1:23">
      <c r="A22" s="1"/>
      <c r="B22" s="152"/>
      <c r="C22" s="153"/>
      <c r="D22" s="153"/>
      <c r="E22" s="153"/>
      <c r="F22" s="153"/>
      <c r="G22" s="153"/>
      <c r="H22" s="153"/>
      <c r="I22" s="29"/>
      <c r="J22" s="29"/>
      <c r="K22" s="29"/>
      <c r="L22" s="29"/>
      <c r="M22" s="29"/>
      <c r="N22" s="29"/>
      <c r="O22" s="29"/>
      <c r="P22" s="29"/>
      <c r="Q22" s="29"/>
      <c r="R22" s="29"/>
      <c r="S22" s="171"/>
      <c r="T22" s="1"/>
      <c r="U22" s="1"/>
      <c r="V22" s="1"/>
      <c r="W22" s="1"/>
    </row>
    <row r="23" spans="1:23">
      <c r="A23" s="1"/>
      <c r="B23" s="154"/>
      <c r="C23" s="155"/>
      <c r="D23" s="155"/>
      <c r="E23" s="155"/>
      <c r="F23" s="156"/>
      <c r="G23" s="155"/>
      <c r="H23" s="156" t="s">
        <v>426</v>
      </c>
      <c r="I23" s="29"/>
      <c r="J23" s="157" t="s">
        <v>517</v>
      </c>
      <c r="K23" s="158"/>
      <c r="L23" s="157" t="s">
        <v>515</v>
      </c>
      <c r="M23" s="158"/>
      <c r="N23" s="23" t="s">
        <v>427</v>
      </c>
      <c r="O23" s="29"/>
      <c r="P23" s="29"/>
      <c r="Q23" s="29"/>
      <c r="R23" s="29"/>
      <c r="S23" s="171"/>
      <c r="T23" s="1"/>
      <c r="U23" s="1"/>
      <c r="V23" s="1"/>
      <c r="W23" s="1"/>
    </row>
    <row r="24" spans="1:23">
      <c r="A24" s="1"/>
      <c r="B24" s="154"/>
      <c r="C24" s="159"/>
      <c r="D24" s="159"/>
      <c r="E24" s="159"/>
      <c r="F24" s="156"/>
      <c r="G24" s="156"/>
      <c r="H24" s="348">
        <v>2014</v>
      </c>
      <c r="I24" s="29"/>
      <c r="J24" s="156">
        <v>2014</v>
      </c>
      <c r="K24" s="29"/>
      <c r="L24" s="156">
        <v>2014</v>
      </c>
      <c r="M24" s="29"/>
      <c r="N24" s="29"/>
      <c r="O24" s="29"/>
      <c r="P24" s="29"/>
      <c r="Q24" s="29"/>
      <c r="R24" s="29"/>
      <c r="S24" s="171"/>
      <c r="T24" s="1"/>
      <c r="U24" s="1"/>
      <c r="V24" s="1"/>
      <c r="W24" s="1"/>
    </row>
    <row r="25" spans="1:23" ht="15.75" thickBot="1">
      <c r="A25" s="1"/>
      <c r="B25" s="154"/>
      <c r="C25" s="153"/>
      <c r="D25" s="153"/>
      <c r="E25" s="153"/>
      <c r="F25" s="153"/>
      <c r="G25" s="153"/>
      <c r="H25" s="153"/>
      <c r="I25" s="29"/>
      <c r="J25" s="29"/>
      <c r="K25" s="29"/>
      <c r="L25" s="29"/>
      <c r="M25" s="29"/>
      <c r="N25" s="29"/>
      <c r="O25" s="29"/>
      <c r="P25" s="29"/>
      <c r="Q25" s="29"/>
      <c r="R25" s="29"/>
      <c r="S25" s="171"/>
      <c r="T25" s="1"/>
      <c r="U25" s="1"/>
      <c r="V25" s="1"/>
      <c r="W25" s="1"/>
    </row>
    <row r="26" spans="1:23" ht="15.75" thickBot="1">
      <c r="A26" s="1"/>
      <c r="B26" s="152" t="s">
        <v>529</v>
      </c>
      <c r="C26" s="159"/>
      <c r="D26" s="153"/>
      <c r="E26" s="153"/>
      <c r="F26" s="153"/>
      <c r="G26" s="153"/>
      <c r="H26" s="627">
        <f>'PIB real y brecha del producto'!G30</f>
        <v>13343.31931945635</v>
      </c>
      <c r="I26" s="29"/>
      <c r="J26" s="29"/>
      <c r="K26" s="29"/>
      <c r="L26" s="29"/>
      <c r="M26" s="29"/>
      <c r="N26" s="29"/>
      <c r="O26" s="29"/>
      <c r="P26" s="29"/>
      <c r="Q26" s="29"/>
      <c r="R26" s="29"/>
      <c r="S26" s="171"/>
      <c r="T26" s="1"/>
      <c r="U26" s="1"/>
      <c r="V26" s="1"/>
      <c r="W26" s="1"/>
    </row>
    <row r="27" spans="1:23" ht="15.75" thickBot="1">
      <c r="A27" s="1"/>
      <c r="B27" s="152"/>
      <c r="C27" s="159"/>
      <c r="D27" s="153"/>
      <c r="E27" s="153"/>
      <c r="F27" s="153"/>
      <c r="G27" s="153"/>
      <c r="H27" s="161"/>
      <c r="I27" s="29"/>
      <c r="J27" s="29"/>
      <c r="K27" s="29"/>
      <c r="L27" s="29"/>
      <c r="M27" s="29"/>
      <c r="N27" s="29"/>
      <c r="O27" s="29"/>
      <c r="P27" s="29"/>
      <c r="Q27" s="29"/>
      <c r="R27" s="29"/>
      <c r="S27" s="171"/>
      <c r="T27" s="1"/>
      <c r="U27" s="1"/>
      <c r="V27" s="1"/>
      <c r="W27" s="1"/>
    </row>
    <row r="28" spans="1:23" ht="15.75" thickBot="1">
      <c r="A28" s="1"/>
      <c r="B28" s="152" t="s">
        <v>530</v>
      </c>
      <c r="C28" s="159"/>
      <c r="D28" s="153"/>
      <c r="E28" s="153"/>
      <c r="F28" s="153"/>
      <c r="G28" s="153"/>
      <c r="H28" s="160">
        <f>'PIB real y brecha del producto'!G28</f>
        <v>4.4517020977380968</v>
      </c>
      <c r="I28" s="29"/>
      <c r="J28" s="29"/>
      <c r="K28" s="29"/>
      <c r="L28" s="29"/>
      <c r="M28" s="29"/>
      <c r="N28" s="29"/>
      <c r="O28" s="29"/>
      <c r="P28" s="29"/>
      <c r="Q28" s="29"/>
      <c r="R28" s="29"/>
      <c r="S28" s="171"/>
      <c r="T28" s="1"/>
      <c r="U28" s="1"/>
      <c r="V28" s="1"/>
      <c r="W28" s="1"/>
    </row>
    <row r="29" spans="1:23" ht="15.75" thickBot="1">
      <c r="A29" s="1"/>
      <c r="B29" s="154"/>
      <c r="C29" s="153"/>
      <c r="D29" s="153"/>
      <c r="E29" s="153"/>
      <c r="F29" s="153"/>
      <c r="G29" s="153"/>
      <c r="H29" s="161"/>
      <c r="I29" s="29"/>
      <c r="J29" s="161"/>
      <c r="K29" s="29"/>
      <c r="L29" s="161"/>
      <c r="M29" s="29"/>
      <c r="N29" s="29"/>
      <c r="O29" s="29"/>
      <c r="P29" s="29"/>
      <c r="Q29" s="29"/>
      <c r="R29" s="29"/>
      <c r="S29" s="171"/>
      <c r="T29" s="1"/>
      <c r="U29" s="1"/>
      <c r="V29" s="1"/>
      <c r="W29" s="1"/>
    </row>
    <row r="30" spans="1:23" ht="18.75" thickBot="1">
      <c r="A30" s="1"/>
      <c r="B30" s="152" t="s">
        <v>531</v>
      </c>
      <c r="C30" s="162"/>
      <c r="D30" s="162"/>
      <c r="E30" s="162"/>
      <c r="F30" s="162"/>
      <c r="G30" s="159"/>
      <c r="H30" s="1048">
        <f>H26*C15/D15</f>
        <v>2440.0990799152723</v>
      </c>
      <c r="I30" s="29"/>
      <c r="J30" s="160">
        <f>(H30/$C$15-1)*100</f>
        <v>4.4517020977380861</v>
      </c>
      <c r="K30" s="29"/>
      <c r="L30" s="160">
        <f>H30/$H$26*100</f>
        <v>18.287047034520718</v>
      </c>
      <c r="M30" s="29"/>
      <c r="N30" s="29" t="s">
        <v>505</v>
      </c>
      <c r="O30" s="29"/>
      <c r="P30" s="29"/>
      <c r="Q30" s="29"/>
      <c r="R30" s="29"/>
      <c r="S30" s="171"/>
      <c r="T30" s="1"/>
      <c r="U30" s="1"/>
      <c r="V30" s="1"/>
      <c r="W30" s="1"/>
    </row>
    <row r="31" spans="1:23" ht="15.75" thickBot="1">
      <c r="A31" s="1"/>
      <c r="B31" s="154"/>
      <c r="C31" s="163"/>
      <c r="D31" s="164"/>
      <c r="E31" s="164"/>
      <c r="F31" s="164"/>
      <c r="G31" s="159"/>
      <c r="H31" s="348"/>
      <c r="I31" s="29"/>
      <c r="J31" s="161"/>
      <c r="K31" s="29"/>
      <c r="L31" s="161"/>
      <c r="M31" s="29"/>
      <c r="N31" s="29"/>
      <c r="O31" s="29"/>
      <c r="P31" s="29"/>
      <c r="Q31" s="29"/>
      <c r="R31" s="29"/>
      <c r="S31" s="171"/>
      <c r="T31" s="1"/>
      <c r="U31" s="1"/>
      <c r="V31" s="1"/>
      <c r="W31" s="1"/>
    </row>
    <row r="32" spans="1:23" ht="15.75" thickBot="1">
      <c r="A32" s="1"/>
      <c r="B32" s="152" t="s">
        <v>532</v>
      </c>
      <c r="C32" s="162"/>
      <c r="D32" s="162"/>
      <c r="E32" s="162"/>
      <c r="F32" s="162"/>
      <c r="G32" s="159"/>
      <c r="H32" s="1048">
        <f>C15*(1+Q11/100)</f>
        <v>2453.5587251903125</v>
      </c>
      <c r="I32" s="29"/>
      <c r="J32" s="160">
        <f>(H32/$C$15-1)*100</f>
        <v>5.0278602013912099</v>
      </c>
      <c r="K32" s="29"/>
      <c r="L32" s="160">
        <f>H32/$H$26*100</f>
        <v>18.38791882626008</v>
      </c>
      <c r="M32" s="29"/>
      <c r="N32" s="29" t="s">
        <v>533</v>
      </c>
      <c r="O32" s="29"/>
      <c r="P32" s="29"/>
      <c r="Q32" s="29"/>
      <c r="R32" s="29"/>
      <c r="S32" s="171"/>
      <c r="T32" s="1"/>
      <c r="U32" s="1"/>
      <c r="V32" s="1"/>
      <c r="W32" s="1"/>
    </row>
    <row r="33" spans="1:23" hidden="1" outlineLevel="1">
      <c r="A33" s="1"/>
      <c r="B33" s="154"/>
      <c r="C33" s="167"/>
      <c r="D33" s="168"/>
      <c r="E33" s="168"/>
      <c r="F33" s="164"/>
      <c r="G33" s="159"/>
      <c r="H33" s="348"/>
      <c r="I33" s="29"/>
      <c r="J33" s="161"/>
      <c r="K33" s="29"/>
      <c r="L33" s="161"/>
      <c r="M33" s="29"/>
      <c r="N33" s="29"/>
      <c r="O33" s="29"/>
      <c r="P33" s="29"/>
      <c r="Q33" s="29"/>
      <c r="R33" s="29"/>
      <c r="S33" s="171"/>
      <c r="T33" s="1"/>
      <c r="U33" s="1"/>
      <c r="V33" s="1"/>
      <c r="W33" s="1"/>
    </row>
    <row r="34" spans="1:23" hidden="1" outlineLevel="1">
      <c r="A34" s="1"/>
      <c r="B34" s="152"/>
      <c r="C34" s="165"/>
      <c r="D34" s="166"/>
      <c r="E34" s="166"/>
      <c r="F34" s="162"/>
      <c r="G34" s="165"/>
      <c r="H34" s="165"/>
      <c r="I34" s="165"/>
      <c r="J34" s="165"/>
      <c r="K34" s="165"/>
      <c r="L34" s="165"/>
      <c r="M34" s="165"/>
      <c r="N34" s="29"/>
      <c r="O34" s="29"/>
      <c r="P34" s="29"/>
      <c r="Q34" s="29"/>
      <c r="R34" s="29"/>
      <c r="S34" s="171"/>
      <c r="T34" s="1"/>
      <c r="U34" s="1"/>
      <c r="V34" s="1"/>
      <c r="W34" s="1"/>
    </row>
    <row r="35" spans="1:23" ht="15.75" collapsed="1" thickBot="1">
      <c r="A35" s="1"/>
      <c r="B35" s="154"/>
      <c r="C35" s="167"/>
      <c r="D35" s="168"/>
      <c r="E35" s="168"/>
      <c r="F35" s="164"/>
      <c r="G35" s="159"/>
      <c r="H35" s="348"/>
      <c r="I35" s="29"/>
      <c r="J35" s="161"/>
      <c r="K35" s="29"/>
      <c r="L35" s="161"/>
      <c r="M35" s="29"/>
      <c r="N35" s="29"/>
      <c r="O35" s="29"/>
      <c r="P35" s="29"/>
      <c r="Q35" s="29"/>
      <c r="R35" s="29"/>
      <c r="S35" s="171"/>
      <c r="T35" s="1"/>
      <c r="U35" s="1"/>
      <c r="V35" s="1"/>
      <c r="W35" s="1"/>
    </row>
    <row r="36" spans="1:23" ht="15.75" thickBot="1">
      <c r="A36" s="1"/>
      <c r="B36" s="152" t="s">
        <v>508</v>
      </c>
      <c r="C36" s="162"/>
      <c r="D36" s="164"/>
      <c r="E36" s="164"/>
      <c r="F36" s="164"/>
      <c r="G36" s="159"/>
      <c r="H36" s="627">
        <f>H32</f>
        <v>2453.5587251903125</v>
      </c>
      <c r="I36" s="29"/>
      <c r="J36" s="172">
        <f>(H36/$C$15-1)*100</f>
        <v>5.0278602013912099</v>
      </c>
      <c r="K36" s="29"/>
      <c r="L36" s="172">
        <f>H36/$H$26*100</f>
        <v>18.38791882626008</v>
      </c>
      <c r="M36" s="29"/>
      <c r="N36" s="29"/>
      <c r="O36" s="29"/>
      <c r="P36" s="29"/>
      <c r="Q36" s="29"/>
      <c r="R36" s="29"/>
      <c r="S36" s="171"/>
      <c r="T36" s="1"/>
      <c r="U36" s="1"/>
      <c r="V36" s="1"/>
      <c r="W36" s="1"/>
    </row>
    <row r="37" spans="1:23">
      <c r="A37" s="1"/>
      <c r="B37" s="154"/>
      <c r="C37" s="153"/>
      <c r="D37" s="153"/>
      <c r="E37" s="153"/>
      <c r="F37" s="153"/>
      <c r="G37" s="153"/>
      <c r="H37" s="153"/>
      <c r="I37" s="29"/>
      <c r="J37" s="29"/>
      <c r="K37" s="29"/>
      <c r="L37" s="29"/>
      <c r="M37" s="29"/>
      <c r="N37" s="29"/>
      <c r="O37" s="29"/>
      <c r="P37" s="29"/>
      <c r="Q37" s="29"/>
      <c r="R37" s="29"/>
      <c r="S37" s="171"/>
      <c r="T37" s="1"/>
      <c r="U37" s="1"/>
      <c r="V37" s="1"/>
      <c r="W37" s="1"/>
    </row>
    <row r="38" spans="1:23" ht="15.75" thickBot="1">
      <c r="A38" s="1"/>
      <c r="B38" s="137"/>
      <c r="C38" s="138"/>
      <c r="D38" s="138"/>
      <c r="E38" s="138"/>
      <c r="F38" s="138"/>
      <c r="G38" s="138"/>
      <c r="H38" s="138"/>
      <c r="I38" s="138"/>
      <c r="J38" s="138"/>
      <c r="K38" s="138"/>
      <c r="L38" s="138"/>
      <c r="M38" s="138"/>
      <c r="N38" s="138"/>
      <c r="O38" s="138"/>
      <c r="P38" s="138"/>
      <c r="Q38" s="138"/>
      <c r="R38" s="138"/>
      <c r="S38" s="173"/>
      <c r="T38" s="1"/>
      <c r="U38" s="1"/>
      <c r="V38" s="1"/>
      <c r="W38" s="1"/>
    </row>
    <row r="39" spans="1:23">
      <c r="A39" s="1"/>
      <c r="B39" s="1"/>
      <c r="C39" s="1"/>
      <c r="D39" s="1"/>
      <c r="E39" s="1"/>
      <c r="F39" s="1"/>
      <c r="G39" s="1"/>
      <c r="H39" s="1"/>
      <c r="I39" s="1"/>
      <c r="J39" s="1"/>
      <c r="K39" s="1"/>
      <c r="L39" s="1"/>
      <c r="M39" s="1"/>
      <c r="N39" s="1"/>
      <c r="O39" s="1"/>
      <c r="P39" s="1"/>
      <c r="Q39" s="1"/>
      <c r="R39" s="1"/>
      <c r="S39" s="1"/>
      <c r="T39" s="1"/>
      <c r="U39" s="1"/>
      <c r="V39" s="1"/>
      <c r="W39" s="1"/>
    </row>
    <row r="40" spans="1:23">
      <c r="A40" s="1"/>
      <c r="B40" s="1"/>
      <c r="C40" s="1"/>
      <c r="D40" s="1"/>
      <c r="E40" s="1"/>
      <c r="F40" s="1"/>
      <c r="G40" s="1"/>
      <c r="H40" s="1"/>
      <c r="I40" s="1"/>
      <c r="J40" s="1"/>
      <c r="K40" s="1"/>
      <c r="L40" s="1"/>
      <c r="M40" s="1"/>
      <c r="N40" s="1"/>
      <c r="O40" s="1"/>
      <c r="P40" s="1"/>
      <c r="Q40" s="1"/>
      <c r="R40" s="1"/>
      <c r="S40" s="1"/>
      <c r="T40" s="1"/>
      <c r="U40" s="1"/>
      <c r="V40" s="1"/>
      <c r="W40" s="1"/>
    </row>
    <row r="41" spans="1:23">
      <c r="A41" s="1"/>
      <c r="B41" s="1"/>
      <c r="C41" s="1"/>
      <c r="D41" s="1"/>
      <c r="E41" s="1"/>
      <c r="F41" s="1"/>
      <c r="G41" s="1"/>
      <c r="H41" s="1"/>
      <c r="I41" s="1"/>
      <c r="J41" s="1"/>
      <c r="K41" s="1"/>
      <c r="L41" s="1"/>
      <c r="M41" s="1"/>
      <c r="N41" s="1"/>
      <c r="O41" s="1"/>
      <c r="P41" s="1"/>
      <c r="Q41" s="1"/>
      <c r="R41" s="1"/>
      <c r="S41" s="1"/>
      <c r="T41" s="1"/>
      <c r="U41" s="1"/>
      <c r="V41" s="1"/>
      <c r="W41" s="1"/>
    </row>
    <row r="42" spans="1:23">
      <c r="A42" s="1"/>
      <c r="B42" s="1"/>
      <c r="C42" s="1"/>
      <c r="D42" s="1"/>
      <c r="E42" s="1"/>
      <c r="F42" s="1"/>
      <c r="G42" s="1"/>
      <c r="H42" s="1"/>
      <c r="I42" s="1"/>
      <c r="J42" s="1"/>
      <c r="K42" s="1"/>
      <c r="L42" s="1"/>
      <c r="M42" s="1"/>
      <c r="N42" s="1"/>
      <c r="O42" s="1"/>
      <c r="P42" s="1"/>
      <c r="Q42" s="1"/>
      <c r="R42" s="1"/>
      <c r="S42" s="1"/>
      <c r="T42" s="1"/>
      <c r="U42" s="1"/>
      <c r="V42" s="1"/>
      <c r="W42" s="1"/>
    </row>
    <row r="43" spans="1:23">
      <c r="A43" s="1"/>
      <c r="B43" s="1"/>
      <c r="C43" s="1"/>
      <c r="D43" s="1"/>
      <c r="E43" s="1"/>
      <c r="F43" s="1"/>
      <c r="G43" s="1"/>
      <c r="H43" s="1"/>
      <c r="I43" s="1"/>
      <c r="J43" s="1"/>
      <c r="K43" s="1"/>
      <c r="L43" s="1"/>
      <c r="M43" s="1"/>
      <c r="N43" s="1"/>
      <c r="O43" s="1"/>
      <c r="P43" s="1"/>
      <c r="Q43" s="1"/>
      <c r="R43" s="1"/>
      <c r="S43" s="1"/>
      <c r="T43" s="1"/>
      <c r="U43" s="1"/>
      <c r="V43" s="1"/>
      <c r="W43" s="1"/>
    </row>
    <row r="44" spans="1:23">
      <c r="A44" s="1"/>
      <c r="B44" s="1"/>
      <c r="C44" s="1"/>
      <c r="D44" s="1"/>
      <c r="E44" s="1"/>
      <c r="F44" s="1"/>
      <c r="G44" s="1"/>
      <c r="H44" s="1"/>
      <c r="I44" s="1"/>
      <c r="J44" s="1"/>
      <c r="K44" s="1"/>
      <c r="L44" s="1"/>
      <c r="M44" s="1"/>
      <c r="N44" s="1"/>
      <c r="O44" s="1"/>
      <c r="P44" s="1"/>
      <c r="Q44" s="1"/>
      <c r="R44" s="1"/>
      <c r="S44" s="1"/>
      <c r="T44" s="1"/>
      <c r="U44" s="1"/>
      <c r="V44" s="1"/>
      <c r="W44" s="1"/>
    </row>
    <row r="45" spans="1:23">
      <c r="A45" s="1"/>
      <c r="B45" s="1"/>
      <c r="C45" s="1"/>
      <c r="D45" s="1"/>
      <c r="E45" s="1"/>
      <c r="F45" s="1"/>
      <c r="G45" s="1"/>
      <c r="H45" s="1"/>
      <c r="I45" s="1"/>
      <c r="J45" s="1"/>
      <c r="K45" s="1"/>
      <c r="L45" s="1"/>
      <c r="M45" s="1"/>
      <c r="N45" s="1"/>
      <c r="O45" s="1"/>
      <c r="P45" s="1"/>
      <c r="Q45" s="1"/>
      <c r="R45" s="1"/>
      <c r="S45" s="1"/>
      <c r="T45" s="1"/>
      <c r="U45" s="1"/>
      <c r="V45" s="1"/>
      <c r="W45" s="1"/>
    </row>
    <row r="46" spans="1:23">
      <c r="A46" s="1"/>
      <c r="B46" s="1"/>
      <c r="C46" s="1"/>
      <c r="D46" s="1"/>
      <c r="E46" s="1"/>
      <c r="F46" s="1"/>
      <c r="G46" s="1"/>
      <c r="H46" s="1"/>
      <c r="I46" s="1"/>
      <c r="J46" s="1"/>
      <c r="K46" s="1"/>
      <c r="L46" s="1"/>
      <c r="M46" s="1"/>
      <c r="N46" s="1"/>
      <c r="O46" s="1"/>
      <c r="P46" s="1"/>
      <c r="Q46" s="1"/>
      <c r="R46" s="1"/>
      <c r="S46" s="1"/>
      <c r="T46" s="1"/>
      <c r="U46" s="1"/>
      <c r="V46" s="1"/>
      <c r="W46" s="1"/>
    </row>
    <row r="47" spans="1:23">
      <c r="A47" s="1"/>
      <c r="B47" s="1"/>
      <c r="C47" s="1"/>
      <c r="D47" s="1"/>
      <c r="E47" s="1"/>
      <c r="F47" s="1"/>
      <c r="G47" s="1"/>
      <c r="H47" s="1"/>
      <c r="I47" s="1"/>
      <c r="J47" s="1"/>
      <c r="K47" s="1"/>
      <c r="L47" s="1"/>
      <c r="M47" s="1"/>
      <c r="N47" s="1"/>
      <c r="O47" s="1"/>
      <c r="P47" s="1"/>
      <c r="Q47" s="1"/>
      <c r="R47" s="1"/>
      <c r="S47" s="1"/>
      <c r="T47" s="1"/>
      <c r="U47" s="1"/>
      <c r="V47" s="1"/>
      <c r="W47" s="1"/>
    </row>
    <row r="48" spans="1:23">
      <c r="A48" s="1"/>
      <c r="B48" s="1"/>
      <c r="C48" s="1"/>
      <c r="D48" s="1"/>
      <c r="E48" s="1"/>
      <c r="F48" s="1"/>
      <c r="G48" s="1"/>
      <c r="H48" s="1"/>
      <c r="I48" s="1"/>
      <c r="J48" s="1"/>
      <c r="K48" s="1"/>
      <c r="L48" s="1"/>
      <c r="M48" s="1"/>
      <c r="N48" s="1"/>
      <c r="O48" s="1"/>
      <c r="P48" s="1"/>
      <c r="Q48" s="1"/>
      <c r="R48" s="1"/>
      <c r="S48" s="1"/>
      <c r="T48" s="1"/>
      <c r="U48" s="1"/>
      <c r="V48" s="1"/>
      <c r="W48" s="1"/>
    </row>
    <row r="49" spans="1:23">
      <c r="A49" s="1"/>
      <c r="B49" s="1"/>
      <c r="C49" s="1"/>
      <c r="D49" s="1"/>
      <c r="E49" s="1"/>
      <c r="F49" s="1"/>
      <c r="G49" s="1"/>
      <c r="H49" s="1"/>
      <c r="I49" s="1"/>
      <c r="J49" s="1"/>
      <c r="K49" s="1"/>
      <c r="L49" s="1"/>
      <c r="M49" s="1"/>
      <c r="N49" s="1"/>
      <c r="O49" s="1"/>
      <c r="P49" s="1"/>
      <c r="Q49" s="1"/>
      <c r="R49" s="1"/>
      <c r="S49" s="1"/>
      <c r="T49" s="1"/>
      <c r="U49" s="1"/>
      <c r="V49" s="1"/>
      <c r="W49" s="1"/>
    </row>
    <row r="50" spans="1:23">
      <c r="A50" s="1"/>
      <c r="B50" s="1"/>
      <c r="C50" s="1"/>
      <c r="D50" s="1"/>
      <c r="E50" s="1"/>
      <c r="F50" s="1"/>
      <c r="G50" s="1"/>
      <c r="H50" s="1"/>
      <c r="I50" s="1"/>
      <c r="J50" s="1"/>
      <c r="K50" s="1"/>
      <c r="L50" s="1"/>
      <c r="M50" s="1"/>
      <c r="N50" s="1"/>
      <c r="O50" s="1"/>
      <c r="P50" s="1"/>
      <c r="Q50" s="1"/>
      <c r="R50" s="1"/>
      <c r="S50" s="1"/>
      <c r="T50" s="1"/>
      <c r="U50" s="1"/>
      <c r="V50" s="1"/>
      <c r="W50" s="1"/>
    </row>
    <row r="51" spans="1:23">
      <c r="A51" s="1"/>
      <c r="B51" s="1"/>
      <c r="C51" s="1"/>
      <c r="D51" s="1"/>
      <c r="E51" s="1"/>
      <c r="F51" s="1"/>
      <c r="G51" s="1"/>
      <c r="H51" s="1"/>
      <c r="I51" s="1"/>
      <c r="J51" s="1"/>
      <c r="K51" s="1"/>
      <c r="L51" s="1"/>
      <c r="M51" s="1"/>
      <c r="N51" s="1"/>
      <c r="O51" s="1"/>
      <c r="P51" s="1"/>
      <c r="Q51" s="1"/>
      <c r="R51" s="1"/>
      <c r="S51" s="1"/>
      <c r="T51" s="1"/>
      <c r="U51" s="1"/>
      <c r="V51" s="1"/>
      <c r="W51" s="1"/>
    </row>
    <row r="52" spans="1:23">
      <c r="A52" s="1"/>
      <c r="B52" s="1"/>
      <c r="C52" s="1"/>
      <c r="D52" s="1"/>
      <c r="E52" s="1"/>
      <c r="F52" s="1"/>
      <c r="G52" s="1"/>
      <c r="H52" s="1"/>
      <c r="I52" s="1"/>
      <c r="J52" s="1"/>
      <c r="K52" s="1"/>
      <c r="L52" s="1"/>
      <c r="M52" s="1"/>
      <c r="N52" s="1"/>
      <c r="O52" s="1"/>
      <c r="P52" s="1"/>
      <c r="Q52" s="1"/>
      <c r="R52" s="1"/>
      <c r="S52" s="1"/>
      <c r="T52" s="1"/>
      <c r="U52" s="1"/>
      <c r="V52" s="1"/>
      <c r="W52" s="1"/>
    </row>
    <row r="53" spans="1:23">
      <c r="A53" s="1"/>
      <c r="B53" s="1"/>
      <c r="C53" s="1"/>
      <c r="D53" s="1"/>
      <c r="E53" s="1"/>
      <c r="F53" s="1"/>
      <c r="G53" s="1"/>
      <c r="H53" s="1"/>
      <c r="I53" s="1"/>
      <c r="J53" s="1"/>
      <c r="K53" s="1"/>
      <c r="L53" s="1"/>
      <c r="M53" s="1"/>
      <c r="N53" s="1"/>
      <c r="O53" s="1"/>
      <c r="P53" s="1"/>
      <c r="Q53" s="1"/>
      <c r="R53" s="1"/>
      <c r="S53" s="1"/>
      <c r="T53" s="1"/>
      <c r="U53" s="1"/>
      <c r="V53" s="1"/>
      <c r="W53" s="1"/>
    </row>
    <row r="54" spans="1:23">
      <c r="A54" s="1"/>
      <c r="B54" s="1"/>
      <c r="C54" s="1"/>
      <c r="D54" s="1"/>
      <c r="E54" s="1"/>
      <c r="F54" s="1"/>
      <c r="G54" s="1"/>
      <c r="H54" s="1"/>
      <c r="I54" s="1"/>
      <c r="J54" s="1"/>
      <c r="K54" s="1"/>
      <c r="L54" s="1"/>
      <c r="M54" s="1"/>
      <c r="N54" s="1"/>
      <c r="O54" s="1"/>
      <c r="P54" s="1"/>
      <c r="Q54" s="1"/>
      <c r="R54" s="1"/>
      <c r="S54" s="1"/>
      <c r="T54" s="1"/>
      <c r="U54" s="1"/>
      <c r="V54" s="1"/>
      <c r="W54" s="1"/>
    </row>
    <row r="55" spans="1:23">
      <c r="A55" s="1"/>
      <c r="B55" s="1"/>
      <c r="C55" s="1"/>
      <c r="D55" s="1"/>
      <c r="E55" s="1"/>
      <c r="F55" s="1"/>
      <c r="G55" s="1"/>
      <c r="H55" s="1"/>
      <c r="I55" s="1"/>
      <c r="J55" s="1"/>
      <c r="K55" s="1"/>
      <c r="L55" s="1"/>
      <c r="M55" s="1"/>
      <c r="N55" s="1"/>
      <c r="O55" s="1"/>
      <c r="P55" s="1"/>
      <c r="Q55" s="1"/>
      <c r="R55" s="1"/>
      <c r="S55" s="1"/>
      <c r="T55" s="1"/>
      <c r="U55" s="1"/>
      <c r="V55" s="1"/>
      <c r="W55" s="1"/>
    </row>
    <row r="56" spans="1:23">
      <c r="A56" s="1"/>
      <c r="B56" s="1"/>
      <c r="C56" s="1"/>
      <c r="D56" s="1"/>
      <c r="E56" s="1"/>
      <c r="F56" s="1"/>
      <c r="G56" s="1"/>
      <c r="H56" s="1"/>
      <c r="I56" s="1"/>
      <c r="J56" s="1"/>
      <c r="K56" s="1"/>
      <c r="L56" s="1"/>
      <c r="M56" s="1"/>
      <c r="N56" s="1"/>
      <c r="O56" s="1"/>
      <c r="P56" s="1"/>
      <c r="Q56" s="1"/>
      <c r="R56" s="1"/>
      <c r="S56" s="1"/>
      <c r="T56" s="1"/>
      <c r="U56" s="1"/>
      <c r="V56" s="1"/>
      <c r="W56" s="1"/>
    </row>
    <row r="57" spans="1:23">
      <c r="A57" s="1"/>
      <c r="B57" s="1"/>
      <c r="C57" s="1"/>
      <c r="D57" s="1"/>
      <c r="E57" s="1"/>
      <c r="F57" s="1"/>
      <c r="G57" s="1"/>
      <c r="H57" s="1"/>
      <c r="I57" s="1"/>
      <c r="J57" s="1"/>
      <c r="K57" s="1"/>
      <c r="L57" s="1"/>
      <c r="M57" s="1"/>
      <c r="N57" s="1"/>
      <c r="O57" s="1"/>
      <c r="P57" s="1"/>
      <c r="Q57" s="1"/>
      <c r="R57" s="1"/>
      <c r="S57" s="1"/>
      <c r="T57" s="1"/>
      <c r="U57" s="1"/>
      <c r="V57" s="1"/>
      <c r="W57" s="1"/>
    </row>
    <row r="58" spans="1:23">
      <c r="A58" s="1"/>
      <c r="B58" s="1"/>
      <c r="C58" s="1"/>
      <c r="D58" s="1"/>
      <c r="E58" s="1"/>
      <c r="F58" s="1"/>
      <c r="G58" s="1"/>
      <c r="H58" s="1"/>
      <c r="I58" s="1"/>
      <c r="J58" s="1"/>
      <c r="K58" s="1"/>
      <c r="L58" s="1"/>
      <c r="M58" s="1"/>
      <c r="N58" s="1"/>
      <c r="O58" s="1"/>
      <c r="P58" s="1"/>
      <c r="Q58" s="1"/>
      <c r="R58" s="1"/>
      <c r="S58" s="1"/>
      <c r="T58" s="1"/>
      <c r="U58" s="1"/>
      <c r="V58" s="1"/>
      <c r="W58" s="1"/>
    </row>
    <row r="59" spans="1:23">
      <c r="A59" s="1"/>
      <c r="B59" s="1"/>
      <c r="C59" s="1"/>
      <c r="D59" s="1"/>
      <c r="E59" s="1"/>
      <c r="F59" s="1"/>
      <c r="G59" s="1"/>
      <c r="H59" s="1"/>
      <c r="I59" s="1"/>
      <c r="J59" s="1"/>
      <c r="K59" s="1"/>
      <c r="L59" s="1"/>
      <c r="M59" s="1"/>
      <c r="N59" s="1"/>
      <c r="O59" s="1"/>
      <c r="P59" s="1"/>
      <c r="Q59" s="1"/>
      <c r="R59" s="1"/>
      <c r="S59" s="1"/>
      <c r="T59" s="1"/>
      <c r="U59" s="1"/>
      <c r="V59" s="1"/>
      <c r="W59" s="1"/>
    </row>
    <row r="60" spans="1:23">
      <c r="A60" s="1"/>
      <c r="B60" s="1"/>
      <c r="C60" s="1"/>
      <c r="D60" s="1"/>
      <c r="E60" s="1"/>
      <c r="F60" s="1"/>
      <c r="G60" s="1"/>
      <c r="H60" s="1"/>
      <c r="I60" s="1"/>
      <c r="J60" s="1"/>
      <c r="K60" s="1"/>
      <c r="L60" s="1"/>
      <c r="M60" s="1"/>
      <c r="N60" s="1"/>
      <c r="O60" s="1"/>
      <c r="P60" s="1"/>
      <c r="Q60" s="1"/>
      <c r="R60" s="1"/>
      <c r="S60" s="1"/>
      <c r="T60" s="1"/>
      <c r="U60" s="1"/>
      <c r="V60" s="1"/>
      <c r="W60" s="1"/>
    </row>
    <row r="61" spans="1:23">
      <c r="A61" s="1"/>
      <c r="B61" s="1"/>
      <c r="C61" s="1"/>
      <c r="D61" s="1"/>
      <c r="E61" s="1"/>
      <c r="F61" s="1"/>
      <c r="G61" s="1"/>
      <c r="H61" s="1"/>
      <c r="I61" s="1"/>
      <c r="J61" s="1"/>
      <c r="K61" s="1"/>
      <c r="L61" s="1"/>
      <c r="M61" s="1"/>
      <c r="N61" s="1"/>
      <c r="O61" s="1"/>
      <c r="P61" s="1"/>
      <c r="Q61" s="1"/>
      <c r="R61" s="1"/>
      <c r="S61" s="1"/>
      <c r="T61" s="1"/>
      <c r="U61" s="1"/>
      <c r="V61" s="1"/>
      <c r="W61" s="1"/>
    </row>
    <row r="62" spans="1:23">
      <c r="A62" s="1"/>
      <c r="B62" s="1"/>
      <c r="C62" s="1"/>
      <c r="D62" s="1"/>
      <c r="E62" s="1"/>
      <c r="F62" s="1"/>
      <c r="G62" s="1"/>
      <c r="H62" s="1"/>
      <c r="I62" s="1"/>
      <c r="J62" s="1"/>
      <c r="K62" s="1"/>
      <c r="L62" s="1"/>
      <c r="M62" s="1"/>
      <c r="N62" s="1"/>
      <c r="O62" s="1"/>
      <c r="P62" s="1"/>
      <c r="Q62" s="1"/>
      <c r="R62" s="1"/>
      <c r="S62" s="1"/>
      <c r="T62" s="1"/>
      <c r="U62" s="1"/>
      <c r="V62" s="1"/>
      <c r="W62" s="1"/>
    </row>
    <row r="63" spans="1:23">
      <c r="A63" s="1"/>
      <c r="B63" s="1"/>
      <c r="C63" s="1"/>
      <c r="D63" s="1"/>
      <c r="E63" s="1"/>
      <c r="F63" s="1"/>
      <c r="G63" s="1"/>
      <c r="H63" s="1"/>
      <c r="I63" s="1"/>
      <c r="J63" s="1"/>
      <c r="K63" s="1"/>
      <c r="L63" s="1"/>
      <c r="M63" s="1"/>
      <c r="N63" s="1"/>
      <c r="O63" s="1"/>
      <c r="P63" s="1"/>
      <c r="Q63" s="1"/>
      <c r="R63" s="1"/>
      <c r="S63" s="1"/>
      <c r="T63" s="1"/>
      <c r="U63" s="1"/>
      <c r="V63" s="1"/>
      <c r="W63" s="1"/>
    </row>
    <row r="64" spans="1:23">
      <c r="A64" s="1"/>
      <c r="B64" s="1"/>
      <c r="C64" s="1"/>
      <c r="D64" s="1"/>
      <c r="E64" s="1"/>
      <c r="F64" s="1"/>
      <c r="G64" s="1"/>
      <c r="H64" s="1"/>
      <c r="I64" s="1"/>
      <c r="J64" s="1"/>
      <c r="K64" s="1"/>
      <c r="L64" s="1"/>
      <c r="M64" s="1"/>
      <c r="N64" s="1"/>
      <c r="O64" s="1"/>
      <c r="P64" s="1"/>
      <c r="Q64" s="1"/>
      <c r="R64" s="1"/>
      <c r="S64" s="1"/>
      <c r="T64" s="1"/>
      <c r="U64" s="1"/>
      <c r="V64" s="1"/>
      <c r="W64" s="1"/>
    </row>
    <row r="65" spans="1:23">
      <c r="A65" s="1"/>
      <c r="B65" s="1"/>
      <c r="C65" s="1"/>
      <c r="D65" s="1"/>
      <c r="E65" s="1"/>
      <c r="F65" s="1"/>
      <c r="G65" s="1"/>
      <c r="H65" s="1"/>
      <c r="I65" s="1"/>
      <c r="J65" s="1"/>
      <c r="K65" s="1"/>
      <c r="L65" s="1"/>
      <c r="M65" s="1"/>
      <c r="N65" s="1"/>
      <c r="O65" s="1"/>
      <c r="P65" s="1"/>
      <c r="Q65" s="1"/>
      <c r="R65" s="1"/>
      <c r="S65" s="1"/>
      <c r="T65" s="1"/>
      <c r="U65" s="1"/>
      <c r="V65" s="1"/>
      <c r="W65" s="1"/>
    </row>
    <row r="66" spans="1:23">
      <c r="A66" s="1"/>
      <c r="B66" s="1"/>
      <c r="C66" s="1"/>
      <c r="D66" s="1"/>
      <c r="E66" s="1"/>
      <c r="F66" s="1"/>
      <c r="G66" s="1"/>
      <c r="H66" s="1"/>
      <c r="I66" s="1"/>
      <c r="J66" s="1"/>
      <c r="K66" s="1"/>
      <c r="L66" s="1"/>
      <c r="M66" s="1"/>
      <c r="N66" s="1"/>
      <c r="O66" s="1"/>
      <c r="P66" s="1"/>
      <c r="Q66" s="1"/>
      <c r="R66" s="1"/>
      <c r="S66" s="1"/>
      <c r="T66" s="1"/>
      <c r="U66" s="1"/>
      <c r="V66" s="1"/>
      <c r="W66" s="1"/>
    </row>
    <row r="67" spans="1:23">
      <c r="A67" s="1"/>
      <c r="B67" s="1"/>
      <c r="C67" s="1"/>
      <c r="D67" s="1"/>
      <c r="E67" s="1"/>
      <c r="F67" s="1"/>
      <c r="G67" s="1"/>
      <c r="H67" s="1"/>
      <c r="I67" s="1"/>
      <c r="J67" s="1"/>
      <c r="K67" s="1"/>
      <c r="L67" s="1"/>
      <c r="M67" s="1"/>
      <c r="N67" s="1"/>
      <c r="O67" s="1"/>
      <c r="P67" s="1"/>
      <c r="Q67" s="1"/>
      <c r="R67" s="1"/>
      <c r="S67" s="1"/>
      <c r="T67" s="1"/>
      <c r="U67" s="1"/>
      <c r="V67" s="1"/>
      <c r="W67" s="1"/>
    </row>
    <row r="68" spans="1:23">
      <c r="A68" s="1"/>
      <c r="B68" s="1"/>
      <c r="C68" s="1"/>
      <c r="D68" s="1"/>
      <c r="E68" s="1"/>
      <c r="F68" s="1"/>
      <c r="G68" s="1"/>
      <c r="H68" s="1"/>
      <c r="I68" s="1"/>
      <c r="J68" s="1"/>
      <c r="K68" s="1"/>
      <c r="L68" s="1"/>
      <c r="M68" s="1"/>
      <c r="N68" s="1"/>
      <c r="O68" s="1"/>
      <c r="P68" s="1"/>
      <c r="Q68" s="1"/>
      <c r="R68" s="1"/>
      <c r="S68" s="1"/>
      <c r="T68" s="1"/>
      <c r="U68" s="1"/>
      <c r="V68" s="1"/>
      <c r="W68" s="1"/>
    </row>
    <row r="69" spans="1:23">
      <c r="A69" s="1"/>
      <c r="B69" s="1"/>
      <c r="C69" s="1"/>
      <c r="D69" s="1"/>
      <c r="E69" s="1"/>
      <c r="F69" s="1"/>
      <c r="G69" s="1"/>
      <c r="H69" s="1"/>
      <c r="I69" s="1"/>
      <c r="J69" s="1"/>
      <c r="K69" s="1"/>
      <c r="L69" s="1"/>
      <c r="M69" s="1"/>
      <c r="N69" s="1"/>
      <c r="O69" s="1"/>
      <c r="P69" s="1"/>
      <c r="Q69" s="1"/>
      <c r="R69" s="1"/>
      <c r="S69" s="1"/>
      <c r="T69" s="1"/>
      <c r="U69" s="1"/>
      <c r="V69" s="1"/>
      <c r="W69" s="1"/>
    </row>
    <row r="70" spans="1:23">
      <c r="A70" s="1"/>
      <c r="B70" s="1"/>
      <c r="C70" s="1"/>
      <c r="D70" s="1"/>
      <c r="E70" s="1"/>
      <c r="F70" s="1"/>
      <c r="G70" s="1"/>
      <c r="H70" s="1"/>
      <c r="I70" s="1"/>
      <c r="J70" s="1"/>
      <c r="K70" s="1"/>
      <c r="L70" s="1"/>
      <c r="M70" s="1"/>
      <c r="N70" s="1"/>
      <c r="O70" s="1"/>
      <c r="P70" s="1"/>
      <c r="Q70" s="1"/>
      <c r="R70" s="1"/>
      <c r="S70" s="1"/>
      <c r="T70" s="1"/>
      <c r="U70" s="1"/>
      <c r="V70" s="1"/>
      <c r="W70" s="1"/>
    </row>
    <row r="71" spans="1:23">
      <c r="A71" s="1"/>
      <c r="B71" s="1"/>
      <c r="C71" s="1"/>
      <c r="D71" s="1"/>
      <c r="E71" s="1"/>
      <c r="F71" s="1"/>
      <c r="G71" s="1"/>
      <c r="H71" s="1"/>
      <c r="I71" s="1"/>
      <c r="J71" s="1"/>
      <c r="K71" s="1"/>
      <c r="L71" s="1"/>
      <c r="M71" s="1"/>
      <c r="N71" s="1"/>
      <c r="O71" s="1"/>
      <c r="P71" s="1"/>
      <c r="Q71" s="1"/>
      <c r="R71" s="1"/>
      <c r="S71" s="1"/>
      <c r="T71" s="1"/>
      <c r="U71" s="1"/>
      <c r="V71" s="1"/>
      <c r="W71" s="1"/>
    </row>
    <row r="72" spans="1:23">
      <c r="A72" s="1"/>
      <c r="B72" s="1"/>
      <c r="C72" s="1"/>
      <c r="D72" s="1"/>
      <c r="E72" s="1"/>
      <c r="F72" s="1"/>
      <c r="G72" s="1"/>
      <c r="H72" s="1"/>
      <c r="I72" s="1"/>
      <c r="J72" s="1"/>
      <c r="K72" s="1"/>
      <c r="L72" s="1"/>
      <c r="M72" s="1"/>
      <c r="N72" s="1"/>
      <c r="O72" s="1"/>
      <c r="P72" s="1"/>
      <c r="Q72" s="1"/>
      <c r="R72" s="1"/>
      <c r="S72" s="1"/>
      <c r="T72" s="1"/>
      <c r="U72" s="1"/>
      <c r="V72" s="1"/>
      <c r="W72" s="1"/>
    </row>
    <row r="73" spans="1:23">
      <c r="A73" s="1"/>
      <c r="B73" s="1"/>
      <c r="C73" s="1"/>
      <c r="D73" s="1"/>
      <c r="E73" s="1"/>
      <c r="F73" s="1"/>
      <c r="G73" s="1"/>
      <c r="H73" s="1"/>
      <c r="I73" s="1"/>
      <c r="J73" s="1"/>
      <c r="K73" s="1"/>
      <c r="L73" s="1"/>
      <c r="M73" s="1"/>
      <c r="N73" s="1"/>
      <c r="O73" s="1"/>
      <c r="P73" s="1"/>
      <c r="Q73" s="1"/>
      <c r="R73" s="1"/>
      <c r="S73" s="1"/>
      <c r="T73" s="1"/>
      <c r="U73" s="1"/>
      <c r="V73" s="1"/>
      <c r="W73" s="1"/>
    </row>
    <row r="74" spans="1:23">
      <c r="A74" s="1"/>
      <c r="B74" s="1"/>
      <c r="C74" s="1"/>
      <c r="D74" s="1"/>
      <c r="E74" s="1"/>
      <c r="F74" s="1"/>
      <c r="G74" s="1"/>
      <c r="H74" s="1"/>
      <c r="I74" s="1"/>
      <c r="J74" s="1"/>
      <c r="K74" s="1"/>
      <c r="L74" s="1"/>
      <c r="M74" s="1"/>
      <c r="N74" s="1"/>
      <c r="O74" s="1"/>
      <c r="P74" s="1"/>
      <c r="Q74" s="1"/>
      <c r="R74" s="1"/>
      <c r="S74" s="1"/>
      <c r="T74" s="1"/>
      <c r="U74" s="1"/>
      <c r="V74" s="1"/>
      <c r="W74" s="1"/>
    </row>
    <row r="75" spans="1:23">
      <c r="A75" s="1"/>
      <c r="B75" s="1"/>
      <c r="C75" s="1"/>
      <c r="D75" s="1"/>
      <c r="E75" s="1"/>
      <c r="F75" s="1"/>
      <c r="G75" s="1"/>
      <c r="H75" s="1"/>
      <c r="I75" s="1"/>
      <c r="J75" s="1"/>
      <c r="K75" s="1"/>
      <c r="L75" s="1"/>
      <c r="M75" s="1"/>
      <c r="N75" s="1"/>
      <c r="O75" s="1"/>
      <c r="P75" s="1"/>
      <c r="Q75" s="1"/>
      <c r="R75" s="1"/>
      <c r="S75" s="1"/>
      <c r="T75" s="1"/>
      <c r="U75" s="1"/>
      <c r="V75" s="1"/>
      <c r="W75" s="1"/>
    </row>
    <row r="76" spans="1:23">
      <c r="A76" s="1"/>
      <c r="B76" s="1"/>
      <c r="C76" s="1"/>
      <c r="D76" s="1"/>
      <c r="E76" s="1"/>
      <c r="F76" s="1"/>
      <c r="G76" s="1"/>
      <c r="H76" s="1"/>
      <c r="I76" s="1"/>
      <c r="J76" s="1"/>
      <c r="K76" s="1"/>
      <c r="L76" s="1"/>
      <c r="M76" s="1"/>
      <c r="N76" s="1"/>
      <c r="O76" s="1"/>
      <c r="P76" s="1"/>
      <c r="Q76" s="1"/>
      <c r="R76" s="1"/>
      <c r="S76" s="1"/>
      <c r="T76" s="1"/>
      <c r="U76" s="1"/>
      <c r="V76" s="1"/>
      <c r="W76" s="1"/>
    </row>
    <row r="77" spans="1:23">
      <c r="A77" s="1"/>
      <c r="B77" s="1"/>
      <c r="C77" s="1"/>
      <c r="D77" s="1"/>
      <c r="E77" s="1"/>
      <c r="F77" s="1"/>
      <c r="G77" s="1"/>
      <c r="H77" s="1"/>
      <c r="I77" s="1"/>
      <c r="J77" s="1"/>
      <c r="K77" s="1"/>
      <c r="L77" s="1"/>
      <c r="M77" s="1"/>
      <c r="N77" s="1"/>
      <c r="O77" s="1"/>
      <c r="P77" s="1"/>
      <c r="Q77" s="1"/>
      <c r="R77" s="1"/>
      <c r="S77" s="1"/>
      <c r="T77" s="1"/>
      <c r="U77" s="1"/>
      <c r="V77" s="1"/>
      <c r="W77" s="1"/>
    </row>
    <row r="78" spans="1:23">
      <c r="A78" s="1"/>
      <c r="B78" s="1"/>
      <c r="C78" s="1"/>
      <c r="D78" s="1"/>
      <c r="E78" s="1"/>
      <c r="F78" s="1"/>
      <c r="G78" s="1"/>
      <c r="H78" s="1"/>
      <c r="I78" s="1"/>
      <c r="J78" s="1"/>
      <c r="K78" s="1"/>
      <c r="L78" s="1"/>
      <c r="M78" s="1"/>
      <c r="N78" s="1"/>
      <c r="O78" s="1"/>
      <c r="P78" s="1"/>
      <c r="Q78" s="1"/>
      <c r="R78" s="1"/>
      <c r="S78" s="1"/>
      <c r="T78" s="1"/>
      <c r="U78" s="1"/>
      <c r="V78" s="1"/>
      <c r="W78" s="1"/>
    </row>
    <row r="79" spans="1:23">
      <c r="A79" s="1"/>
      <c r="B79" s="1"/>
      <c r="C79" s="1"/>
      <c r="D79" s="1"/>
      <c r="E79" s="1"/>
      <c r="F79" s="1"/>
      <c r="G79" s="1"/>
      <c r="H79" s="1"/>
      <c r="I79" s="1"/>
      <c r="J79" s="1"/>
      <c r="K79" s="1"/>
      <c r="L79" s="1"/>
      <c r="M79" s="1"/>
      <c r="N79" s="1"/>
      <c r="O79" s="1"/>
      <c r="P79" s="1"/>
      <c r="Q79" s="1"/>
      <c r="R79" s="1"/>
      <c r="S79" s="1"/>
      <c r="T79" s="1"/>
      <c r="U79" s="1"/>
      <c r="V79" s="1"/>
      <c r="W79" s="1"/>
    </row>
    <row r="80" spans="1:23">
      <c r="A80" s="1"/>
      <c r="B80" s="1"/>
      <c r="C80" s="1"/>
      <c r="D80" s="1"/>
      <c r="E80" s="1"/>
      <c r="F80" s="1"/>
      <c r="G80" s="1"/>
      <c r="H80" s="1"/>
      <c r="I80" s="1"/>
      <c r="J80" s="1"/>
      <c r="K80" s="1"/>
      <c r="L80" s="1"/>
      <c r="M80" s="1"/>
      <c r="N80" s="1"/>
      <c r="O80" s="1"/>
      <c r="P80" s="1"/>
      <c r="Q80" s="1"/>
      <c r="R80" s="1"/>
      <c r="S80" s="1"/>
      <c r="T80" s="1"/>
      <c r="U80" s="1"/>
      <c r="V80" s="1"/>
      <c r="W80" s="1"/>
    </row>
    <row r="81" spans="1:23">
      <c r="A81" s="1"/>
      <c r="B81" s="1"/>
      <c r="C81" s="1"/>
      <c r="D81" s="1"/>
      <c r="E81" s="1"/>
      <c r="F81" s="1"/>
      <c r="G81" s="1"/>
      <c r="H81" s="1"/>
      <c r="I81" s="1"/>
      <c r="J81" s="1"/>
      <c r="K81" s="1"/>
      <c r="L81" s="1"/>
      <c r="M81" s="1"/>
      <c r="N81" s="1"/>
      <c r="O81" s="1"/>
      <c r="P81" s="1"/>
      <c r="Q81" s="1"/>
      <c r="R81" s="1"/>
      <c r="S81" s="1"/>
      <c r="T81" s="1"/>
      <c r="U81" s="1"/>
      <c r="V81" s="1"/>
      <c r="W81" s="1"/>
    </row>
    <row r="82" spans="1:23">
      <c r="A82" s="1"/>
      <c r="B82" s="1"/>
      <c r="C82" s="1"/>
      <c r="D82" s="1"/>
      <c r="E82" s="1"/>
      <c r="F82" s="1"/>
      <c r="G82" s="1"/>
      <c r="H82" s="1"/>
      <c r="I82" s="1"/>
      <c r="J82" s="1"/>
      <c r="K82" s="1"/>
      <c r="L82" s="1"/>
      <c r="M82" s="1"/>
      <c r="N82" s="1"/>
      <c r="O82" s="1"/>
      <c r="P82" s="1"/>
      <c r="Q82" s="1"/>
      <c r="R82" s="1"/>
      <c r="S82" s="1"/>
      <c r="T82" s="1"/>
      <c r="U82" s="1"/>
      <c r="V82" s="1"/>
      <c r="W82" s="1"/>
    </row>
    <row r="83" spans="1:23">
      <c r="A83" s="1"/>
      <c r="B83" s="1"/>
      <c r="C83" s="1"/>
      <c r="D83" s="1"/>
      <c r="E83" s="1"/>
      <c r="F83" s="1"/>
      <c r="G83" s="1"/>
      <c r="H83" s="1"/>
      <c r="I83" s="1"/>
      <c r="J83" s="1"/>
      <c r="K83" s="1"/>
      <c r="L83" s="1"/>
      <c r="M83" s="1"/>
      <c r="N83" s="1"/>
      <c r="O83" s="1"/>
      <c r="P83" s="1"/>
      <c r="Q83" s="1"/>
      <c r="R83" s="1"/>
      <c r="S83" s="1"/>
      <c r="T83" s="1"/>
      <c r="U83" s="1"/>
      <c r="V83" s="1"/>
      <c r="W83" s="1"/>
    </row>
    <row r="84" spans="1:23">
      <c r="A84" s="1"/>
      <c r="B84" s="1"/>
      <c r="C84" s="1"/>
      <c r="D84" s="1"/>
      <c r="E84" s="1"/>
      <c r="F84" s="1"/>
      <c r="G84" s="1"/>
      <c r="H84" s="1"/>
      <c r="I84" s="1"/>
      <c r="J84" s="1"/>
      <c r="K84" s="1"/>
      <c r="L84" s="1"/>
      <c r="M84" s="1"/>
      <c r="N84" s="1"/>
      <c r="O84" s="1"/>
      <c r="P84" s="1"/>
      <c r="Q84" s="1"/>
      <c r="R84" s="1"/>
      <c r="S84" s="1"/>
      <c r="T84" s="1"/>
      <c r="U84" s="1"/>
      <c r="V84" s="1"/>
      <c r="W84" s="1"/>
    </row>
    <row r="85" spans="1:23">
      <c r="A85" s="1"/>
      <c r="B85" s="1"/>
      <c r="C85" s="1"/>
      <c r="D85" s="1"/>
      <c r="E85" s="1"/>
      <c r="F85" s="1"/>
      <c r="G85" s="1"/>
      <c r="H85" s="1"/>
      <c r="I85" s="1"/>
      <c r="J85" s="1"/>
      <c r="K85" s="1"/>
      <c r="L85" s="1"/>
      <c r="M85" s="1"/>
      <c r="N85" s="1"/>
      <c r="O85" s="1"/>
      <c r="P85" s="1"/>
      <c r="Q85" s="1"/>
      <c r="R85" s="1"/>
      <c r="S85" s="1"/>
      <c r="T85" s="1"/>
      <c r="U85" s="1"/>
      <c r="V85" s="1"/>
      <c r="W85" s="1"/>
    </row>
    <row r="86" spans="1:23">
      <c r="A86" s="1"/>
      <c r="B86" s="1"/>
      <c r="C86" s="1"/>
      <c r="D86" s="1"/>
      <c r="E86" s="1"/>
      <c r="F86" s="1"/>
      <c r="G86" s="1"/>
      <c r="H86" s="1"/>
      <c r="I86" s="1"/>
      <c r="J86" s="1"/>
      <c r="K86" s="1"/>
      <c r="L86" s="1"/>
      <c r="M86" s="1"/>
      <c r="N86" s="1"/>
      <c r="O86" s="1"/>
      <c r="P86" s="1"/>
      <c r="Q86" s="1"/>
      <c r="R86" s="1"/>
      <c r="S86" s="1"/>
      <c r="T86" s="1"/>
      <c r="U86" s="1"/>
      <c r="V86" s="1"/>
      <c r="W86" s="1"/>
    </row>
    <row r="87" spans="1:23">
      <c r="A87" s="1"/>
      <c r="B87" s="1"/>
      <c r="C87" s="1"/>
      <c r="D87" s="1"/>
      <c r="E87" s="1"/>
      <c r="F87" s="1"/>
      <c r="G87" s="1"/>
      <c r="H87" s="1"/>
      <c r="I87" s="1"/>
      <c r="J87" s="1"/>
      <c r="K87" s="1"/>
      <c r="L87" s="1"/>
      <c r="M87" s="1"/>
      <c r="N87" s="1"/>
      <c r="O87" s="1"/>
      <c r="P87" s="1"/>
      <c r="Q87" s="1"/>
      <c r="R87" s="1"/>
      <c r="S87" s="1"/>
      <c r="T87" s="1"/>
      <c r="U87" s="1"/>
      <c r="V87" s="1"/>
      <c r="W87" s="1"/>
    </row>
    <row r="88" spans="1:23">
      <c r="A88" s="1"/>
      <c r="B88" s="1"/>
      <c r="C88" s="1"/>
      <c r="D88" s="1"/>
      <c r="E88" s="1"/>
      <c r="F88" s="1"/>
      <c r="G88" s="1"/>
      <c r="H88" s="1"/>
      <c r="I88" s="1"/>
      <c r="J88" s="1"/>
      <c r="K88" s="1"/>
      <c r="L88" s="1"/>
      <c r="M88" s="1"/>
      <c r="N88" s="1"/>
      <c r="O88" s="1"/>
      <c r="P88" s="1"/>
      <c r="Q88" s="1"/>
      <c r="R88" s="1"/>
      <c r="S88" s="1"/>
      <c r="T88" s="1"/>
      <c r="U88" s="1"/>
      <c r="V88" s="1"/>
      <c r="W88" s="1"/>
    </row>
    <row r="89" spans="1:23">
      <c r="A89" s="1"/>
      <c r="B89" s="1"/>
      <c r="C89" s="1"/>
      <c r="D89" s="1"/>
      <c r="E89" s="1"/>
      <c r="F89" s="1"/>
      <c r="G89" s="1"/>
      <c r="H89" s="1"/>
      <c r="I89" s="1"/>
      <c r="J89" s="1"/>
      <c r="K89" s="1"/>
      <c r="L89" s="1"/>
      <c r="M89" s="1"/>
      <c r="N89" s="1"/>
      <c r="O89" s="1"/>
      <c r="P89" s="1"/>
      <c r="Q89" s="1"/>
      <c r="R89" s="1"/>
      <c r="S89" s="1"/>
      <c r="T89" s="1"/>
      <c r="U89" s="1"/>
      <c r="V89" s="1"/>
      <c r="W89" s="1"/>
    </row>
    <row r="90" spans="1:23">
      <c r="A90" s="1"/>
      <c r="B90" s="1"/>
      <c r="C90" s="1"/>
      <c r="D90" s="1"/>
      <c r="E90" s="1"/>
      <c r="F90" s="1"/>
      <c r="G90" s="1"/>
      <c r="H90" s="1"/>
      <c r="I90" s="1"/>
      <c r="J90" s="1"/>
      <c r="K90" s="1"/>
      <c r="L90" s="1"/>
      <c r="M90" s="1"/>
      <c r="N90" s="1"/>
      <c r="O90" s="1"/>
      <c r="P90" s="1"/>
      <c r="Q90" s="1"/>
      <c r="R90" s="1"/>
      <c r="S90" s="1"/>
      <c r="T90" s="1"/>
      <c r="U90" s="1"/>
      <c r="V90" s="1"/>
      <c r="W90" s="1"/>
    </row>
    <row r="91" spans="1:23">
      <c r="A91" s="1"/>
      <c r="B91" s="1"/>
      <c r="C91" s="1"/>
      <c r="D91" s="1"/>
      <c r="E91" s="1"/>
      <c r="F91" s="1"/>
      <c r="G91" s="1"/>
      <c r="H91" s="1"/>
      <c r="I91" s="1"/>
      <c r="J91" s="1"/>
      <c r="K91" s="1"/>
      <c r="L91" s="1"/>
      <c r="M91" s="1"/>
      <c r="N91" s="1"/>
      <c r="O91" s="1"/>
      <c r="P91" s="1"/>
      <c r="Q91" s="1"/>
      <c r="R91" s="1"/>
      <c r="S91" s="1"/>
      <c r="T91" s="1"/>
      <c r="U91" s="1"/>
      <c r="V91" s="1"/>
      <c r="W91" s="1"/>
    </row>
    <row r="92" spans="1:23">
      <c r="A92" s="1"/>
      <c r="B92" s="1"/>
      <c r="C92" s="1"/>
      <c r="D92" s="1"/>
      <c r="E92" s="1"/>
      <c r="F92" s="1"/>
      <c r="G92" s="1"/>
      <c r="H92" s="1"/>
      <c r="I92" s="1"/>
      <c r="J92" s="1"/>
      <c r="K92" s="1"/>
      <c r="L92" s="1"/>
      <c r="M92" s="1"/>
      <c r="N92" s="1"/>
      <c r="O92" s="1"/>
      <c r="P92" s="1"/>
      <c r="Q92" s="1"/>
      <c r="R92" s="1"/>
      <c r="S92" s="1"/>
      <c r="T92" s="1"/>
      <c r="U92" s="1"/>
      <c r="V92" s="1"/>
      <c r="W92" s="1"/>
    </row>
    <row r="93" spans="1:23">
      <c r="A93" s="1"/>
      <c r="B93" s="1"/>
      <c r="C93" s="1"/>
      <c r="D93" s="1"/>
      <c r="E93" s="1"/>
      <c r="F93" s="1"/>
      <c r="G93" s="1"/>
      <c r="H93" s="1"/>
      <c r="I93" s="1"/>
      <c r="J93" s="1"/>
      <c r="K93" s="1"/>
      <c r="L93" s="1"/>
      <c r="M93" s="1"/>
      <c r="N93" s="1"/>
      <c r="O93" s="1"/>
      <c r="P93" s="1"/>
      <c r="Q93" s="1"/>
      <c r="R93" s="1"/>
      <c r="S93" s="1"/>
      <c r="T93" s="1"/>
      <c r="U93" s="1"/>
      <c r="V93" s="1"/>
      <c r="W93" s="1"/>
    </row>
    <row r="94" spans="1:23">
      <c r="A94" s="1"/>
      <c r="B94" s="1"/>
      <c r="C94" s="1"/>
      <c r="D94" s="1"/>
      <c r="E94" s="1"/>
      <c r="F94" s="1"/>
      <c r="G94" s="1"/>
      <c r="H94" s="1"/>
      <c r="I94" s="1"/>
      <c r="J94" s="1"/>
      <c r="K94" s="1"/>
      <c r="L94" s="1"/>
      <c r="M94" s="1"/>
      <c r="N94" s="1"/>
      <c r="O94" s="1"/>
      <c r="P94" s="1"/>
      <c r="Q94" s="1"/>
      <c r="R94" s="1"/>
      <c r="S94" s="1"/>
      <c r="T94" s="1"/>
      <c r="U94" s="1"/>
      <c r="V94" s="1"/>
      <c r="W94" s="1"/>
    </row>
    <row r="95" spans="1:23">
      <c r="A95" s="1"/>
      <c r="B95" s="1"/>
      <c r="C95" s="1"/>
      <c r="D95" s="1"/>
      <c r="E95" s="1"/>
      <c r="F95" s="1"/>
      <c r="G95" s="1"/>
      <c r="H95" s="1"/>
      <c r="I95" s="1"/>
      <c r="J95" s="1"/>
      <c r="K95" s="1"/>
      <c r="L95" s="1"/>
      <c r="M95" s="1"/>
      <c r="N95" s="1"/>
      <c r="O95" s="1"/>
      <c r="P95" s="1"/>
      <c r="Q95" s="1"/>
      <c r="R95" s="1"/>
      <c r="S95" s="1"/>
      <c r="T95" s="1"/>
      <c r="U95" s="1"/>
      <c r="V95" s="1"/>
      <c r="W95" s="1"/>
    </row>
    <row r="96" spans="1:23">
      <c r="A96" s="1"/>
      <c r="B96" s="1"/>
      <c r="C96" s="1"/>
      <c r="D96" s="1"/>
      <c r="E96" s="1"/>
      <c r="F96" s="1"/>
      <c r="G96" s="1"/>
      <c r="H96" s="1"/>
      <c r="I96" s="1"/>
      <c r="J96" s="1"/>
      <c r="K96" s="1"/>
      <c r="L96" s="1"/>
      <c r="M96" s="1"/>
      <c r="N96" s="1"/>
      <c r="O96" s="1"/>
      <c r="P96" s="1"/>
      <c r="Q96" s="1"/>
      <c r="R96" s="1"/>
      <c r="S96" s="1"/>
      <c r="T96" s="1"/>
      <c r="U96" s="1"/>
      <c r="V96" s="1"/>
      <c r="W96" s="1"/>
    </row>
    <row r="97" spans="1:23">
      <c r="A97" s="1"/>
      <c r="B97" s="1"/>
      <c r="C97" s="1"/>
      <c r="D97" s="1"/>
      <c r="E97" s="1"/>
      <c r="F97" s="1"/>
      <c r="G97" s="1"/>
      <c r="H97" s="1"/>
      <c r="I97" s="1"/>
      <c r="J97" s="1"/>
      <c r="K97" s="1"/>
      <c r="L97" s="1"/>
      <c r="M97" s="1"/>
      <c r="N97" s="1"/>
      <c r="O97" s="1"/>
      <c r="P97" s="1"/>
      <c r="Q97" s="1"/>
      <c r="R97" s="1"/>
      <c r="S97" s="1"/>
      <c r="T97" s="1"/>
      <c r="U97" s="1"/>
      <c r="V97" s="1"/>
      <c r="W97" s="1"/>
    </row>
    <row r="98" spans="1:23">
      <c r="A98" s="1"/>
      <c r="B98" s="1"/>
      <c r="C98" s="1"/>
      <c r="D98" s="1"/>
      <c r="E98" s="1"/>
      <c r="F98" s="1"/>
      <c r="G98" s="1"/>
      <c r="H98" s="1"/>
      <c r="I98" s="1"/>
      <c r="J98" s="1"/>
      <c r="K98" s="1"/>
      <c r="L98" s="1"/>
      <c r="M98" s="1"/>
      <c r="N98" s="1"/>
      <c r="O98" s="1"/>
      <c r="P98" s="1"/>
      <c r="Q98" s="1"/>
      <c r="R98" s="1"/>
      <c r="S98" s="1"/>
      <c r="T98" s="1"/>
      <c r="U98" s="1"/>
      <c r="V98" s="1"/>
      <c r="W98" s="1"/>
    </row>
    <row r="99" spans="1:23">
      <c r="A99" s="1"/>
      <c r="B99" s="1"/>
      <c r="C99" s="1"/>
      <c r="D99" s="1"/>
      <c r="E99" s="1"/>
      <c r="F99" s="1"/>
      <c r="G99" s="1"/>
      <c r="H99" s="1"/>
      <c r="I99" s="1"/>
      <c r="J99" s="1"/>
      <c r="K99" s="1"/>
      <c r="L99" s="1"/>
      <c r="M99" s="1"/>
      <c r="N99" s="1"/>
      <c r="O99" s="1"/>
      <c r="P99" s="1"/>
      <c r="Q99" s="1"/>
      <c r="R99" s="1"/>
      <c r="S99" s="1"/>
      <c r="T99" s="1"/>
      <c r="U99" s="1"/>
      <c r="V99" s="1"/>
      <c r="W99" s="1"/>
    </row>
    <row r="100" spans="1:23">
      <c r="A100" s="1"/>
      <c r="B100" s="1"/>
      <c r="C100" s="1"/>
      <c r="D100" s="1"/>
      <c r="E100" s="1"/>
      <c r="F100" s="1"/>
      <c r="G100" s="1"/>
      <c r="H100" s="1"/>
      <c r="I100" s="1"/>
      <c r="J100" s="1"/>
      <c r="K100" s="1"/>
      <c r="L100" s="1"/>
      <c r="M100" s="1"/>
      <c r="N100" s="1"/>
      <c r="O100" s="1"/>
      <c r="P100" s="1"/>
      <c r="Q100" s="1"/>
      <c r="R100" s="1"/>
      <c r="S100" s="1"/>
      <c r="T100" s="1"/>
      <c r="U100" s="1"/>
      <c r="V100" s="1"/>
      <c r="W100" s="1"/>
    </row>
    <row r="101" spans="1:23">
      <c r="A101" s="1"/>
      <c r="B101" s="1"/>
      <c r="C101" s="1"/>
      <c r="D101" s="1"/>
      <c r="E101" s="1"/>
      <c r="F101" s="1"/>
      <c r="G101" s="1"/>
      <c r="H101" s="1"/>
      <c r="I101" s="1"/>
      <c r="J101" s="1"/>
      <c r="K101" s="1"/>
      <c r="L101" s="1"/>
      <c r="M101" s="1"/>
      <c r="N101" s="1"/>
      <c r="O101" s="1"/>
      <c r="P101" s="1"/>
      <c r="Q101" s="1"/>
      <c r="R101" s="1"/>
      <c r="S101" s="1"/>
      <c r="T101" s="1"/>
      <c r="U101" s="1"/>
      <c r="V101" s="1"/>
      <c r="W101" s="1"/>
    </row>
    <row r="102" spans="1:23">
      <c r="A102" s="1"/>
      <c r="B102" s="1"/>
      <c r="C102" s="1"/>
      <c r="D102" s="1"/>
      <c r="E102" s="1"/>
      <c r="F102" s="1"/>
      <c r="G102" s="1"/>
      <c r="H102" s="1"/>
      <c r="I102" s="1"/>
      <c r="J102" s="1"/>
      <c r="K102" s="1"/>
      <c r="L102" s="1"/>
      <c r="M102" s="1"/>
      <c r="N102" s="1"/>
      <c r="O102" s="1"/>
      <c r="P102" s="1"/>
      <c r="Q102" s="1"/>
      <c r="R102" s="1"/>
      <c r="S102" s="1"/>
      <c r="T102" s="1"/>
      <c r="U102" s="1"/>
      <c r="V102" s="1"/>
      <c r="W102" s="1"/>
    </row>
    <row r="103" spans="1:23">
      <c r="A103" s="1"/>
      <c r="B103" s="1"/>
      <c r="C103" s="1"/>
      <c r="D103" s="1"/>
      <c r="E103" s="1"/>
      <c r="F103" s="1"/>
      <c r="G103" s="1"/>
      <c r="H103" s="1"/>
      <c r="I103" s="1"/>
      <c r="J103" s="1"/>
      <c r="K103" s="1"/>
      <c r="L103" s="1"/>
      <c r="M103" s="1"/>
      <c r="N103" s="1"/>
      <c r="O103" s="1"/>
      <c r="P103" s="1"/>
      <c r="Q103" s="1"/>
      <c r="R103" s="1"/>
      <c r="S103" s="1"/>
      <c r="T103" s="1"/>
      <c r="U103" s="1"/>
      <c r="V103" s="1"/>
      <c r="W103" s="1"/>
    </row>
    <row r="104" spans="1:23">
      <c r="A104" s="1"/>
      <c r="B104" s="1"/>
      <c r="C104" s="1"/>
      <c r="D104" s="1"/>
      <c r="E104" s="1"/>
      <c r="F104" s="1"/>
      <c r="G104" s="1"/>
      <c r="H104" s="1"/>
      <c r="I104" s="1"/>
      <c r="J104" s="1"/>
      <c r="K104" s="1"/>
      <c r="L104" s="1"/>
      <c r="M104" s="1"/>
      <c r="N104" s="1"/>
      <c r="O104" s="1"/>
      <c r="P104" s="1"/>
      <c r="Q104" s="1"/>
      <c r="R104" s="1"/>
      <c r="S104" s="1"/>
      <c r="T104" s="1"/>
      <c r="U104" s="1"/>
      <c r="V104" s="1"/>
      <c r="W104" s="1"/>
    </row>
    <row r="105" spans="1:23">
      <c r="A105" s="1"/>
      <c r="B105" s="1"/>
      <c r="C105" s="1"/>
      <c r="D105" s="1"/>
      <c r="E105" s="1"/>
      <c r="F105" s="1"/>
      <c r="G105" s="1"/>
      <c r="H105" s="1"/>
      <c r="I105" s="1"/>
      <c r="J105" s="1"/>
      <c r="K105" s="1"/>
      <c r="L105" s="1"/>
      <c r="M105" s="1"/>
      <c r="N105" s="1"/>
      <c r="O105" s="1"/>
      <c r="P105" s="1"/>
      <c r="Q105" s="1"/>
      <c r="R105" s="1"/>
      <c r="S105" s="1"/>
      <c r="T105" s="1"/>
      <c r="U105" s="1"/>
      <c r="V105" s="1"/>
      <c r="W105" s="1"/>
    </row>
    <row r="106" spans="1:23">
      <c r="A106" s="1"/>
      <c r="B106" s="1"/>
      <c r="C106" s="1"/>
      <c r="D106" s="1"/>
      <c r="E106" s="1"/>
      <c r="F106" s="1"/>
      <c r="G106" s="1"/>
      <c r="H106" s="1"/>
      <c r="I106" s="1"/>
      <c r="J106" s="1"/>
      <c r="K106" s="1"/>
      <c r="L106" s="1"/>
      <c r="M106" s="1"/>
      <c r="N106" s="1"/>
      <c r="O106" s="1"/>
      <c r="P106" s="1"/>
      <c r="Q106" s="1"/>
      <c r="R106" s="1"/>
      <c r="S106" s="1"/>
      <c r="T106" s="1"/>
      <c r="U106" s="1"/>
      <c r="V106" s="1"/>
      <c r="W106" s="1"/>
    </row>
    <row r="107" spans="1:23">
      <c r="A107" s="1"/>
      <c r="B107" s="1"/>
      <c r="C107" s="1"/>
      <c r="D107" s="1"/>
      <c r="E107" s="1"/>
      <c r="F107" s="1"/>
      <c r="G107" s="1"/>
      <c r="H107" s="1"/>
      <c r="I107" s="1"/>
      <c r="J107" s="1"/>
      <c r="K107" s="1"/>
      <c r="L107" s="1"/>
      <c r="M107" s="1"/>
      <c r="N107" s="1"/>
      <c r="O107" s="1"/>
      <c r="P107" s="1"/>
      <c r="Q107" s="1"/>
      <c r="R107" s="1"/>
      <c r="S107" s="1"/>
      <c r="T107" s="1"/>
      <c r="U107" s="1"/>
      <c r="V107" s="1"/>
      <c r="W107" s="1"/>
    </row>
    <row r="108" spans="1:23">
      <c r="A108" s="1"/>
      <c r="B108" s="1"/>
      <c r="C108" s="1"/>
      <c r="D108" s="1"/>
      <c r="E108" s="1"/>
      <c r="F108" s="1"/>
      <c r="G108" s="1"/>
      <c r="H108" s="1"/>
      <c r="I108" s="1"/>
      <c r="J108" s="1"/>
      <c r="K108" s="1"/>
      <c r="L108" s="1"/>
      <c r="M108" s="1"/>
      <c r="N108" s="1"/>
      <c r="O108" s="1"/>
      <c r="P108" s="1"/>
      <c r="Q108" s="1"/>
      <c r="R108" s="1"/>
      <c r="S108" s="1"/>
      <c r="T108" s="1"/>
      <c r="U108" s="1"/>
      <c r="V108" s="1"/>
      <c r="W108" s="1"/>
    </row>
    <row r="109" spans="1:23">
      <c r="A109" s="1"/>
      <c r="B109" s="1"/>
      <c r="C109" s="1"/>
      <c r="D109" s="1"/>
      <c r="E109" s="1"/>
      <c r="F109" s="1"/>
      <c r="G109" s="1"/>
      <c r="H109" s="1"/>
      <c r="I109" s="1"/>
      <c r="J109" s="1"/>
      <c r="K109" s="1"/>
      <c r="L109" s="1"/>
      <c r="M109" s="1"/>
      <c r="N109" s="1"/>
      <c r="O109" s="1"/>
      <c r="P109" s="1"/>
      <c r="Q109" s="1"/>
      <c r="R109" s="1"/>
      <c r="S109" s="1"/>
      <c r="T109" s="1"/>
      <c r="U109" s="1"/>
      <c r="V109" s="1"/>
      <c r="W109" s="1"/>
    </row>
    <row r="110" spans="1:23">
      <c r="A110" s="1"/>
      <c r="B110" s="1"/>
      <c r="C110" s="1"/>
      <c r="D110" s="1"/>
      <c r="E110" s="1"/>
      <c r="F110" s="1"/>
      <c r="G110" s="1"/>
      <c r="H110" s="1"/>
      <c r="I110" s="1"/>
      <c r="J110" s="1"/>
      <c r="K110" s="1"/>
      <c r="L110" s="1"/>
      <c r="M110" s="1"/>
      <c r="N110" s="1"/>
      <c r="O110" s="1"/>
      <c r="P110" s="1"/>
      <c r="Q110" s="1"/>
      <c r="R110" s="1"/>
      <c r="S110" s="1"/>
      <c r="T110" s="1"/>
      <c r="U110" s="1"/>
      <c r="V110" s="1"/>
      <c r="W110" s="1"/>
    </row>
    <row r="111" spans="1:23">
      <c r="A111" s="1"/>
      <c r="B111" s="1"/>
      <c r="C111" s="1"/>
      <c r="D111" s="1"/>
      <c r="E111" s="1"/>
      <c r="F111" s="1"/>
      <c r="G111" s="1"/>
      <c r="H111" s="1"/>
      <c r="I111" s="1"/>
      <c r="J111" s="1"/>
      <c r="K111" s="1"/>
      <c r="L111" s="1"/>
      <c r="M111" s="1"/>
      <c r="N111" s="1"/>
      <c r="O111" s="1"/>
      <c r="P111" s="1"/>
      <c r="Q111" s="1"/>
      <c r="R111" s="1"/>
      <c r="S111" s="1"/>
      <c r="T111" s="1"/>
      <c r="U111" s="1"/>
      <c r="V111" s="1"/>
      <c r="W111" s="1"/>
    </row>
    <row r="112" spans="1:23">
      <c r="A112" s="1"/>
      <c r="B112" s="1"/>
      <c r="C112" s="1"/>
      <c r="D112" s="1"/>
      <c r="E112" s="1"/>
      <c r="F112" s="1"/>
      <c r="G112" s="1"/>
      <c r="H112" s="1"/>
      <c r="I112" s="1"/>
      <c r="J112" s="1"/>
      <c r="K112" s="1"/>
      <c r="L112" s="1"/>
      <c r="M112" s="1"/>
      <c r="N112" s="1"/>
      <c r="O112" s="1"/>
      <c r="P112" s="1"/>
      <c r="Q112" s="1"/>
      <c r="R112" s="1"/>
      <c r="S112" s="1"/>
      <c r="T112" s="1"/>
      <c r="U112" s="1"/>
      <c r="V112" s="1"/>
      <c r="W112" s="1"/>
    </row>
    <row r="113" spans="1:23">
      <c r="A113" s="1"/>
      <c r="B113" s="1"/>
      <c r="C113" s="1"/>
      <c r="D113" s="1"/>
      <c r="E113" s="1"/>
      <c r="F113" s="1"/>
      <c r="G113" s="1"/>
      <c r="H113" s="1"/>
      <c r="I113" s="1"/>
      <c r="J113" s="1"/>
      <c r="K113" s="1"/>
      <c r="L113" s="1"/>
      <c r="M113" s="1"/>
      <c r="N113" s="1"/>
      <c r="O113" s="1"/>
      <c r="P113" s="1"/>
      <c r="Q113" s="1"/>
      <c r="R113" s="1"/>
      <c r="S113" s="1"/>
      <c r="T113" s="1"/>
      <c r="U113" s="1"/>
      <c r="V113" s="1"/>
      <c r="W113" s="1"/>
    </row>
    <row r="114" spans="1:23">
      <c r="A114" s="1"/>
      <c r="B114" s="1"/>
      <c r="C114" s="1"/>
      <c r="D114" s="1"/>
      <c r="E114" s="1"/>
      <c r="F114" s="1"/>
      <c r="G114" s="1"/>
      <c r="H114" s="1"/>
      <c r="I114" s="1"/>
      <c r="J114" s="1"/>
      <c r="K114" s="1"/>
      <c r="L114" s="1"/>
      <c r="M114" s="1"/>
      <c r="N114" s="1"/>
      <c r="O114" s="1"/>
      <c r="P114" s="1"/>
      <c r="Q114" s="1"/>
      <c r="R114" s="1"/>
      <c r="S114" s="1"/>
      <c r="T114" s="1"/>
      <c r="U114" s="1"/>
      <c r="V114" s="1"/>
      <c r="W114" s="1"/>
    </row>
    <row r="115" spans="1:23">
      <c r="A115" s="1"/>
      <c r="B115" s="1"/>
      <c r="C115" s="1"/>
      <c r="D115" s="1"/>
      <c r="E115" s="1"/>
      <c r="F115" s="1"/>
      <c r="G115" s="1"/>
      <c r="H115" s="1"/>
      <c r="I115" s="1"/>
      <c r="J115" s="1"/>
      <c r="K115" s="1"/>
      <c r="L115" s="1"/>
      <c r="M115" s="1"/>
      <c r="N115" s="1"/>
      <c r="O115" s="1"/>
      <c r="P115" s="1"/>
      <c r="Q115" s="1"/>
      <c r="R115" s="1"/>
      <c r="S115" s="1"/>
      <c r="T115" s="1"/>
      <c r="U115" s="1"/>
      <c r="V115" s="1"/>
      <c r="W115" s="1"/>
    </row>
    <row r="116" spans="1:23">
      <c r="A116" s="1"/>
      <c r="B116" s="1"/>
      <c r="C116" s="1"/>
      <c r="D116" s="1"/>
      <c r="E116" s="1"/>
      <c r="F116" s="1"/>
      <c r="G116" s="1"/>
      <c r="H116" s="1"/>
      <c r="I116" s="1"/>
      <c r="J116" s="1"/>
      <c r="K116" s="1"/>
      <c r="L116" s="1"/>
      <c r="M116" s="1"/>
      <c r="N116" s="1"/>
      <c r="O116" s="1"/>
      <c r="P116" s="1"/>
      <c r="Q116" s="1"/>
      <c r="R116" s="1"/>
      <c r="S116" s="1"/>
      <c r="T116" s="1"/>
      <c r="U116" s="1"/>
      <c r="V116" s="1"/>
      <c r="W116" s="1"/>
    </row>
    <row r="117" spans="1:23">
      <c r="A117" s="1"/>
      <c r="B117" s="1"/>
      <c r="C117" s="1"/>
      <c r="D117" s="1"/>
      <c r="E117" s="1"/>
      <c r="F117" s="1"/>
      <c r="G117" s="1"/>
      <c r="H117" s="1"/>
      <c r="I117" s="1"/>
      <c r="J117" s="1"/>
      <c r="K117" s="1"/>
      <c r="L117" s="1"/>
      <c r="M117" s="1"/>
      <c r="N117" s="1"/>
      <c r="O117" s="1"/>
      <c r="P117" s="1"/>
      <c r="Q117" s="1"/>
      <c r="R117" s="1"/>
      <c r="S117" s="1"/>
      <c r="T117" s="1"/>
      <c r="U117" s="1"/>
      <c r="V117" s="1"/>
      <c r="W117" s="1"/>
    </row>
    <row r="118" spans="1:23">
      <c r="A118" s="1"/>
      <c r="B118" s="1"/>
      <c r="C118" s="1"/>
      <c r="D118" s="1"/>
      <c r="E118" s="1"/>
      <c r="F118" s="1"/>
      <c r="G118" s="1"/>
      <c r="H118" s="1"/>
      <c r="I118" s="1"/>
      <c r="J118" s="1"/>
      <c r="K118" s="1"/>
      <c r="L118" s="1"/>
      <c r="M118" s="1"/>
      <c r="N118" s="1"/>
      <c r="O118" s="1"/>
      <c r="P118" s="1"/>
      <c r="Q118" s="1"/>
      <c r="R118" s="1"/>
      <c r="S118" s="1"/>
      <c r="T118" s="1"/>
      <c r="U118" s="1"/>
      <c r="V118" s="1"/>
      <c r="W118" s="1"/>
    </row>
    <row r="119" spans="1:23">
      <c r="A119" s="1"/>
      <c r="B119" s="1"/>
      <c r="C119" s="1"/>
      <c r="D119" s="1"/>
      <c r="E119" s="1"/>
      <c r="F119" s="1"/>
      <c r="G119" s="1"/>
      <c r="H119" s="1"/>
      <c r="I119" s="1"/>
      <c r="J119" s="1"/>
      <c r="K119" s="1"/>
      <c r="L119" s="1"/>
      <c r="M119" s="1"/>
      <c r="N119" s="1"/>
      <c r="O119" s="1"/>
      <c r="P119" s="1"/>
      <c r="Q119" s="1"/>
      <c r="R119" s="1"/>
      <c r="S119" s="1"/>
      <c r="T119" s="1"/>
      <c r="U119" s="1"/>
      <c r="V119" s="1"/>
      <c r="W119" s="1"/>
    </row>
    <row r="120" spans="1:23">
      <c r="A120" s="1"/>
      <c r="B120" s="1"/>
      <c r="C120" s="1"/>
      <c r="D120" s="1"/>
      <c r="E120" s="1"/>
      <c r="F120" s="1"/>
      <c r="G120" s="1"/>
      <c r="H120" s="1"/>
      <c r="I120" s="1"/>
      <c r="J120" s="1"/>
      <c r="K120" s="1"/>
      <c r="L120" s="1"/>
      <c r="M120" s="1"/>
      <c r="N120" s="1"/>
      <c r="O120" s="1"/>
      <c r="P120" s="1"/>
      <c r="Q120" s="1"/>
      <c r="R120" s="1"/>
      <c r="S120" s="1"/>
      <c r="T120" s="1"/>
      <c r="U120" s="1"/>
      <c r="V120" s="1"/>
      <c r="W120" s="1"/>
    </row>
    <row r="121" spans="1:23">
      <c r="A121" s="1"/>
      <c r="B121" s="1"/>
      <c r="C121" s="1"/>
      <c r="D121" s="1"/>
      <c r="E121" s="1"/>
      <c r="F121" s="1"/>
      <c r="G121" s="1"/>
      <c r="H121" s="1"/>
      <c r="I121" s="1"/>
      <c r="J121" s="1"/>
      <c r="K121" s="1"/>
      <c r="L121" s="1"/>
      <c r="M121" s="1"/>
      <c r="N121" s="1"/>
      <c r="O121" s="1"/>
      <c r="P121" s="1"/>
      <c r="Q121" s="1"/>
      <c r="R121" s="1"/>
      <c r="S121" s="1"/>
      <c r="T121" s="1"/>
      <c r="U121" s="1"/>
      <c r="V121" s="1"/>
      <c r="W121" s="1"/>
    </row>
    <row r="122" spans="1:23">
      <c r="A122" s="1"/>
      <c r="B122" s="1"/>
      <c r="C122" s="1"/>
      <c r="D122" s="1"/>
      <c r="E122" s="1"/>
      <c r="F122" s="1"/>
      <c r="G122" s="1"/>
      <c r="H122" s="1"/>
      <c r="I122" s="1"/>
      <c r="J122" s="1"/>
      <c r="K122" s="1"/>
      <c r="L122" s="1"/>
      <c r="M122" s="1"/>
      <c r="N122" s="1"/>
      <c r="O122" s="1"/>
      <c r="P122" s="1"/>
      <c r="Q122" s="1"/>
      <c r="R122" s="1"/>
      <c r="S122" s="1"/>
      <c r="T122" s="1"/>
      <c r="U122" s="1"/>
      <c r="V122" s="1"/>
      <c r="W122" s="1"/>
    </row>
    <row r="123" spans="1:23">
      <c r="A123" s="1"/>
      <c r="B123" s="1"/>
      <c r="C123" s="1"/>
      <c r="D123" s="1"/>
      <c r="E123" s="1"/>
      <c r="F123" s="1"/>
      <c r="G123" s="1"/>
      <c r="H123" s="1"/>
      <c r="I123" s="1"/>
      <c r="J123" s="1"/>
      <c r="K123" s="1"/>
      <c r="L123" s="1"/>
      <c r="M123" s="1"/>
      <c r="N123" s="1"/>
      <c r="O123" s="1"/>
      <c r="P123" s="1"/>
      <c r="Q123" s="1"/>
      <c r="R123" s="1"/>
      <c r="S123" s="1"/>
      <c r="T123" s="1"/>
      <c r="U123" s="1"/>
      <c r="V123" s="1"/>
      <c r="W123" s="1"/>
    </row>
    <row r="124" spans="1:23">
      <c r="A124" s="1"/>
      <c r="B124" s="1"/>
      <c r="C124" s="1"/>
      <c r="D124" s="1"/>
      <c r="E124" s="1"/>
      <c r="F124" s="1"/>
      <c r="G124" s="1"/>
      <c r="H124" s="1"/>
      <c r="I124" s="1"/>
      <c r="J124" s="1"/>
      <c r="K124" s="1"/>
      <c r="L124" s="1"/>
      <c r="M124" s="1"/>
      <c r="N124" s="1"/>
      <c r="O124" s="1"/>
      <c r="P124" s="1"/>
      <c r="Q124" s="1"/>
      <c r="R124" s="1"/>
      <c r="S124" s="1"/>
      <c r="T124" s="1"/>
      <c r="U124" s="1"/>
      <c r="V124" s="1"/>
      <c r="W124" s="1"/>
    </row>
    <row r="125" spans="1:23">
      <c r="A125" s="1"/>
      <c r="B125" s="1"/>
      <c r="C125" s="1"/>
      <c r="D125" s="1"/>
      <c r="E125" s="1"/>
      <c r="F125" s="1"/>
      <c r="G125" s="1"/>
      <c r="H125" s="1"/>
      <c r="I125" s="1"/>
      <c r="J125" s="1"/>
      <c r="K125" s="1"/>
      <c r="L125" s="1"/>
      <c r="M125" s="1"/>
      <c r="N125" s="1"/>
      <c r="O125" s="1"/>
      <c r="P125" s="1"/>
      <c r="Q125" s="1"/>
      <c r="R125" s="1"/>
      <c r="S125" s="1"/>
      <c r="T125" s="1"/>
      <c r="U125" s="1"/>
      <c r="V125" s="1"/>
      <c r="W125" s="1"/>
    </row>
    <row r="126" spans="1:23">
      <c r="A126" s="1"/>
      <c r="B126" s="1"/>
      <c r="C126" s="1"/>
      <c r="D126" s="1"/>
      <c r="E126" s="1"/>
      <c r="F126" s="1"/>
      <c r="G126" s="1"/>
      <c r="H126" s="1"/>
      <c r="I126" s="1"/>
      <c r="J126" s="1"/>
      <c r="K126" s="1"/>
      <c r="L126" s="1"/>
      <c r="M126" s="1"/>
      <c r="N126" s="1"/>
      <c r="O126" s="1"/>
      <c r="P126" s="1"/>
      <c r="Q126" s="1"/>
      <c r="R126" s="1"/>
      <c r="S126" s="1"/>
      <c r="T126" s="1"/>
      <c r="U126" s="1"/>
      <c r="V126" s="1"/>
      <c r="W126" s="1"/>
    </row>
    <row r="127" spans="1:23">
      <c r="A127" s="1"/>
      <c r="B127" s="1"/>
      <c r="C127" s="1"/>
      <c r="D127" s="1"/>
      <c r="E127" s="1"/>
      <c r="F127" s="1"/>
      <c r="G127" s="1"/>
      <c r="H127" s="1"/>
      <c r="I127" s="1"/>
      <c r="J127" s="1"/>
      <c r="K127" s="1"/>
      <c r="L127" s="1"/>
      <c r="M127" s="1"/>
      <c r="N127" s="1"/>
      <c r="O127" s="1"/>
      <c r="P127" s="1"/>
      <c r="Q127" s="1"/>
      <c r="R127" s="1"/>
      <c r="S127" s="1"/>
      <c r="T127" s="1"/>
      <c r="U127" s="1"/>
      <c r="V127" s="1"/>
      <c r="W127" s="1"/>
    </row>
    <row r="128" spans="1:23">
      <c r="A128" s="1"/>
      <c r="B128" s="1"/>
      <c r="C128" s="1"/>
      <c r="D128" s="1"/>
      <c r="E128" s="1"/>
      <c r="F128" s="1"/>
      <c r="G128" s="1"/>
      <c r="H128" s="1"/>
      <c r="I128" s="1"/>
      <c r="J128" s="1"/>
      <c r="K128" s="1"/>
      <c r="L128" s="1"/>
      <c r="M128" s="1"/>
      <c r="N128" s="1"/>
      <c r="O128" s="1"/>
      <c r="P128" s="1"/>
      <c r="Q128" s="1"/>
      <c r="R128" s="1"/>
      <c r="S128" s="1"/>
      <c r="T128" s="1"/>
      <c r="U128" s="1"/>
      <c r="V128" s="1"/>
      <c r="W128" s="1"/>
    </row>
    <row r="129" spans="1:23">
      <c r="A129" s="1"/>
      <c r="B129" s="1"/>
      <c r="C129" s="1"/>
      <c r="D129" s="1"/>
      <c r="E129" s="1"/>
      <c r="F129" s="1"/>
      <c r="G129" s="1"/>
      <c r="H129" s="1"/>
      <c r="I129" s="1"/>
      <c r="J129" s="1"/>
      <c r="K129" s="1"/>
      <c r="L129" s="1"/>
      <c r="M129" s="1"/>
      <c r="N129" s="1"/>
      <c r="O129" s="1"/>
      <c r="P129" s="1"/>
      <c r="Q129" s="1"/>
      <c r="R129" s="1"/>
      <c r="S129" s="1"/>
      <c r="T129" s="1"/>
      <c r="U129" s="1"/>
      <c r="V129" s="1"/>
      <c r="W129" s="1"/>
    </row>
    <row r="130" spans="1:23">
      <c r="A130" s="1"/>
      <c r="B130" s="1"/>
      <c r="C130" s="1"/>
      <c r="D130" s="1"/>
      <c r="E130" s="1"/>
      <c r="F130" s="1"/>
      <c r="G130" s="1"/>
      <c r="H130" s="1"/>
      <c r="I130" s="1"/>
      <c r="J130" s="1"/>
      <c r="K130" s="1"/>
      <c r="L130" s="1"/>
      <c r="M130" s="1"/>
      <c r="N130" s="1"/>
      <c r="O130" s="1"/>
      <c r="P130" s="1"/>
      <c r="Q130" s="1"/>
      <c r="R130" s="1"/>
      <c r="S130" s="1"/>
      <c r="T130" s="1"/>
      <c r="U130" s="1"/>
      <c r="V130" s="1"/>
      <c r="W130" s="1"/>
    </row>
    <row r="131" spans="1:23">
      <c r="A131" s="1"/>
      <c r="B131" s="1"/>
      <c r="C131" s="1"/>
      <c r="D131" s="1"/>
      <c r="E131" s="1"/>
      <c r="F131" s="1"/>
      <c r="G131" s="1"/>
      <c r="H131" s="1"/>
      <c r="I131" s="1"/>
      <c r="J131" s="1"/>
      <c r="K131" s="1"/>
      <c r="L131" s="1"/>
      <c r="M131" s="1"/>
      <c r="N131" s="1"/>
      <c r="O131" s="1"/>
      <c r="P131" s="1"/>
      <c r="Q131" s="1"/>
      <c r="R131" s="1"/>
      <c r="S131" s="1"/>
      <c r="T131" s="1"/>
      <c r="U131" s="1"/>
      <c r="V131" s="1"/>
      <c r="W131" s="1"/>
    </row>
    <row r="132" spans="1:23">
      <c r="A132" s="1"/>
      <c r="B132" s="1"/>
      <c r="C132" s="1"/>
      <c r="D132" s="1"/>
      <c r="E132" s="1"/>
      <c r="F132" s="1"/>
      <c r="G132" s="1"/>
      <c r="H132" s="1"/>
      <c r="I132" s="1"/>
      <c r="J132" s="1"/>
      <c r="K132" s="1"/>
      <c r="L132" s="1"/>
      <c r="M132" s="1"/>
      <c r="N132" s="1"/>
      <c r="O132" s="1"/>
      <c r="P132" s="1"/>
      <c r="Q132" s="1"/>
      <c r="R132" s="1"/>
      <c r="S132" s="1"/>
      <c r="T132" s="1"/>
      <c r="U132" s="1"/>
      <c r="V132" s="1"/>
      <c r="W132" s="1"/>
    </row>
    <row r="133" spans="1:23">
      <c r="A133" s="1"/>
      <c r="B133" s="1"/>
      <c r="C133" s="1"/>
      <c r="D133" s="1"/>
      <c r="E133" s="1"/>
      <c r="F133" s="1"/>
      <c r="G133" s="1"/>
      <c r="H133" s="1"/>
      <c r="I133" s="1"/>
      <c r="J133" s="1"/>
      <c r="K133" s="1"/>
      <c r="L133" s="1"/>
      <c r="M133" s="1"/>
      <c r="N133" s="1"/>
      <c r="O133" s="1"/>
      <c r="P133" s="1"/>
      <c r="Q133" s="1"/>
      <c r="R133" s="1"/>
      <c r="S133" s="1"/>
      <c r="T133" s="1"/>
      <c r="U133" s="1"/>
      <c r="V133" s="1"/>
      <c r="W133" s="1"/>
    </row>
    <row r="134" spans="1:23">
      <c r="A134" s="1"/>
      <c r="B134" s="1"/>
      <c r="C134" s="1"/>
      <c r="D134" s="1"/>
      <c r="E134" s="1"/>
      <c r="F134" s="1"/>
      <c r="G134" s="1"/>
      <c r="H134" s="1"/>
      <c r="I134" s="1"/>
      <c r="J134" s="1"/>
      <c r="K134" s="1"/>
      <c r="L134" s="1"/>
      <c r="M134" s="1"/>
      <c r="N134" s="1"/>
      <c r="O134" s="1"/>
      <c r="P134" s="1"/>
      <c r="Q134" s="1"/>
      <c r="R134" s="1"/>
      <c r="S134" s="1"/>
      <c r="T134" s="1"/>
      <c r="U134" s="1"/>
      <c r="V134" s="1"/>
      <c r="W134" s="1"/>
    </row>
    <row r="135" spans="1:23">
      <c r="A135" s="1"/>
      <c r="B135" s="1"/>
      <c r="C135" s="1"/>
      <c r="D135" s="1"/>
      <c r="E135" s="1"/>
      <c r="F135" s="1"/>
      <c r="G135" s="1"/>
      <c r="H135" s="1"/>
      <c r="I135" s="1"/>
      <c r="J135" s="1"/>
      <c r="K135" s="1"/>
      <c r="L135" s="1"/>
      <c r="M135" s="1"/>
      <c r="N135" s="1"/>
      <c r="O135" s="1"/>
      <c r="P135" s="1"/>
      <c r="Q135" s="1"/>
      <c r="R135" s="1"/>
      <c r="S135" s="1"/>
      <c r="T135" s="1"/>
      <c r="U135" s="1"/>
      <c r="V135" s="1"/>
      <c r="W135" s="1"/>
    </row>
    <row r="136" spans="1:23">
      <c r="A136" s="1"/>
      <c r="B136" s="1"/>
      <c r="C136" s="1"/>
      <c r="D136" s="1"/>
      <c r="E136" s="1"/>
      <c r="F136" s="1"/>
      <c r="G136" s="1"/>
      <c r="H136" s="1"/>
      <c r="I136" s="1"/>
      <c r="J136" s="1"/>
      <c r="K136" s="1"/>
      <c r="L136" s="1"/>
      <c r="M136" s="1"/>
      <c r="N136" s="1"/>
      <c r="O136" s="1"/>
      <c r="P136" s="1"/>
      <c r="Q136" s="1"/>
      <c r="R136" s="1"/>
      <c r="S136" s="1"/>
      <c r="T136" s="1"/>
      <c r="U136" s="1"/>
      <c r="V136" s="1"/>
      <c r="W136" s="1"/>
    </row>
    <row r="137" spans="1:23">
      <c r="A137" s="1"/>
      <c r="B137" s="1"/>
      <c r="C137" s="1"/>
      <c r="D137" s="1"/>
      <c r="E137" s="1"/>
      <c r="F137" s="1"/>
      <c r="G137" s="1"/>
      <c r="H137" s="1"/>
      <c r="I137" s="1"/>
      <c r="J137" s="1"/>
      <c r="K137" s="1"/>
      <c r="L137" s="1"/>
      <c r="M137" s="1"/>
      <c r="N137" s="1"/>
      <c r="O137" s="1"/>
      <c r="P137" s="1"/>
      <c r="Q137" s="1"/>
      <c r="R137" s="1"/>
      <c r="S137" s="1"/>
      <c r="T137" s="1"/>
      <c r="U137" s="1"/>
      <c r="V137" s="1"/>
      <c r="W137" s="1"/>
    </row>
    <row r="138" spans="1:23">
      <c r="A138" s="1"/>
      <c r="B138" s="1"/>
      <c r="C138" s="1"/>
      <c r="D138" s="1"/>
      <c r="E138" s="1"/>
      <c r="F138" s="1"/>
      <c r="G138" s="1"/>
      <c r="H138" s="1"/>
      <c r="I138" s="1"/>
      <c r="J138" s="1"/>
      <c r="K138" s="1"/>
      <c r="L138" s="1"/>
      <c r="M138" s="1"/>
      <c r="N138" s="1"/>
      <c r="O138" s="1"/>
      <c r="P138" s="1"/>
      <c r="Q138" s="1"/>
      <c r="R138" s="1"/>
      <c r="S138" s="1"/>
      <c r="T138" s="1"/>
      <c r="U138" s="1"/>
      <c r="V138" s="1"/>
      <c r="W138" s="1"/>
    </row>
    <row r="139" spans="1:23">
      <c r="A139" s="1"/>
      <c r="B139" s="1"/>
      <c r="C139" s="1"/>
      <c r="D139" s="1"/>
      <c r="E139" s="1"/>
      <c r="F139" s="1"/>
      <c r="G139" s="1"/>
      <c r="H139" s="1"/>
      <c r="I139" s="1"/>
      <c r="J139" s="1"/>
      <c r="K139" s="1"/>
      <c r="L139" s="1"/>
      <c r="M139" s="1"/>
      <c r="N139" s="1"/>
      <c r="O139" s="1"/>
      <c r="P139" s="1"/>
      <c r="Q139" s="1"/>
      <c r="R139" s="1"/>
      <c r="S139" s="1"/>
      <c r="T139" s="1"/>
      <c r="U139" s="1"/>
      <c r="V139" s="1"/>
      <c r="W139" s="1"/>
    </row>
    <row r="140" spans="1:23">
      <c r="A140" s="1"/>
      <c r="B140" s="1"/>
      <c r="C140" s="1"/>
      <c r="D140" s="1"/>
      <c r="E140" s="1"/>
      <c r="F140" s="1"/>
      <c r="G140" s="1"/>
      <c r="H140" s="1"/>
      <c r="I140" s="1"/>
      <c r="J140" s="1"/>
      <c r="K140" s="1"/>
      <c r="L140" s="1"/>
      <c r="M140" s="1"/>
      <c r="N140" s="1"/>
      <c r="O140" s="1"/>
      <c r="P140" s="1"/>
      <c r="Q140" s="1"/>
      <c r="R140" s="1"/>
      <c r="S140" s="1"/>
      <c r="T140" s="1"/>
      <c r="U140" s="1"/>
      <c r="V140" s="1"/>
      <c r="W140" s="1"/>
    </row>
    <row r="141" spans="1:23">
      <c r="A141" s="1"/>
      <c r="B141" s="1"/>
      <c r="C141" s="1"/>
      <c r="D141" s="1"/>
      <c r="E141" s="1"/>
      <c r="F141" s="1"/>
      <c r="G141" s="1"/>
      <c r="H141" s="1"/>
      <c r="I141" s="1"/>
      <c r="J141" s="1"/>
      <c r="K141" s="1"/>
      <c r="L141" s="1"/>
      <c r="M141" s="1"/>
      <c r="N141" s="1"/>
      <c r="O141" s="1"/>
      <c r="P141" s="1"/>
      <c r="Q141" s="1"/>
      <c r="R141" s="1"/>
      <c r="S141" s="1"/>
      <c r="T141" s="1"/>
      <c r="U141" s="1"/>
      <c r="V141" s="1"/>
      <c r="W141" s="1"/>
    </row>
    <row r="142" spans="1:23">
      <c r="A142" s="1"/>
      <c r="B142" s="1"/>
      <c r="C142" s="1"/>
      <c r="D142" s="1"/>
      <c r="E142" s="1"/>
      <c r="F142" s="1"/>
      <c r="G142" s="1"/>
      <c r="H142" s="1"/>
      <c r="I142" s="1"/>
      <c r="J142" s="1"/>
      <c r="K142" s="1"/>
      <c r="L142" s="1"/>
      <c r="M142" s="1"/>
      <c r="N142" s="1"/>
      <c r="O142" s="1"/>
      <c r="P142" s="1"/>
      <c r="Q142" s="1"/>
      <c r="R142" s="1"/>
      <c r="S142" s="1"/>
      <c r="T142" s="1"/>
      <c r="U142" s="1"/>
      <c r="V142" s="1"/>
      <c r="W142" s="1"/>
    </row>
    <row r="143" spans="1:23">
      <c r="A143" s="1"/>
      <c r="B143" s="1"/>
      <c r="C143" s="1"/>
      <c r="D143" s="1"/>
      <c r="E143" s="1"/>
      <c r="F143" s="1"/>
      <c r="G143" s="1"/>
      <c r="H143" s="1"/>
      <c r="I143" s="1"/>
      <c r="J143" s="1"/>
      <c r="K143" s="1"/>
      <c r="L143" s="1"/>
      <c r="M143" s="1"/>
      <c r="N143" s="1"/>
      <c r="O143" s="1"/>
      <c r="P143" s="1"/>
      <c r="Q143" s="1"/>
      <c r="R143" s="1"/>
      <c r="S143" s="1"/>
      <c r="T143" s="1"/>
      <c r="U143" s="1"/>
      <c r="V143" s="1"/>
      <c r="W143" s="1"/>
    </row>
    <row r="144" spans="1:23">
      <c r="A144" s="1"/>
      <c r="B144" s="1"/>
      <c r="C144" s="1"/>
      <c r="D144" s="1"/>
      <c r="E144" s="1"/>
      <c r="F144" s="1"/>
      <c r="G144" s="1"/>
      <c r="H144" s="1"/>
      <c r="I144" s="1"/>
      <c r="J144" s="1"/>
      <c r="K144" s="1"/>
      <c r="L144" s="1"/>
      <c r="M144" s="1"/>
      <c r="N144" s="1"/>
      <c r="O144" s="1"/>
      <c r="P144" s="1"/>
      <c r="Q144" s="1"/>
      <c r="R144" s="1"/>
      <c r="S144" s="1"/>
      <c r="T144" s="1"/>
      <c r="U144" s="1"/>
      <c r="V144" s="1"/>
      <c r="W144" s="1"/>
    </row>
    <row r="145" spans="1:23">
      <c r="A145" s="1"/>
      <c r="B145" s="1"/>
      <c r="C145" s="1"/>
      <c r="D145" s="1"/>
      <c r="E145" s="1"/>
      <c r="F145" s="1"/>
      <c r="G145" s="1"/>
      <c r="H145" s="1"/>
      <c r="I145" s="1"/>
      <c r="J145" s="1"/>
      <c r="K145" s="1"/>
      <c r="L145" s="1"/>
      <c r="M145" s="1"/>
      <c r="N145" s="1"/>
      <c r="O145" s="1"/>
      <c r="P145" s="1"/>
      <c r="Q145" s="1"/>
      <c r="R145" s="1"/>
      <c r="S145" s="1"/>
      <c r="T145" s="1"/>
      <c r="U145" s="1"/>
      <c r="V145" s="1"/>
      <c r="W145" s="1"/>
    </row>
    <row r="146" spans="1:23">
      <c r="A146" s="1"/>
      <c r="B146" s="1"/>
      <c r="C146" s="1"/>
      <c r="D146" s="1"/>
      <c r="E146" s="1"/>
      <c r="F146" s="1"/>
      <c r="G146" s="1"/>
      <c r="H146" s="1"/>
      <c r="I146" s="1"/>
      <c r="J146" s="1"/>
      <c r="K146" s="1"/>
      <c r="L146" s="1"/>
      <c r="M146" s="1"/>
      <c r="N146" s="1"/>
      <c r="O146" s="1"/>
      <c r="P146" s="1"/>
      <c r="Q146" s="1"/>
      <c r="R146" s="1"/>
      <c r="S146" s="1"/>
      <c r="T146" s="1"/>
      <c r="U146" s="1"/>
      <c r="V146" s="1"/>
      <c r="W146" s="1"/>
    </row>
    <row r="147" spans="1:23">
      <c r="A147" s="1"/>
      <c r="B147" s="1"/>
      <c r="C147" s="1"/>
      <c r="D147" s="1"/>
      <c r="E147" s="1"/>
      <c r="F147" s="1"/>
      <c r="G147" s="1"/>
      <c r="H147" s="1"/>
      <c r="I147" s="1"/>
      <c r="J147" s="1"/>
      <c r="K147" s="1"/>
      <c r="L147" s="1"/>
      <c r="M147" s="1"/>
      <c r="N147" s="1"/>
      <c r="O147" s="1"/>
      <c r="P147" s="1"/>
      <c r="Q147" s="1"/>
      <c r="R147" s="1"/>
      <c r="S147" s="1"/>
      <c r="T147" s="1"/>
      <c r="U147" s="1"/>
      <c r="V147" s="1"/>
      <c r="W147" s="1"/>
    </row>
    <row r="148" spans="1:23">
      <c r="A148" s="1"/>
      <c r="B148" s="1"/>
      <c r="C148" s="1"/>
      <c r="D148" s="1"/>
      <c r="E148" s="1"/>
      <c r="F148" s="1"/>
      <c r="G148" s="1"/>
      <c r="H148" s="1"/>
      <c r="I148" s="1"/>
      <c r="J148" s="1"/>
      <c r="K148" s="1"/>
      <c r="L148" s="1"/>
      <c r="M148" s="1"/>
      <c r="N148" s="1"/>
      <c r="O148" s="1"/>
      <c r="P148" s="1"/>
      <c r="Q148" s="1"/>
      <c r="R148" s="1"/>
      <c r="S148" s="1"/>
      <c r="T148" s="1"/>
      <c r="U148" s="1"/>
      <c r="V148" s="1"/>
      <c r="W148" s="1"/>
    </row>
    <row r="149" spans="1:23">
      <c r="A149" s="1"/>
      <c r="B149" s="1"/>
      <c r="C149" s="1"/>
      <c r="D149" s="1"/>
      <c r="E149" s="1"/>
      <c r="F149" s="1"/>
      <c r="G149" s="1"/>
      <c r="H149" s="1"/>
      <c r="I149" s="1"/>
      <c r="J149" s="1"/>
      <c r="K149" s="1"/>
      <c r="L149" s="1"/>
      <c r="M149" s="1"/>
      <c r="N149" s="1"/>
      <c r="O149" s="1"/>
      <c r="P149" s="1"/>
      <c r="Q149" s="1"/>
      <c r="R149" s="1"/>
      <c r="S149" s="1"/>
      <c r="T149" s="1"/>
      <c r="U149" s="1"/>
      <c r="V149" s="1"/>
      <c r="W149" s="1"/>
    </row>
    <row r="150" spans="1:23">
      <c r="A150" s="1"/>
      <c r="B150" s="1"/>
      <c r="C150" s="1"/>
      <c r="D150" s="1"/>
      <c r="E150" s="1"/>
      <c r="F150" s="1"/>
      <c r="G150" s="1"/>
      <c r="H150" s="1"/>
      <c r="I150" s="1"/>
      <c r="J150" s="1"/>
      <c r="K150" s="1"/>
      <c r="L150" s="1"/>
      <c r="M150" s="1"/>
      <c r="N150" s="1"/>
      <c r="O150" s="1"/>
      <c r="P150" s="1"/>
      <c r="Q150" s="1"/>
      <c r="R150" s="1"/>
      <c r="S150" s="1"/>
      <c r="T150" s="1"/>
      <c r="U150" s="1"/>
      <c r="V150" s="1"/>
      <c r="W150" s="1"/>
    </row>
    <row r="151" spans="1:23">
      <c r="A151" s="1"/>
      <c r="B151" s="1"/>
      <c r="C151" s="1"/>
      <c r="D151" s="1"/>
      <c r="E151" s="1"/>
      <c r="F151" s="1"/>
      <c r="G151" s="1"/>
      <c r="H151" s="1"/>
      <c r="I151" s="1"/>
      <c r="J151" s="1"/>
      <c r="K151" s="1"/>
      <c r="L151" s="1"/>
      <c r="M151" s="1"/>
      <c r="N151" s="1"/>
      <c r="O151" s="1"/>
      <c r="P151" s="1"/>
      <c r="Q151" s="1"/>
      <c r="R151" s="1"/>
      <c r="S151" s="1"/>
      <c r="T151" s="1"/>
      <c r="U151" s="1"/>
      <c r="V151" s="1"/>
      <c r="W151" s="1"/>
    </row>
    <row r="152" spans="1:23">
      <c r="A152" s="1"/>
      <c r="B152" s="1"/>
      <c r="C152" s="1"/>
      <c r="D152" s="1"/>
      <c r="E152" s="1"/>
      <c r="F152" s="1"/>
      <c r="G152" s="1"/>
      <c r="H152" s="1"/>
      <c r="I152" s="1"/>
      <c r="J152" s="1"/>
      <c r="K152" s="1"/>
      <c r="L152" s="1"/>
      <c r="M152" s="1"/>
      <c r="N152" s="1"/>
      <c r="O152" s="1"/>
      <c r="P152" s="1"/>
      <c r="Q152" s="1"/>
      <c r="R152" s="1"/>
      <c r="S152" s="1"/>
      <c r="T152" s="1"/>
      <c r="U152" s="1"/>
      <c r="V152" s="1"/>
      <c r="W152" s="1"/>
    </row>
    <row r="153" spans="1:23">
      <c r="A153" s="1"/>
      <c r="B153" s="1"/>
      <c r="C153" s="1"/>
      <c r="D153" s="1"/>
      <c r="E153" s="1"/>
      <c r="F153" s="1"/>
      <c r="G153" s="1"/>
      <c r="H153" s="1"/>
      <c r="I153" s="1"/>
      <c r="J153" s="1"/>
      <c r="K153" s="1"/>
      <c r="L153" s="1"/>
      <c r="M153" s="1"/>
      <c r="N153" s="1"/>
      <c r="O153" s="1"/>
      <c r="P153" s="1"/>
      <c r="Q153" s="1"/>
      <c r="R153" s="1"/>
      <c r="S153" s="1"/>
      <c r="T153" s="1"/>
      <c r="U153" s="1"/>
      <c r="V153" s="1"/>
      <c r="W153" s="1"/>
    </row>
    <row r="154" spans="1:23">
      <c r="A154" s="1"/>
      <c r="B154" s="1"/>
      <c r="C154" s="1"/>
      <c r="D154" s="1"/>
      <c r="E154" s="1"/>
      <c r="F154" s="1"/>
      <c r="G154" s="1"/>
      <c r="H154" s="1"/>
      <c r="I154" s="1"/>
      <c r="J154" s="1"/>
      <c r="K154" s="1"/>
      <c r="L154" s="1"/>
      <c r="M154" s="1"/>
      <c r="N154" s="1"/>
      <c r="O154" s="1"/>
      <c r="P154" s="1"/>
      <c r="Q154" s="1"/>
      <c r="R154" s="1"/>
      <c r="S154" s="1"/>
      <c r="T154" s="1"/>
      <c r="U154" s="1"/>
      <c r="V154" s="1"/>
      <c r="W154" s="1"/>
    </row>
    <row r="155" spans="1:23">
      <c r="A155" s="1"/>
      <c r="B155" s="1"/>
      <c r="C155" s="1"/>
      <c r="D155" s="1"/>
      <c r="E155" s="1"/>
      <c r="F155" s="1"/>
      <c r="G155" s="1"/>
      <c r="H155" s="1"/>
      <c r="I155" s="1"/>
      <c r="J155" s="1"/>
      <c r="K155" s="1"/>
      <c r="L155" s="1"/>
      <c r="M155" s="1"/>
      <c r="N155" s="1"/>
      <c r="O155" s="1"/>
      <c r="P155" s="1"/>
      <c r="Q155" s="1"/>
      <c r="R155" s="1"/>
      <c r="S155" s="1"/>
      <c r="T155" s="1"/>
      <c r="U155" s="1"/>
      <c r="V155" s="1"/>
      <c r="W155" s="1"/>
    </row>
    <row r="156" spans="1:23">
      <c r="A156" s="1"/>
      <c r="B156" s="1"/>
      <c r="C156" s="1"/>
      <c r="D156" s="1"/>
      <c r="E156" s="1"/>
      <c r="F156" s="1"/>
      <c r="G156" s="1"/>
      <c r="H156" s="1"/>
      <c r="I156" s="1"/>
      <c r="J156" s="1"/>
      <c r="K156" s="1"/>
      <c r="L156" s="1"/>
      <c r="M156" s="1"/>
      <c r="N156" s="1"/>
      <c r="O156" s="1"/>
      <c r="P156" s="1"/>
      <c r="Q156" s="1"/>
      <c r="R156" s="1"/>
      <c r="S156" s="1"/>
      <c r="T156" s="1"/>
      <c r="U156" s="1"/>
      <c r="V156" s="1"/>
      <c r="W156" s="1"/>
    </row>
    <row r="157" spans="1:23">
      <c r="A157" s="1"/>
      <c r="B157" s="1"/>
      <c r="C157" s="1"/>
      <c r="D157" s="1"/>
      <c r="E157" s="1"/>
      <c r="F157" s="1"/>
      <c r="G157" s="1"/>
      <c r="H157" s="1"/>
      <c r="I157" s="1"/>
      <c r="J157" s="1"/>
      <c r="K157" s="1"/>
      <c r="L157" s="1"/>
      <c r="M157" s="1"/>
      <c r="N157" s="1"/>
      <c r="O157" s="1"/>
      <c r="P157" s="1"/>
      <c r="Q157" s="1"/>
      <c r="R157" s="1"/>
      <c r="S157" s="1"/>
      <c r="T157" s="1"/>
      <c r="U157" s="1"/>
      <c r="V157" s="1"/>
      <c r="W157" s="1"/>
    </row>
    <row r="158" spans="1:23">
      <c r="A158" s="1"/>
      <c r="B158" s="1"/>
      <c r="C158" s="1"/>
      <c r="D158" s="1"/>
      <c r="E158" s="1"/>
      <c r="F158" s="1"/>
      <c r="G158" s="1"/>
      <c r="H158" s="1"/>
      <c r="I158" s="1"/>
      <c r="J158" s="1"/>
      <c r="K158" s="1"/>
      <c r="L158" s="1"/>
      <c r="M158" s="1"/>
      <c r="N158" s="1"/>
      <c r="O158" s="1"/>
      <c r="P158" s="1"/>
      <c r="Q158" s="1"/>
      <c r="R158" s="1"/>
      <c r="S158" s="1"/>
      <c r="T158" s="1"/>
      <c r="U158" s="1"/>
      <c r="V158" s="1"/>
      <c r="W158" s="1"/>
    </row>
    <row r="159" spans="1:23">
      <c r="A159" s="1"/>
      <c r="B159" s="1"/>
      <c r="C159" s="1"/>
      <c r="D159" s="1"/>
      <c r="E159" s="1"/>
      <c r="F159" s="1"/>
      <c r="G159" s="1"/>
      <c r="H159" s="1"/>
      <c r="I159" s="1"/>
      <c r="J159" s="1"/>
      <c r="K159" s="1"/>
      <c r="L159" s="1"/>
      <c r="M159" s="1"/>
      <c r="N159" s="1"/>
      <c r="O159" s="1"/>
      <c r="P159" s="1"/>
      <c r="Q159" s="1"/>
      <c r="R159" s="1"/>
      <c r="S159" s="1"/>
      <c r="T159" s="1"/>
      <c r="U159" s="1"/>
      <c r="V159" s="1"/>
      <c r="W159" s="1"/>
    </row>
    <row r="160" spans="1:23">
      <c r="A160" s="1"/>
      <c r="B160" s="1"/>
      <c r="C160" s="1"/>
      <c r="D160" s="1"/>
      <c r="E160" s="1"/>
      <c r="F160" s="1"/>
      <c r="G160" s="1"/>
      <c r="H160" s="1"/>
      <c r="I160" s="1"/>
      <c r="J160" s="1"/>
      <c r="K160" s="1"/>
      <c r="L160" s="1"/>
      <c r="M160" s="1"/>
      <c r="N160" s="1"/>
      <c r="O160" s="1"/>
      <c r="P160" s="1"/>
      <c r="Q160" s="1"/>
      <c r="R160" s="1"/>
      <c r="S160" s="1"/>
      <c r="T160" s="1"/>
      <c r="U160" s="1"/>
      <c r="V160" s="1"/>
      <c r="W160" s="1"/>
    </row>
    <row r="161" spans="1:23">
      <c r="A161" s="1"/>
      <c r="B161" s="1"/>
      <c r="C161" s="1"/>
      <c r="D161" s="1"/>
      <c r="E161" s="1"/>
      <c r="F161" s="1"/>
      <c r="G161" s="1"/>
      <c r="H161" s="1"/>
      <c r="I161" s="1"/>
      <c r="J161" s="1"/>
      <c r="K161" s="1"/>
      <c r="L161" s="1"/>
      <c r="M161" s="1"/>
      <c r="N161" s="1"/>
      <c r="O161" s="1"/>
      <c r="P161" s="1"/>
      <c r="Q161" s="1"/>
      <c r="R161" s="1"/>
      <c r="S161" s="1"/>
      <c r="T161" s="1"/>
      <c r="U161" s="1"/>
      <c r="V161" s="1"/>
      <c r="W161" s="1"/>
    </row>
    <row r="162" spans="1:23">
      <c r="A162" s="1"/>
      <c r="B162" s="1"/>
      <c r="C162" s="1"/>
      <c r="D162" s="1"/>
      <c r="E162" s="1"/>
      <c r="F162" s="1"/>
      <c r="G162" s="1"/>
      <c r="H162" s="1"/>
      <c r="I162" s="1"/>
      <c r="J162" s="1"/>
      <c r="K162" s="1"/>
      <c r="L162" s="1"/>
      <c r="M162" s="1"/>
      <c r="N162" s="1"/>
      <c r="O162" s="1"/>
      <c r="P162" s="1"/>
      <c r="Q162" s="1"/>
      <c r="R162" s="1"/>
      <c r="S162" s="1"/>
      <c r="T162" s="1"/>
      <c r="U162" s="1"/>
      <c r="V162" s="1"/>
      <c r="W162" s="1"/>
    </row>
    <row r="163" spans="1:23">
      <c r="A163" s="1"/>
      <c r="B163" s="1"/>
      <c r="C163" s="1"/>
      <c r="D163" s="1"/>
      <c r="E163" s="1"/>
      <c r="F163" s="1"/>
      <c r="G163" s="1"/>
      <c r="H163" s="1"/>
      <c r="I163" s="1"/>
      <c r="J163" s="1"/>
      <c r="K163" s="1"/>
      <c r="L163" s="1"/>
      <c r="M163" s="1"/>
      <c r="N163" s="1"/>
      <c r="O163" s="1"/>
      <c r="P163" s="1"/>
      <c r="Q163" s="1"/>
      <c r="R163" s="1"/>
      <c r="S163" s="1"/>
      <c r="T163" s="1"/>
      <c r="U163" s="1"/>
      <c r="V163" s="1"/>
      <c r="W163" s="1"/>
    </row>
    <row r="164" spans="1:23">
      <c r="A164" s="1"/>
      <c r="B164" s="1"/>
      <c r="C164" s="1"/>
      <c r="D164" s="1"/>
      <c r="E164" s="1"/>
      <c r="F164" s="1"/>
      <c r="G164" s="1"/>
      <c r="H164" s="1"/>
      <c r="I164" s="1"/>
      <c r="J164" s="1"/>
      <c r="K164" s="1"/>
      <c r="L164" s="1"/>
      <c r="M164" s="1"/>
      <c r="N164" s="1"/>
      <c r="O164" s="1"/>
      <c r="P164" s="1"/>
      <c r="Q164" s="1"/>
      <c r="R164" s="1"/>
      <c r="S164" s="1"/>
      <c r="T164" s="1"/>
      <c r="U164" s="1"/>
      <c r="V164" s="1"/>
      <c r="W164" s="1"/>
    </row>
    <row r="165" spans="1:23">
      <c r="A165" s="1"/>
      <c r="B165" s="1"/>
      <c r="C165" s="1"/>
      <c r="D165" s="1"/>
      <c r="E165" s="1"/>
      <c r="F165" s="1"/>
      <c r="G165" s="1"/>
      <c r="H165" s="1"/>
      <c r="I165" s="1"/>
      <c r="J165" s="1"/>
      <c r="K165" s="1"/>
      <c r="L165" s="1"/>
      <c r="M165" s="1"/>
      <c r="N165" s="1"/>
      <c r="O165" s="1"/>
      <c r="P165" s="1"/>
      <c r="Q165" s="1"/>
      <c r="R165" s="1"/>
      <c r="S165" s="1"/>
      <c r="T165" s="1"/>
      <c r="U165" s="1"/>
      <c r="V165" s="1"/>
      <c r="W165" s="1"/>
    </row>
    <row r="166" spans="1:23">
      <c r="A166" s="1"/>
      <c r="B166" s="1"/>
      <c r="C166" s="1"/>
      <c r="D166" s="1"/>
      <c r="E166" s="1"/>
      <c r="F166" s="1"/>
      <c r="G166" s="1"/>
      <c r="H166" s="1"/>
      <c r="I166" s="1"/>
      <c r="J166" s="1"/>
      <c r="K166" s="1"/>
      <c r="L166" s="1"/>
      <c r="M166" s="1"/>
      <c r="N166" s="1"/>
      <c r="O166" s="1"/>
      <c r="P166" s="1"/>
      <c r="Q166" s="1"/>
      <c r="R166" s="1"/>
      <c r="S166" s="1"/>
      <c r="T166" s="1"/>
      <c r="U166" s="1"/>
      <c r="V166" s="1"/>
      <c r="W166" s="1"/>
    </row>
    <row r="167" spans="1:23">
      <c r="A167" s="1"/>
      <c r="B167" s="1"/>
      <c r="C167" s="1"/>
      <c r="D167" s="1"/>
      <c r="E167" s="1"/>
      <c r="F167" s="1"/>
      <c r="G167" s="1"/>
      <c r="H167" s="1"/>
      <c r="I167" s="1"/>
      <c r="J167" s="1"/>
      <c r="K167" s="1"/>
      <c r="L167" s="1"/>
      <c r="M167" s="1"/>
      <c r="N167" s="1"/>
      <c r="O167" s="1"/>
      <c r="P167" s="1"/>
      <c r="Q167" s="1"/>
      <c r="R167" s="1"/>
      <c r="S167" s="1"/>
      <c r="T167" s="1"/>
      <c r="U167" s="1"/>
      <c r="V167" s="1"/>
      <c r="W167" s="1"/>
    </row>
    <row r="168" spans="1:23">
      <c r="A168" s="1"/>
      <c r="B168" s="1"/>
      <c r="C168" s="1"/>
      <c r="D168" s="1"/>
      <c r="E168" s="1"/>
      <c r="F168" s="1"/>
      <c r="G168" s="1"/>
      <c r="H168" s="1"/>
      <c r="I168" s="1"/>
      <c r="J168" s="1"/>
      <c r="K168" s="1"/>
      <c r="L168" s="1"/>
      <c r="M168" s="1"/>
      <c r="N168" s="1"/>
      <c r="O168" s="1"/>
      <c r="P168" s="1"/>
      <c r="Q168" s="1"/>
      <c r="R168" s="1"/>
      <c r="S168" s="1"/>
      <c r="T168" s="1"/>
      <c r="U168" s="1"/>
      <c r="V168" s="1"/>
      <c r="W168" s="1"/>
    </row>
    <row r="169" spans="1:23">
      <c r="A169" s="1"/>
      <c r="B169" s="1"/>
      <c r="C169" s="1"/>
      <c r="D169" s="1"/>
      <c r="E169" s="1"/>
      <c r="F169" s="1"/>
      <c r="G169" s="1"/>
      <c r="H169" s="1"/>
      <c r="I169" s="1"/>
      <c r="J169" s="1"/>
      <c r="K169" s="1"/>
      <c r="L169" s="1"/>
      <c r="M169" s="1"/>
      <c r="N169" s="1"/>
      <c r="O169" s="1"/>
      <c r="P169" s="1"/>
      <c r="Q169" s="1"/>
      <c r="R169" s="1"/>
      <c r="S169" s="1"/>
      <c r="T169" s="1"/>
      <c r="U169" s="1"/>
      <c r="V169" s="1"/>
      <c r="W169" s="1"/>
    </row>
    <row r="170" spans="1:23">
      <c r="A170" s="1"/>
      <c r="B170" s="1"/>
      <c r="C170" s="1"/>
      <c r="D170" s="1"/>
      <c r="E170" s="1"/>
      <c r="F170" s="1"/>
      <c r="G170" s="1"/>
      <c r="H170" s="1"/>
      <c r="I170" s="1"/>
      <c r="J170" s="1"/>
      <c r="K170" s="1"/>
      <c r="L170" s="1"/>
      <c r="M170" s="1"/>
      <c r="N170" s="1"/>
      <c r="O170" s="1"/>
      <c r="P170" s="1"/>
      <c r="Q170" s="1"/>
      <c r="R170" s="1"/>
      <c r="S170" s="1"/>
      <c r="T170" s="1"/>
      <c r="U170" s="1"/>
      <c r="V170" s="1"/>
      <c r="W170" s="1"/>
    </row>
    <row r="171" spans="1:23">
      <c r="A171" s="1"/>
      <c r="B171" s="1"/>
      <c r="C171" s="1"/>
      <c r="D171" s="1"/>
      <c r="E171" s="1"/>
      <c r="F171" s="1"/>
      <c r="G171" s="1"/>
      <c r="H171" s="1"/>
      <c r="I171" s="1"/>
      <c r="J171" s="1"/>
      <c r="K171" s="1"/>
      <c r="L171" s="1"/>
      <c r="M171" s="1"/>
      <c r="N171" s="1"/>
      <c r="O171" s="1"/>
      <c r="P171" s="1"/>
      <c r="Q171" s="1"/>
      <c r="R171" s="1"/>
      <c r="S171" s="1"/>
      <c r="T171" s="1"/>
      <c r="U171" s="1"/>
      <c r="V171" s="1"/>
      <c r="W171" s="1"/>
    </row>
    <row r="172" spans="1:23">
      <c r="A172" s="1"/>
      <c r="B172" s="1"/>
      <c r="C172" s="1"/>
      <c r="D172" s="1"/>
      <c r="E172" s="1"/>
      <c r="F172" s="1"/>
      <c r="G172" s="1"/>
      <c r="H172" s="1"/>
      <c r="I172" s="1"/>
      <c r="J172" s="1"/>
      <c r="K172" s="1"/>
      <c r="L172" s="1"/>
      <c r="M172" s="1"/>
      <c r="N172" s="1"/>
      <c r="O172" s="1"/>
      <c r="P172" s="1"/>
      <c r="Q172" s="1"/>
      <c r="R172" s="1"/>
      <c r="S172" s="1"/>
      <c r="T172" s="1"/>
      <c r="U172" s="1"/>
      <c r="V172" s="1"/>
      <c r="W172" s="1"/>
    </row>
    <row r="173" spans="1:23">
      <c r="A173" s="1"/>
      <c r="B173" s="1"/>
      <c r="C173" s="1"/>
      <c r="D173" s="1"/>
      <c r="E173" s="1"/>
      <c r="F173" s="1"/>
      <c r="G173" s="1"/>
      <c r="H173" s="1"/>
      <c r="I173" s="1"/>
      <c r="J173" s="1"/>
      <c r="K173" s="1"/>
      <c r="L173" s="1"/>
      <c r="M173" s="1"/>
      <c r="N173" s="1"/>
      <c r="O173" s="1"/>
      <c r="P173" s="1"/>
      <c r="Q173" s="1"/>
      <c r="R173" s="1"/>
      <c r="S173" s="1"/>
      <c r="T173" s="1"/>
      <c r="U173" s="1"/>
      <c r="V173" s="1"/>
      <c r="W173" s="1"/>
    </row>
    <row r="174" spans="1:23">
      <c r="A174" s="1"/>
      <c r="B174" s="1"/>
      <c r="C174" s="1"/>
      <c r="D174" s="1"/>
      <c r="E174" s="1"/>
      <c r="F174" s="1"/>
      <c r="G174" s="1"/>
      <c r="H174" s="1"/>
      <c r="I174" s="1"/>
      <c r="J174" s="1"/>
      <c r="K174" s="1"/>
      <c r="L174" s="1"/>
      <c r="M174" s="1"/>
      <c r="N174" s="1"/>
      <c r="O174" s="1"/>
      <c r="P174" s="1"/>
      <c r="Q174" s="1"/>
      <c r="R174" s="1"/>
      <c r="S174" s="1"/>
      <c r="T174" s="1"/>
      <c r="U174" s="1"/>
      <c r="V174" s="1"/>
      <c r="W174" s="1"/>
    </row>
    <row r="175" spans="1:23">
      <c r="A175" s="1"/>
      <c r="B175" s="1"/>
      <c r="C175" s="1"/>
      <c r="D175" s="1"/>
      <c r="E175" s="1"/>
      <c r="F175" s="1"/>
      <c r="G175" s="1"/>
      <c r="H175" s="1"/>
      <c r="I175" s="1"/>
      <c r="J175" s="1"/>
      <c r="K175" s="1"/>
      <c r="L175" s="1"/>
      <c r="M175" s="1"/>
      <c r="N175" s="1"/>
      <c r="O175" s="1"/>
      <c r="P175" s="1"/>
      <c r="Q175" s="1"/>
      <c r="R175" s="1"/>
      <c r="S175" s="1"/>
      <c r="T175" s="1"/>
      <c r="U175" s="1"/>
      <c r="V175" s="1"/>
      <c r="W175" s="1"/>
    </row>
    <row r="176" spans="1:23">
      <c r="A176" s="1"/>
      <c r="B176" s="1"/>
      <c r="C176" s="1"/>
      <c r="D176" s="1"/>
      <c r="E176" s="1"/>
      <c r="F176" s="1"/>
      <c r="G176" s="1"/>
      <c r="H176" s="1"/>
      <c r="I176" s="1"/>
      <c r="J176" s="1"/>
      <c r="K176" s="1"/>
      <c r="L176" s="1"/>
      <c r="M176" s="1"/>
      <c r="N176" s="1"/>
      <c r="O176" s="1"/>
      <c r="P176" s="1"/>
      <c r="Q176" s="1"/>
      <c r="R176" s="1"/>
      <c r="S176" s="1"/>
      <c r="T176" s="1"/>
      <c r="U176" s="1"/>
      <c r="V176" s="1"/>
      <c r="W176" s="1"/>
    </row>
    <row r="177" spans="1:23">
      <c r="A177" s="1"/>
      <c r="B177" s="1"/>
      <c r="C177" s="1"/>
      <c r="D177" s="1"/>
      <c r="E177" s="1"/>
      <c r="F177" s="1"/>
      <c r="G177" s="1"/>
      <c r="H177" s="1"/>
      <c r="I177" s="1"/>
      <c r="J177" s="1"/>
      <c r="K177" s="1"/>
      <c r="L177" s="1"/>
      <c r="M177" s="1"/>
      <c r="N177" s="1"/>
      <c r="O177" s="1"/>
      <c r="P177" s="1"/>
      <c r="Q177" s="1"/>
      <c r="R177" s="1"/>
      <c r="S177" s="1"/>
      <c r="T177" s="1"/>
      <c r="U177" s="1"/>
      <c r="V177" s="1"/>
      <c r="W177" s="1"/>
    </row>
    <row r="178" spans="1:23">
      <c r="A178" s="1"/>
      <c r="B178" s="1"/>
      <c r="C178" s="1"/>
      <c r="D178" s="1"/>
      <c r="E178" s="1"/>
      <c r="F178" s="1"/>
      <c r="G178" s="1"/>
      <c r="H178" s="1"/>
      <c r="I178" s="1"/>
      <c r="J178" s="1"/>
      <c r="K178" s="1"/>
      <c r="L178" s="1"/>
      <c r="M178" s="1"/>
      <c r="N178" s="1"/>
      <c r="O178" s="1"/>
      <c r="P178" s="1"/>
      <c r="Q178" s="1"/>
      <c r="R178" s="1"/>
      <c r="S178" s="1"/>
      <c r="T178" s="1"/>
      <c r="U178" s="1"/>
      <c r="V178" s="1"/>
      <c r="W178" s="1"/>
    </row>
    <row r="179" spans="1:23">
      <c r="A179" s="1"/>
      <c r="B179" s="1"/>
      <c r="C179" s="1"/>
      <c r="D179" s="1"/>
      <c r="E179" s="1"/>
      <c r="F179" s="1"/>
      <c r="G179" s="1"/>
      <c r="H179" s="1"/>
      <c r="I179" s="1"/>
      <c r="J179" s="1"/>
      <c r="K179" s="1"/>
      <c r="L179" s="1"/>
      <c r="M179" s="1"/>
      <c r="N179" s="1"/>
      <c r="O179" s="1"/>
      <c r="P179" s="1"/>
      <c r="Q179" s="1"/>
      <c r="R179" s="1"/>
      <c r="S179" s="1"/>
      <c r="T179" s="1"/>
      <c r="U179" s="1"/>
      <c r="V179" s="1"/>
      <c r="W179" s="1"/>
    </row>
    <row r="180" spans="1:23">
      <c r="A180" s="1"/>
      <c r="B180" s="1"/>
      <c r="C180" s="1"/>
      <c r="D180" s="1"/>
      <c r="E180" s="1"/>
      <c r="F180" s="1"/>
      <c r="G180" s="1"/>
      <c r="H180" s="1"/>
      <c r="I180" s="1"/>
      <c r="J180" s="1"/>
      <c r="K180" s="1"/>
      <c r="L180" s="1"/>
      <c r="M180" s="1"/>
      <c r="N180" s="1"/>
      <c r="O180" s="1"/>
      <c r="P180" s="1"/>
      <c r="Q180" s="1"/>
      <c r="R180" s="1"/>
      <c r="S180" s="1"/>
      <c r="T180" s="1"/>
      <c r="U180" s="1"/>
      <c r="V180" s="1"/>
      <c r="W180" s="1"/>
    </row>
    <row r="181" spans="1:23">
      <c r="A181" s="1"/>
      <c r="B181" s="1"/>
      <c r="C181" s="1"/>
      <c r="D181" s="1"/>
      <c r="E181" s="1"/>
      <c r="F181" s="1"/>
      <c r="G181" s="1"/>
      <c r="H181" s="1"/>
      <c r="I181" s="1"/>
      <c r="J181" s="1"/>
      <c r="K181" s="1"/>
      <c r="L181" s="1"/>
      <c r="M181" s="1"/>
      <c r="N181" s="1"/>
      <c r="O181" s="1"/>
      <c r="P181" s="1"/>
      <c r="Q181" s="1"/>
      <c r="R181" s="1"/>
      <c r="S181" s="1"/>
      <c r="T181" s="1"/>
      <c r="U181" s="1"/>
      <c r="V181" s="1"/>
      <c r="W181" s="1"/>
    </row>
    <row r="182" spans="1:23">
      <c r="A182" s="1"/>
      <c r="B182" s="1"/>
      <c r="C182" s="1"/>
      <c r="D182" s="1"/>
      <c r="E182" s="1"/>
      <c r="F182" s="1"/>
      <c r="G182" s="1"/>
      <c r="H182" s="1"/>
      <c r="I182" s="1"/>
      <c r="J182" s="1"/>
      <c r="K182" s="1"/>
      <c r="L182" s="1"/>
      <c r="M182" s="1"/>
      <c r="N182" s="1"/>
      <c r="O182" s="1"/>
      <c r="P182" s="1"/>
      <c r="Q182" s="1"/>
      <c r="R182" s="1"/>
      <c r="S182" s="1"/>
      <c r="T182" s="1"/>
      <c r="U182" s="1"/>
      <c r="V182" s="1"/>
      <c r="W182" s="1"/>
    </row>
    <row r="183" spans="1:23">
      <c r="A183" s="1"/>
      <c r="B183" s="1"/>
      <c r="C183" s="1"/>
      <c r="D183" s="1"/>
      <c r="E183" s="1"/>
      <c r="F183" s="1"/>
      <c r="G183" s="1"/>
      <c r="H183" s="1"/>
      <c r="I183" s="1"/>
      <c r="J183" s="1"/>
      <c r="K183" s="1"/>
      <c r="L183" s="1"/>
      <c r="M183" s="1"/>
      <c r="N183" s="1"/>
      <c r="O183" s="1"/>
      <c r="P183" s="1"/>
      <c r="Q183" s="1"/>
      <c r="R183" s="1"/>
      <c r="S183" s="1"/>
      <c r="T183" s="1"/>
      <c r="U183" s="1"/>
      <c r="V183" s="1"/>
      <c r="W183" s="1"/>
    </row>
    <row r="184" spans="1:23">
      <c r="A184" s="1"/>
      <c r="B184" s="1"/>
      <c r="C184" s="1"/>
      <c r="D184" s="1"/>
      <c r="E184" s="1"/>
      <c r="F184" s="1"/>
      <c r="G184" s="1"/>
      <c r="H184" s="1"/>
      <c r="I184" s="1"/>
      <c r="J184" s="1"/>
      <c r="K184" s="1"/>
      <c r="L184" s="1"/>
      <c r="M184" s="1"/>
      <c r="N184" s="1"/>
      <c r="O184" s="1"/>
      <c r="P184" s="1"/>
      <c r="Q184" s="1"/>
      <c r="R184" s="1"/>
      <c r="S184" s="1"/>
      <c r="T184" s="1"/>
      <c r="U184" s="1"/>
      <c r="V184" s="1"/>
      <c r="W184" s="1"/>
    </row>
    <row r="185" spans="1:23">
      <c r="A185" s="1"/>
      <c r="B185" s="1"/>
      <c r="C185" s="1"/>
      <c r="D185" s="1"/>
      <c r="E185" s="1"/>
      <c r="F185" s="1"/>
      <c r="G185" s="1"/>
      <c r="H185" s="1"/>
      <c r="I185" s="1"/>
      <c r="J185" s="1"/>
      <c r="K185" s="1"/>
      <c r="L185" s="1"/>
      <c r="M185" s="1"/>
      <c r="N185" s="1"/>
      <c r="O185" s="1"/>
      <c r="P185" s="1"/>
      <c r="Q185" s="1"/>
      <c r="R185" s="1"/>
      <c r="S185" s="1"/>
      <c r="T185" s="1"/>
      <c r="U185" s="1"/>
      <c r="V185" s="1"/>
      <c r="W185" s="1"/>
    </row>
    <row r="186" spans="1:23">
      <c r="A186" s="1"/>
      <c r="B186" s="1"/>
      <c r="C186" s="1"/>
      <c r="D186" s="1"/>
      <c r="E186" s="1"/>
      <c r="F186" s="1"/>
      <c r="G186" s="1"/>
      <c r="H186" s="1"/>
      <c r="I186" s="1"/>
      <c r="J186" s="1"/>
      <c r="K186" s="1"/>
      <c r="L186" s="1"/>
      <c r="M186" s="1"/>
      <c r="N186" s="1"/>
      <c r="O186" s="1"/>
      <c r="P186" s="1"/>
      <c r="Q186" s="1"/>
      <c r="R186" s="1"/>
      <c r="S186" s="1"/>
      <c r="T186" s="1"/>
      <c r="U186" s="1"/>
      <c r="V186" s="1"/>
      <c r="W186" s="1"/>
    </row>
    <row r="187" spans="1:23">
      <c r="A187" s="1"/>
      <c r="B187" s="1"/>
      <c r="C187" s="1"/>
      <c r="D187" s="1"/>
      <c r="E187" s="1"/>
      <c r="F187" s="1"/>
      <c r="G187" s="1"/>
      <c r="H187" s="1"/>
      <c r="I187" s="1"/>
      <c r="J187" s="1"/>
      <c r="K187" s="1"/>
      <c r="L187" s="1"/>
      <c r="M187" s="1"/>
      <c r="N187" s="1"/>
      <c r="O187" s="1"/>
      <c r="P187" s="1"/>
      <c r="Q187" s="1"/>
      <c r="R187" s="1"/>
      <c r="S187" s="1"/>
      <c r="T187" s="1"/>
      <c r="U187" s="1"/>
      <c r="V187" s="1"/>
      <c r="W187" s="1"/>
    </row>
    <row r="188" spans="1:23">
      <c r="A188" s="1"/>
      <c r="B188" s="1"/>
      <c r="C188" s="1"/>
      <c r="D188" s="1"/>
      <c r="E188" s="1"/>
      <c r="F188" s="1"/>
      <c r="G188" s="1"/>
      <c r="H188" s="1"/>
      <c r="I188" s="1"/>
      <c r="J188" s="1"/>
      <c r="K188" s="1"/>
      <c r="L188" s="1"/>
      <c r="M188" s="1"/>
      <c r="N188" s="1"/>
      <c r="O188" s="1"/>
      <c r="P188" s="1"/>
      <c r="Q188" s="1"/>
      <c r="R188" s="1"/>
      <c r="S188" s="1"/>
      <c r="T188" s="1"/>
      <c r="U188" s="1"/>
      <c r="V188" s="1"/>
      <c r="W188" s="1"/>
    </row>
    <row r="189" spans="1:23">
      <c r="A189" s="1"/>
      <c r="B189" s="1"/>
      <c r="C189" s="1"/>
      <c r="D189" s="1"/>
      <c r="E189" s="1"/>
      <c r="F189" s="1"/>
      <c r="G189" s="1"/>
      <c r="H189" s="1"/>
      <c r="I189" s="1"/>
      <c r="J189" s="1"/>
      <c r="K189" s="1"/>
      <c r="L189" s="1"/>
      <c r="M189" s="1"/>
      <c r="N189" s="1"/>
      <c r="O189" s="1"/>
      <c r="P189" s="1"/>
      <c r="Q189" s="1"/>
      <c r="R189" s="1"/>
      <c r="S189" s="1"/>
      <c r="T189" s="1"/>
      <c r="U189" s="1"/>
      <c r="V189" s="1"/>
      <c r="W189" s="1"/>
    </row>
    <row r="190" spans="1:23">
      <c r="A190" s="1"/>
      <c r="B190" s="1"/>
      <c r="C190" s="1"/>
      <c r="D190" s="1"/>
      <c r="E190" s="1"/>
      <c r="F190" s="1"/>
      <c r="G190" s="1"/>
      <c r="H190" s="1"/>
      <c r="I190" s="1"/>
      <c r="J190" s="1"/>
      <c r="K190" s="1"/>
      <c r="L190" s="1"/>
      <c r="M190" s="1"/>
      <c r="N190" s="1"/>
      <c r="O190" s="1"/>
      <c r="P190" s="1"/>
      <c r="Q190" s="1"/>
      <c r="R190" s="1"/>
      <c r="S190" s="1"/>
      <c r="T190" s="1"/>
      <c r="U190" s="1"/>
      <c r="V190" s="1"/>
      <c r="W190" s="1"/>
    </row>
    <row r="191" spans="1:23">
      <c r="A191" s="1"/>
      <c r="B191" s="1"/>
      <c r="C191" s="1"/>
      <c r="D191" s="1"/>
      <c r="E191" s="1"/>
      <c r="F191" s="1"/>
      <c r="G191" s="1"/>
      <c r="H191" s="1"/>
      <c r="I191" s="1"/>
      <c r="J191" s="1"/>
      <c r="K191" s="1"/>
      <c r="L191" s="1"/>
      <c r="M191" s="1"/>
      <c r="N191" s="1"/>
      <c r="O191" s="1"/>
      <c r="P191" s="1"/>
      <c r="Q191" s="1"/>
      <c r="R191" s="1"/>
      <c r="S191" s="1"/>
      <c r="T191" s="1"/>
      <c r="U191" s="1"/>
      <c r="V191" s="1"/>
      <c r="W191" s="1"/>
    </row>
    <row r="192" spans="1:23">
      <c r="A192" s="1"/>
      <c r="B192" s="1"/>
      <c r="C192" s="1"/>
      <c r="D192" s="1"/>
      <c r="E192" s="1"/>
      <c r="F192" s="1"/>
      <c r="G192" s="1"/>
      <c r="H192" s="1"/>
      <c r="I192" s="1"/>
      <c r="J192" s="1"/>
      <c r="K192" s="1"/>
      <c r="L192" s="1"/>
      <c r="M192" s="1"/>
      <c r="N192" s="1"/>
      <c r="O192" s="1"/>
      <c r="P192" s="1"/>
      <c r="Q192" s="1"/>
      <c r="R192" s="1"/>
      <c r="S192" s="1"/>
      <c r="T192" s="1"/>
      <c r="U192" s="1"/>
      <c r="V192" s="1"/>
      <c r="W192" s="1"/>
    </row>
    <row r="193" spans="1:23">
      <c r="A193" s="1"/>
      <c r="B193" s="1"/>
      <c r="C193" s="1"/>
      <c r="D193" s="1"/>
      <c r="E193" s="1"/>
      <c r="F193" s="1"/>
      <c r="G193" s="1"/>
      <c r="H193" s="1"/>
      <c r="I193" s="1"/>
      <c r="J193" s="1"/>
      <c r="K193" s="1"/>
      <c r="L193" s="1"/>
      <c r="M193" s="1"/>
      <c r="N193" s="1"/>
      <c r="O193" s="1"/>
      <c r="P193" s="1"/>
      <c r="Q193" s="1"/>
      <c r="R193" s="1"/>
      <c r="S193" s="1"/>
      <c r="T193" s="1"/>
      <c r="U193" s="1"/>
      <c r="V193" s="1"/>
      <c r="W193" s="1"/>
    </row>
    <row r="194" spans="1:23">
      <c r="A194" s="1"/>
      <c r="B194" s="1"/>
      <c r="C194" s="1"/>
      <c r="D194" s="1"/>
      <c r="E194" s="1"/>
      <c r="F194" s="1"/>
      <c r="G194" s="1"/>
      <c r="H194" s="1"/>
      <c r="I194" s="1"/>
      <c r="J194" s="1"/>
      <c r="K194" s="1"/>
      <c r="L194" s="1"/>
      <c r="M194" s="1"/>
      <c r="N194" s="1"/>
      <c r="O194" s="1"/>
      <c r="P194" s="1"/>
      <c r="Q194" s="1"/>
      <c r="R194" s="1"/>
      <c r="S194" s="1"/>
      <c r="T194" s="1"/>
      <c r="U194" s="1"/>
      <c r="V194" s="1"/>
      <c r="W194" s="1"/>
    </row>
    <row r="195" spans="1:23">
      <c r="A195" s="1"/>
      <c r="B195" s="1"/>
      <c r="C195" s="1"/>
      <c r="D195" s="1"/>
      <c r="E195" s="1"/>
      <c r="F195" s="1"/>
      <c r="G195" s="1"/>
      <c r="H195" s="1"/>
      <c r="I195" s="1"/>
      <c r="J195" s="1"/>
      <c r="K195" s="1"/>
      <c r="L195" s="1"/>
      <c r="M195" s="1"/>
      <c r="N195" s="1"/>
      <c r="O195" s="1"/>
      <c r="P195" s="1"/>
      <c r="Q195" s="1"/>
      <c r="R195" s="1"/>
      <c r="S195" s="1"/>
      <c r="T195" s="1"/>
      <c r="U195" s="1"/>
      <c r="V195" s="1"/>
      <c r="W195" s="1"/>
    </row>
    <row r="196" spans="1:23">
      <c r="A196" s="1"/>
      <c r="B196" s="1"/>
      <c r="C196" s="1"/>
      <c r="D196" s="1"/>
      <c r="E196" s="1"/>
      <c r="F196" s="1"/>
      <c r="G196" s="1"/>
      <c r="H196" s="1"/>
      <c r="I196" s="1"/>
      <c r="J196" s="1"/>
      <c r="K196" s="1"/>
      <c r="L196" s="1"/>
      <c r="M196" s="1"/>
      <c r="N196" s="1"/>
      <c r="O196" s="1"/>
      <c r="P196" s="1"/>
      <c r="Q196" s="1"/>
      <c r="R196" s="1"/>
      <c r="S196" s="1"/>
      <c r="T196" s="1"/>
      <c r="U196" s="1"/>
      <c r="V196" s="1"/>
      <c r="W196" s="1"/>
    </row>
    <row r="197" spans="1:23">
      <c r="A197" s="1"/>
      <c r="B197" s="1"/>
      <c r="C197" s="1"/>
      <c r="D197" s="1"/>
      <c r="E197" s="1"/>
      <c r="F197" s="1"/>
      <c r="G197" s="1"/>
      <c r="H197" s="1"/>
      <c r="I197" s="1"/>
      <c r="J197" s="1"/>
      <c r="K197" s="1"/>
      <c r="L197" s="1"/>
      <c r="M197" s="1"/>
      <c r="N197" s="1"/>
      <c r="O197" s="1"/>
      <c r="P197" s="1"/>
      <c r="Q197" s="1"/>
      <c r="R197" s="1"/>
      <c r="S197" s="1"/>
      <c r="T197" s="1"/>
      <c r="U197" s="1"/>
      <c r="V197" s="1"/>
      <c r="W197" s="1"/>
    </row>
    <row r="198" spans="1:23">
      <c r="A198" s="1"/>
      <c r="B198" s="1"/>
      <c r="C198" s="1"/>
      <c r="D198" s="1"/>
      <c r="E198" s="1"/>
      <c r="F198" s="1"/>
      <c r="G198" s="1"/>
      <c r="H198" s="1"/>
      <c r="I198" s="1"/>
      <c r="J198" s="1"/>
      <c r="K198" s="1"/>
      <c r="L198" s="1"/>
      <c r="M198" s="1"/>
      <c r="N198" s="1"/>
      <c r="O198" s="1"/>
      <c r="P198" s="1"/>
      <c r="Q198" s="1"/>
      <c r="R198" s="1"/>
      <c r="S198" s="1"/>
      <c r="T198" s="1"/>
      <c r="U198" s="1"/>
      <c r="V198" s="1"/>
      <c r="W198" s="1"/>
    </row>
    <row r="199" spans="1:23">
      <c r="A199" s="1"/>
      <c r="B199" s="1"/>
      <c r="C199" s="1"/>
      <c r="D199" s="1"/>
      <c r="E199" s="1"/>
      <c r="F199" s="1"/>
      <c r="G199" s="1"/>
      <c r="H199" s="1"/>
      <c r="I199" s="1"/>
      <c r="J199" s="1"/>
      <c r="K199" s="1"/>
      <c r="L199" s="1"/>
      <c r="M199" s="1"/>
      <c r="N199" s="1"/>
      <c r="O199" s="1"/>
      <c r="P199" s="1"/>
      <c r="Q199" s="1"/>
      <c r="R199" s="1"/>
      <c r="S199" s="1"/>
      <c r="T199" s="1"/>
      <c r="U199" s="1"/>
      <c r="V199" s="1"/>
      <c r="W199" s="1"/>
    </row>
    <row r="200" spans="1:23">
      <c r="A200" s="1"/>
      <c r="B200" s="1"/>
      <c r="C200" s="1"/>
      <c r="D200" s="1"/>
      <c r="E200" s="1"/>
      <c r="F200" s="1"/>
      <c r="G200" s="1"/>
      <c r="H200" s="1"/>
      <c r="I200" s="1"/>
      <c r="J200" s="1"/>
      <c r="K200" s="1"/>
      <c r="L200" s="1"/>
      <c r="M200" s="1"/>
      <c r="N200" s="1"/>
      <c r="O200" s="1"/>
      <c r="P200" s="1"/>
      <c r="Q200" s="1"/>
      <c r="R200" s="1"/>
      <c r="S200" s="1"/>
      <c r="T200" s="1"/>
      <c r="U200" s="1"/>
      <c r="V200" s="1"/>
      <c r="W200" s="1"/>
    </row>
    <row r="201" spans="1:23">
      <c r="A201" s="1"/>
      <c r="B201" s="1"/>
      <c r="C201" s="1"/>
      <c r="D201" s="1"/>
      <c r="E201" s="1"/>
      <c r="F201" s="1"/>
      <c r="G201" s="1"/>
      <c r="H201" s="1"/>
      <c r="I201" s="1"/>
      <c r="J201" s="1"/>
      <c r="K201" s="1"/>
      <c r="L201" s="1"/>
      <c r="M201" s="1"/>
      <c r="N201" s="1"/>
      <c r="O201" s="1"/>
      <c r="P201" s="1"/>
      <c r="Q201" s="1"/>
      <c r="R201" s="1"/>
      <c r="S201" s="1"/>
      <c r="T201" s="1"/>
      <c r="U201" s="1"/>
      <c r="V201" s="1"/>
      <c r="W201" s="1"/>
    </row>
    <row r="202" spans="1:23">
      <c r="A202" s="1"/>
      <c r="B202" s="1"/>
      <c r="C202" s="1"/>
      <c r="D202" s="1"/>
      <c r="E202" s="1"/>
      <c r="F202" s="1"/>
      <c r="G202" s="1"/>
      <c r="H202" s="1"/>
      <c r="I202" s="1"/>
      <c r="J202" s="1"/>
      <c r="K202" s="1"/>
      <c r="L202" s="1"/>
      <c r="M202" s="1"/>
      <c r="N202" s="1"/>
      <c r="O202" s="1"/>
      <c r="P202" s="1"/>
      <c r="Q202" s="1"/>
      <c r="R202" s="1"/>
      <c r="S202" s="1"/>
      <c r="T202" s="1"/>
      <c r="U202" s="1"/>
      <c r="V202" s="1"/>
      <c r="W202" s="1"/>
    </row>
    <row r="203" spans="1:23">
      <c r="A203" s="1"/>
      <c r="B203" s="1"/>
      <c r="C203" s="1"/>
      <c r="D203" s="1"/>
      <c r="E203" s="1"/>
      <c r="F203" s="1"/>
      <c r="G203" s="1"/>
      <c r="H203" s="1"/>
      <c r="I203" s="1"/>
      <c r="J203" s="1"/>
      <c r="K203" s="1"/>
      <c r="L203" s="1"/>
      <c r="M203" s="1"/>
      <c r="N203" s="1"/>
      <c r="O203" s="1"/>
      <c r="P203" s="1"/>
      <c r="Q203" s="1"/>
      <c r="R203" s="1"/>
      <c r="S203" s="1"/>
      <c r="T203" s="1"/>
      <c r="U203" s="1"/>
      <c r="V203" s="1"/>
      <c r="W203" s="1"/>
    </row>
    <row r="204" spans="1:23">
      <c r="A204" s="1"/>
      <c r="B204" s="1"/>
      <c r="C204" s="1"/>
      <c r="D204" s="1"/>
      <c r="E204" s="1"/>
      <c r="F204" s="1"/>
      <c r="G204" s="1"/>
      <c r="H204" s="1"/>
      <c r="I204" s="1"/>
      <c r="J204" s="1"/>
      <c r="K204" s="1"/>
      <c r="L204" s="1"/>
      <c r="M204" s="1"/>
      <c r="N204" s="1"/>
      <c r="O204" s="1"/>
      <c r="P204" s="1"/>
      <c r="Q204" s="1"/>
      <c r="R204" s="1"/>
      <c r="S204" s="1"/>
      <c r="T204" s="1"/>
      <c r="U204" s="1"/>
      <c r="V204" s="1"/>
      <c r="W204" s="1"/>
    </row>
    <row r="205" spans="1:23">
      <c r="A205" s="1"/>
      <c r="B205" s="1"/>
      <c r="C205" s="1"/>
      <c r="D205" s="1"/>
      <c r="E205" s="1"/>
      <c r="F205" s="1"/>
      <c r="G205" s="1"/>
      <c r="H205" s="1"/>
      <c r="I205" s="1"/>
      <c r="J205" s="1"/>
      <c r="K205" s="1"/>
      <c r="L205" s="1"/>
      <c r="M205" s="1"/>
      <c r="N205" s="1"/>
      <c r="O205" s="1"/>
      <c r="P205" s="1"/>
      <c r="Q205" s="1"/>
      <c r="R205" s="1"/>
      <c r="S205" s="1"/>
      <c r="T205" s="1"/>
      <c r="U205" s="1"/>
      <c r="V205" s="1"/>
      <c r="W205" s="1"/>
    </row>
    <row r="206" spans="1:23">
      <c r="A206" s="1"/>
      <c r="B206" s="1"/>
      <c r="C206" s="1"/>
      <c r="D206" s="1"/>
      <c r="E206" s="1"/>
      <c r="F206" s="1"/>
      <c r="G206" s="1"/>
      <c r="H206" s="1"/>
      <c r="I206" s="1"/>
      <c r="J206" s="1"/>
      <c r="K206" s="1"/>
      <c r="L206" s="1"/>
      <c r="M206" s="1"/>
      <c r="N206" s="1"/>
      <c r="O206" s="1"/>
      <c r="P206" s="1"/>
      <c r="Q206" s="1"/>
      <c r="R206" s="1"/>
      <c r="S206" s="1"/>
      <c r="T206" s="1"/>
      <c r="U206" s="1"/>
      <c r="V206" s="1"/>
      <c r="W206" s="1"/>
    </row>
    <row r="207" spans="1:23">
      <c r="A207" s="1"/>
      <c r="B207" s="1"/>
      <c r="C207" s="1"/>
      <c r="D207" s="1"/>
      <c r="E207" s="1"/>
      <c r="F207" s="1"/>
      <c r="G207" s="1"/>
      <c r="H207" s="1"/>
      <c r="I207" s="1"/>
      <c r="J207" s="1"/>
      <c r="K207" s="1"/>
      <c r="L207" s="1"/>
      <c r="M207" s="1"/>
      <c r="N207" s="1"/>
      <c r="O207" s="1"/>
      <c r="P207" s="1"/>
      <c r="Q207" s="1"/>
      <c r="R207" s="1"/>
      <c r="S207" s="1"/>
      <c r="T207" s="1"/>
      <c r="U207" s="1"/>
      <c r="V207" s="1"/>
      <c r="W207" s="1"/>
    </row>
    <row r="208" spans="1:23">
      <c r="A208" s="1"/>
      <c r="B208" s="1"/>
      <c r="C208" s="1"/>
      <c r="D208" s="1"/>
      <c r="E208" s="1"/>
      <c r="F208" s="1"/>
      <c r="G208" s="1"/>
      <c r="H208" s="1"/>
      <c r="I208" s="1"/>
      <c r="J208" s="1"/>
      <c r="K208" s="1"/>
      <c r="L208" s="1"/>
      <c r="M208" s="1"/>
      <c r="N208" s="1"/>
      <c r="O208" s="1"/>
      <c r="P208" s="1"/>
      <c r="Q208" s="1"/>
      <c r="R208" s="1"/>
      <c r="S208" s="1"/>
      <c r="T208" s="1"/>
      <c r="U208" s="1"/>
      <c r="V208" s="1"/>
      <c r="W208" s="1"/>
    </row>
    <row r="209" spans="1:23">
      <c r="A209" s="1"/>
      <c r="B209" s="1"/>
      <c r="C209" s="1"/>
      <c r="D209" s="1"/>
      <c r="E209" s="1"/>
      <c r="F209" s="1"/>
      <c r="G209" s="1"/>
      <c r="H209" s="1"/>
      <c r="I209" s="1"/>
      <c r="J209" s="1"/>
      <c r="K209" s="1"/>
      <c r="L209" s="1"/>
      <c r="M209" s="1"/>
      <c r="N209" s="1"/>
      <c r="O209" s="1"/>
      <c r="P209" s="1"/>
      <c r="Q209" s="1"/>
      <c r="R209" s="1"/>
      <c r="S209" s="1"/>
      <c r="T209" s="1"/>
      <c r="U209" s="1"/>
      <c r="V209" s="1"/>
      <c r="W209" s="1"/>
    </row>
    <row r="210" spans="1:23">
      <c r="A210" s="1"/>
      <c r="B210" s="1"/>
      <c r="C210" s="1"/>
      <c r="D210" s="1"/>
      <c r="E210" s="1"/>
      <c r="F210" s="1"/>
      <c r="G210" s="1"/>
      <c r="H210" s="1"/>
      <c r="I210" s="1"/>
      <c r="J210" s="1"/>
      <c r="K210" s="1"/>
      <c r="L210" s="1"/>
      <c r="M210" s="1"/>
      <c r="N210" s="1"/>
      <c r="O210" s="1"/>
      <c r="P210" s="1"/>
      <c r="Q210" s="1"/>
      <c r="R210" s="1"/>
      <c r="S210" s="1"/>
      <c r="T210" s="1"/>
      <c r="U210" s="1"/>
      <c r="V210" s="1"/>
      <c r="W210" s="1"/>
    </row>
    <row r="211" spans="1:23">
      <c r="A211" s="1"/>
      <c r="B211" s="1"/>
      <c r="C211" s="1"/>
      <c r="D211" s="1"/>
      <c r="E211" s="1"/>
      <c r="F211" s="1"/>
      <c r="G211" s="1"/>
      <c r="H211" s="1"/>
      <c r="I211" s="1"/>
      <c r="J211" s="1"/>
      <c r="K211" s="1"/>
      <c r="L211" s="1"/>
      <c r="M211" s="1"/>
      <c r="N211" s="1"/>
      <c r="O211" s="1"/>
      <c r="P211" s="1"/>
      <c r="Q211" s="1"/>
      <c r="R211" s="1"/>
      <c r="S211" s="1"/>
      <c r="T211" s="1"/>
      <c r="U211" s="1"/>
      <c r="V211" s="1"/>
      <c r="W211" s="1"/>
    </row>
    <row r="212" spans="1:23">
      <c r="A212" s="1"/>
      <c r="B212" s="1"/>
      <c r="C212" s="1"/>
      <c r="D212" s="1"/>
      <c r="E212" s="1"/>
      <c r="F212" s="1"/>
      <c r="G212" s="1"/>
      <c r="H212" s="1"/>
      <c r="I212" s="1"/>
      <c r="J212" s="1"/>
      <c r="K212" s="1"/>
      <c r="L212" s="1"/>
      <c r="M212" s="1"/>
      <c r="N212" s="1"/>
      <c r="O212" s="1"/>
      <c r="P212" s="1"/>
      <c r="Q212" s="1"/>
      <c r="R212" s="1"/>
      <c r="S212" s="1"/>
      <c r="T212" s="1"/>
      <c r="U212" s="1"/>
      <c r="V212" s="1"/>
      <c r="W212" s="1"/>
    </row>
    <row r="213" spans="1:23">
      <c r="A213" s="1"/>
      <c r="B213" s="1"/>
      <c r="C213" s="1"/>
      <c r="D213" s="1"/>
      <c r="E213" s="1"/>
      <c r="F213" s="1"/>
      <c r="G213" s="1"/>
      <c r="H213" s="1"/>
      <c r="I213" s="1"/>
      <c r="J213" s="1"/>
      <c r="K213" s="1"/>
      <c r="L213" s="1"/>
      <c r="M213" s="1"/>
      <c r="N213" s="1"/>
      <c r="O213" s="1"/>
      <c r="P213" s="1"/>
      <c r="Q213" s="1"/>
      <c r="R213" s="1"/>
      <c r="S213" s="1"/>
      <c r="T213" s="1"/>
      <c r="U213" s="1"/>
      <c r="V213" s="1"/>
      <c r="W213" s="1"/>
    </row>
    <row r="214" spans="1:23">
      <c r="A214" s="1"/>
      <c r="B214" s="1"/>
      <c r="C214" s="1"/>
      <c r="D214" s="1"/>
      <c r="E214" s="1"/>
      <c r="F214" s="1"/>
      <c r="G214" s="1"/>
      <c r="H214" s="1"/>
      <c r="I214" s="1"/>
      <c r="J214" s="1"/>
      <c r="K214" s="1"/>
      <c r="L214" s="1"/>
      <c r="M214" s="1"/>
      <c r="N214" s="1"/>
      <c r="O214" s="1"/>
      <c r="P214" s="1"/>
      <c r="Q214" s="1"/>
      <c r="R214" s="1"/>
      <c r="S214" s="1"/>
      <c r="T214" s="1"/>
      <c r="U214" s="1"/>
      <c r="V214" s="1"/>
      <c r="W214" s="1"/>
    </row>
    <row r="215" spans="1:23">
      <c r="A215" s="1"/>
      <c r="B215" s="1"/>
      <c r="C215" s="1"/>
      <c r="D215" s="1"/>
      <c r="E215" s="1"/>
      <c r="F215" s="1"/>
      <c r="G215" s="1"/>
      <c r="H215" s="1"/>
      <c r="I215" s="1"/>
      <c r="J215" s="1"/>
      <c r="K215" s="1"/>
      <c r="L215" s="1"/>
      <c r="M215" s="1"/>
      <c r="N215" s="1"/>
      <c r="O215" s="1"/>
      <c r="P215" s="1"/>
      <c r="Q215" s="1"/>
      <c r="R215" s="1"/>
      <c r="S215" s="1"/>
      <c r="T215" s="1"/>
      <c r="U215" s="1"/>
      <c r="V215" s="1"/>
      <c r="W215" s="1"/>
    </row>
    <row r="216" spans="1:23">
      <c r="A216" s="1"/>
      <c r="B216" s="1"/>
      <c r="C216" s="1"/>
      <c r="D216" s="1"/>
      <c r="E216" s="1"/>
      <c r="F216" s="1"/>
      <c r="G216" s="1"/>
      <c r="H216" s="1"/>
      <c r="I216" s="1"/>
      <c r="J216" s="1"/>
      <c r="K216" s="1"/>
      <c r="L216" s="1"/>
      <c r="M216" s="1"/>
      <c r="N216" s="1"/>
      <c r="O216" s="1"/>
      <c r="P216" s="1"/>
      <c r="Q216" s="1"/>
      <c r="R216" s="1"/>
      <c r="S216" s="1"/>
      <c r="T216" s="1"/>
      <c r="U216" s="1"/>
      <c r="V216" s="1"/>
      <c r="W216" s="1"/>
    </row>
    <row r="217" spans="1:23">
      <c r="A217" s="1"/>
      <c r="B217" s="1"/>
      <c r="C217" s="1"/>
      <c r="D217" s="1"/>
      <c r="E217" s="1"/>
      <c r="F217" s="1"/>
      <c r="G217" s="1"/>
      <c r="H217" s="1"/>
      <c r="I217" s="1"/>
      <c r="J217" s="1"/>
      <c r="K217" s="1"/>
      <c r="L217" s="1"/>
      <c r="M217" s="1"/>
      <c r="N217" s="1"/>
      <c r="O217" s="1"/>
      <c r="P217" s="1"/>
      <c r="Q217" s="1"/>
      <c r="R217" s="1"/>
      <c r="S217" s="1"/>
      <c r="T217" s="1"/>
      <c r="U217" s="1"/>
      <c r="V217" s="1"/>
      <c r="W217" s="1"/>
    </row>
    <row r="218" spans="1:23">
      <c r="A218" s="1"/>
      <c r="B218" s="1"/>
      <c r="C218" s="1"/>
      <c r="D218" s="1"/>
      <c r="E218" s="1"/>
      <c r="F218" s="1"/>
      <c r="G218" s="1"/>
      <c r="H218" s="1"/>
      <c r="I218" s="1"/>
      <c r="J218" s="1"/>
      <c r="K218" s="1"/>
      <c r="L218" s="1"/>
      <c r="M218" s="1"/>
      <c r="N218" s="1"/>
      <c r="O218" s="1"/>
      <c r="P218" s="1"/>
      <c r="Q218" s="1"/>
      <c r="R218" s="1"/>
      <c r="S218" s="1"/>
      <c r="T218" s="1"/>
      <c r="U218" s="1"/>
      <c r="V218" s="1"/>
      <c r="W218" s="1"/>
    </row>
    <row r="219" spans="1:23">
      <c r="A219" s="1"/>
      <c r="B219" s="1"/>
      <c r="C219" s="1"/>
      <c r="D219" s="1"/>
      <c r="E219" s="1"/>
      <c r="F219" s="1"/>
      <c r="G219" s="1"/>
      <c r="H219" s="1"/>
      <c r="I219" s="1"/>
      <c r="J219" s="1"/>
      <c r="K219" s="1"/>
      <c r="L219" s="1"/>
      <c r="M219" s="1"/>
      <c r="N219" s="1"/>
      <c r="O219" s="1"/>
      <c r="P219" s="1"/>
      <c r="Q219" s="1"/>
      <c r="R219" s="1"/>
      <c r="S219" s="1"/>
      <c r="T219" s="1"/>
      <c r="U219" s="1"/>
      <c r="V219" s="1"/>
      <c r="W219" s="1"/>
    </row>
    <row r="220" spans="1:23">
      <c r="A220" s="1"/>
      <c r="B220" s="1"/>
      <c r="C220" s="1"/>
      <c r="D220" s="1"/>
      <c r="E220" s="1"/>
      <c r="F220" s="1"/>
      <c r="G220" s="1"/>
      <c r="H220" s="1"/>
      <c r="I220" s="1"/>
      <c r="J220" s="1"/>
      <c r="K220" s="1"/>
      <c r="L220" s="1"/>
      <c r="M220" s="1"/>
      <c r="N220" s="1"/>
      <c r="O220" s="1"/>
      <c r="P220" s="1"/>
      <c r="Q220" s="1"/>
      <c r="R220" s="1"/>
      <c r="S220" s="1"/>
      <c r="T220" s="1"/>
      <c r="U220" s="1"/>
      <c r="V220" s="1"/>
      <c r="W220" s="1"/>
    </row>
    <row r="221" spans="1:23">
      <c r="A221" s="1"/>
      <c r="B221" s="1"/>
      <c r="C221" s="1"/>
      <c r="D221" s="1"/>
      <c r="E221" s="1"/>
      <c r="F221" s="1"/>
      <c r="G221" s="1"/>
      <c r="H221" s="1"/>
      <c r="I221" s="1"/>
      <c r="J221" s="1"/>
      <c r="K221" s="1"/>
      <c r="L221" s="1"/>
      <c r="M221" s="1"/>
      <c r="N221" s="1"/>
      <c r="O221" s="1"/>
      <c r="P221" s="1"/>
      <c r="Q221" s="1"/>
      <c r="R221" s="1"/>
      <c r="S221" s="1"/>
      <c r="T221" s="1"/>
      <c r="U221" s="1"/>
      <c r="V221" s="1"/>
      <c r="W221" s="1"/>
    </row>
    <row r="222" spans="1:23">
      <c r="A222" s="1"/>
      <c r="B222" s="1"/>
      <c r="C222" s="1"/>
      <c r="D222" s="1"/>
      <c r="E222" s="1"/>
      <c r="F222" s="1"/>
      <c r="G222" s="1"/>
      <c r="H222" s="1"/>
      <c r="I222" s="1"/>
      <c r="J222" s="1"/>
      <c r="K222" s="1"/>
      <c r="L222" s="1"/>
      <c r="M222" s="1"/>
      <c r="N222" s="1"/>
      <c r="O222" s="1"/>
      <c r="P222" s="1"/>
      <c r="Q222" s="1"/>
      <c r="R222" s="1"/>
      <c r="S222" s="1"/>
      <c r="T222" s="1"/>
      <c r="U222" s="1"/>
      <c r="V222" s="1"/>
      <c r="W222" s="1"/>
    </row>
    <row r="223" spans="1:23">
      <c r="A223" s="1"/>
      <c r="B223" s="1"/>
      <c r="C223" s="1"/>
      <c r="D223" s="1"/>
      <c r="E223" s="1"/>
      <c r="F223" s="1"/>
      <c r="G223" s="1"/>
      <c r="H223" s="1"/>
      <c r="I223" s="1"/>
      <c r="J223" s="1"/>
      <c r="K223" s="1"/>
      <c r="L223" s="1"/>
      <c r="M223" s="1"/>
      <c r="N223" s="1"/>
      <c r="O223" s="1"/>
      <c r="P223" s="1"/>
      <c r="Q223" s="1"/>
      <c r="R223" s="1"/>
      <c r="S223" s="1"/>
      <c r="T223" s="1"/>
      <c r="U223" s="1"/>
      <c r="V223" s="1"/>
      <c r="W223" s="1"/>
    </row>
    <row r="224" spans="1:23">
      <c r="A224" s="1"/>
      <c r="B224" s="1"/>
      <c r="C224" s="1"/>
      <c r="D224" s="1"/>
      <c r="E224" s="1"/>
      <c r="F224" s="1"/>
      <c r="G224" s="1"/>
      <c r="H224" s="1"/>
      <c r="I224" s="1"/>
      <c r="J224" s="1"/>
      <c r="K224" s="1"/>
      <c r="L224" s="1"/>
      <c r="M224" s="1"/>
      <c r="N224" s="1"/>
      <c r="O224" s="1"/>
      <c r="P224" s="1"/>
      <c r="Q224" s="1"/>
      <c r="R224" s="1"/>
      <c r="S224" s="1"/>
      <c r="T224" s="1"/>
      <c r="U224" s="1"/>
      <c r="V224" s="1"/>
      <c r="W224" s="1"/>
    </row>
    <row r="225" spans="1:23">
      <c r="A225" s="1"/>
      <c r="B225" s="1"/>
      <c r="C225" s="1"/>
      <c r="D225" s="1"/>
      <c r="E225" s="1"/>
      <c r="F225" s="1"/>
      <c r="G225" s="1"/>
      <c r="H225" s="1"/>
      <c r="I225" s="1"/>
      <c r="J225" s="1"/>
      <c r="K225" s="1"/>
      <c r="L225" s="1"/>
      <c r="M225" s="1"/>
      <c r="N225" s="1"/>
      <c r="O225" s="1"/>
      <c r="P225" s="1"/>
      <c r="Q225" s="1"/>
      <c r="R225" s="1"/>
      <c r="S225" s="1"/>
      <c r="T225" s="1"/>
      <c r="U225" s="1"/>
      <c r="V225" s="1"/>
      <c r="W225" s="1"/>
    </row>
    <row r="226" spans="1:23">
      <c r="A226" s="1"/>
      <c r="B226" s="1"/>
      <c r="C226" s="1"/>
      <c r="D226" s="1"/>
      <c r="E226" s="1"/>
      <c r="F226" s="1"/>
      <c r="G226" s="1"/>
      <c r="H226" s="1"/>
      <c r="I226" s="1"/>
      <c r="J226" s="1"/>
      <c r="K226" s="1"/>
      <c r="L226" s="1"/>
      <c r="M226" s="1"/>
      <c r="N226" s="1"/>
      <c r="O226" s="1"/>
      <c r="P226" s="1"/>
      <c r="Q226" s="1"/>
      <c r="R226" s="1"/>
      <c r="S226" s="1"/>
      <c r="T226" s="1"/>
      <c r="U226" s="1"/>
      <c r="V226" s="1"/>
      <c r="W226" s="1"/>
    </row>
    <row r="227" spans="1:23">
      <c r="A227" s="1"/>
      <c r="B227" s="1"/>
      <c r="C227" s="1"/>
      <c r="D227" s="1"/>
      <c r="E227" s="1"/>
      <c r="F227" s="1"/>
      <c r="G227" s="1"/>
      <c r="H227" s="1"/>
      <c r="I227" s="1"/>
      <c r="J227" s="1"/>
      <c r="K227" s="1"/>
      <c r="L227" s="1"/>
      <c r="M227" s="1"/>
      <c r="N227" s="1"/>
      <c r="O227" s="1"/>
      <c r="P227" s="1"/>
      <c r="Q227" s="1"/>
      <c r="R227" s="1"/>
      <c r="S227" s="1"/>
      <c r="T227" s="1"/>
      <c r="U227" s="1"/>
      <c r="V227" s="1"/>
      <c r="W227" s="1"/>
    </row>
    <row r="228" spans="1:23">
      <c r="A228" s="1"/>
      <c r="B228" s="1"/>
      <c r="C228" s="1"/>
      <c r="D228" s="1"/>
      <c r="E228" s="1"/>
      <c r="F228" s="1"/>
      <c r="G228" s="1"/>
      <c r="H228" s="1"/>
      <c r="I228" s="1"/>
      <c r="J228" s="1"/>
      <c r="K228" s="1"/>
      <c r="L228" s="1"/>
      <c r="M228" s="1"/>
      <c r="N228" s="1"/>
      <c r="O228" s="1"/>
      <c r="P228" s="1"/>
      <c r="Q228" s="1"/>
      <c r="R228" s="1"/>
      <c r="S228" s="1"/>
      <c r="T228" s="1"/>
      <c r="U228" s="1"/>
      <c r="V228" s="1"/>
      <c r="W228" s="1"/>
    </row>
    <row r="229" spans="1:23">
      <c r="A229" s="1"/>
      <c r="B229" s="1"/>
      <c r="C229" s="1"/>
      <c r="D229" s="1"/>
      <c r="E229" s="1"/>
      <c r="F229" s="1"/>
      <c r="G229" s="1"/>
      <c r="H229" s="1"/>
      <c r="I229" s="1"/>
      <c r="J229" s="1"/>
      <c r="K229" s="1"/>
      <c r="L229" s="1"/>
      <c r="M229" s="1"/>
      <c r="N229" s="1"/>
      <c r="O229" s="1"/>
      <c r="P229" s="1"/>
      <c r="Q229" s="1"/>
      <c r="R229" s="1"/>
      <c r="S229" s="1"/>
      <c r="T229" s="1"/>
      <c r="U229" s="1"/>
      <c r="V229" s="1"/>
      <c r="W229" s="1"/>
    </row>
    <row r="230" spans="1:23">
      <c r="A230" s="1"/>
      <c r="B230" s="1"/>
      <c r="C230" s="1"/>
      <c r="D230" s="1"/>
      <c r="E230" s="1"/>
      <c r="F230" s="1"/>
      <c r="G230" s="1"/>
      <c r="H230" s="1"/>
      <c r="I230" s="1"/>
      <c r="J230" s="1"/>
      <c r="K230" s="1"/>
      <c r="L230" s="1"/>
      <c r="M230" s="1"/>
      <c r="N230" s="1"/>
      <c r="O230" s="1"/>
      <c r="P230" s="1"/>
      <c r="Q230" s="1"/>
      <c r="R230" s="1"/>
      <c r="S230" s="1"/>
      <c r="T230" s="1"/>
      <c r="U230" s="1"/>
      <c r="V230" s="1"/>
      <c r="W230" s="1"/>
    </row>
    <row r="231" spans="1:23">
      <c r="A231" s="1"/>
      <c r="B231" s="1"/>
      <c r="C231" s="1"/>
      <c r="D231" s="1"/>
      <c r="E231" s="1"/>
      <c r="F231" s="1"/>
      <c r="G231" s="1"/>
      <c r="H231" s="1"/>
      <c r="I231" s="1"/>
      <c r="J231" s="1"/>
      <c r="K231" s="1"/>
      <c r="L231" s="1"/>
      <c r="M231" s="1"/>
      <c r="N231" s="1"/>
      <c r="O231" s="1"/>
      <c r="P231" s="1"/>
      <c r="Q231" s="1"/>
      <c r="R231" s="1"/>
      <c r="S231" s="1"/>
      <c r="T231" s="1"/>
      <c r="U231" s="1"/>
      <c r="V231" s="1"/>
      <c r="W231" s="1"/>
    </row>
    <row r="232" spans="1:23">
      <c r="A232" s="1"/>
      <c r="B232" s="1"/>
      <c r="C232" s="1"/>
      <c r="D232" s="1"/>
      <c r="E232" s="1"/>
      <c r="F232" s="1"/>
      <c r="G232" s="1"/>
      <c r="H232" s="1"/>
      <c r="I232" s="1"/>
      <c r="J232" s="1"/>
      <c r="K232" s="1"/>
      <c r="L232" s="1"/>
      <c r="M232" s="1"/>
      <c r="N232" s="1"/>
      <c r="O232" s="1"/>
      <c r="P232" s="1"/>
      <c r="Q232" s="1"/>
      <c r="R232" s="1"/>
      <c r="S232" s="1"/>
      <c r="T232" s="1"/>
      <c r="U232" s="1"/>
      <c r="V232" s="1"/>
      <c r="W232" s="1"/>
    </row>
    <row r="233" spans="1:23">
      <c r="A233" s="1"/>
      <c r="B233" s="1"/>
      <c r="C233" s="1"/>
      <c r="D233" s="1"/>
      <c r="E233" s="1"/>
      <c r="F233" s="1"/>
      <c r="G233" s="1"/>
      <c r="H233" s="1"/>
      <c r="I233" s="1"/>
      <c r="J233" s="1"/>
      <c r="K233" s="1"/>
      <c r="L233" s="1"/>
      <c r="M233" s="1"/>
      <c r="N233" s="1"/>
      <c r="O233" s="1"/>
      <c r="P233" s="1"/>
      <c r="Q233" s="1"/>
      <c r="R233" s="1"/>
      <c r="S233" s="1"/>
      <c r="T233" s="1"/>
      <c r="U233" s="1"/>
      <c r="V233" s="1"/>
      <c r="W233" s="1"/>
    </row>
    <row r="234" spans="1:23">
      <c r="A234" s="1"/>
      <c r="B234" s="1"/>
      <c r="C234" s="1"/>
      <c r="D234" s="1"/>
      <c r="E234" s="1"/>
      <c r="F234" s="1"/>
      <c r="G234" s="1"/>
      <c r="H234" s="1"/>
      <c r="I234" s="1"/>
      <c r="J234" s="1"/>
      <c r="K234" s="1"/>
      <c r="L234" s="1"/>
      <c r="M234" s="1"/>
      <c r="N234" s="1"/>
      <c r="O234" s="1"/>
      <c r="P234" s="1"/>
      <c r="Q234" s="1"/>
      <c r="R234" s="1"/>
      <c r="S234" s="1"/>
      <c r="T234" s="1"/>
      <c r="U234" s="1"/>
      <c r="V234" s="1"/>
      <c r="W234" s="1"/>
    </row>
    <row r="235" spans="1:23">
      <c r="A235" s="1"/>
      <c r="B235" s="1"/>
      <c r="C235" s="1"/>
      <c r="D235" s="1"/>
      <c r="E235" s="1"/>
      <c r="F235" s="1"/>
      <c r="G235" s="1"/>
      <c r="H235" s="1"/>
      <c r="I235" s="1"/>
      <c r="J235" s="1"/>
      <c r="K235" s="1"/>
      <c r="L235" s="1"/>
      <c r="M235" s="1"/>
      <c r="N235" s="1"/>
      <c r="O235" s="1"/>
      <c r="P235" s="1"/>
      <c r="Q235" s="1"/>
      <c r="R235" s="1"/>
      <c r="S235" s="1"/>
      <c r="T235" s="1"/>
      <c r="U235" s="1"/>
      <c r="V235" s="1"/>
      <c r="W235" s="1"/>
    </row>
    <row r="236" spans="1:23">
      <c r="A236" s="1"/>
      <c r="B236" s="1"/>
      <c r="C236" s="1"/>
      <c r="D236" s="1"/>
      <c r="E236" s="1"/>
      <c r="F236" s="1"/>
      <c r="G236" s="1"/>
      <c r="H236" s="1"/>
      <c r="I236" s="1"/>
      <c r="J236" s="1"/>
      <c r="K236" s="1"/>
      <c r="L236" s="1"/>
      <c r="M236" s="1"/>
      <c r="N236" s="1"/>
      <c r="O236" s="1"/>
      <c r="P236" s="1"/>
      <c r="Q236" s="1"/>
      <c r="R236" s="1"/>
      <c r="S236" s="1"/>
      <c r="T236" s="1"/>
      <c r="U236" s="1"/>
      <c r="V236" s="1"/>
      <c r="W236" s="1"/>
    </row>
    <row r="237" spans="1:23">
      <c r="A237" s="1"/>
      <c r="B237" s="1"/>
      <c r="C237" s="1"/>
      <c r="D237" s="1"/>
      <c r="E237" s="1"/>
      <c r="F237" s="1"/>
      <c r="G237" s="1"/>
      <c r="H237" s="1"/>
      <c r="I237" s="1"/>
      <c r="J237" s="1"/>
      <c r="K237" s="1"/>
      <c r="L237" s="1"/>
      <c r="M237" s="1"/>
      <c r="N237" s="1"/>
      <c r="O237" s="1"/>
      <c r="P237" s="1"/>
      <c r="Q237" s="1"/>
      <c r="R237" s="1"/>
      <c r="S237" s="1"/>
      <c r="T237" s="1"/>
      <c r="U237" s="1"/>
      <c r="V237" s="1"/>
      <c r="W237" s="1"/>
    </row>
    <row r="238" spans="1:23">
      <c r="A238" s="1"/>
      <c r="B238" s="1"/>
      <c r="C238" s="1"/>
      <c r="D238" s="1"/>
      <c r="E238" s="1"/>
      <c r="F238" s="1"/>
      <c r="G238" s="1"/>
      <c r="H238" s="1"/>
      <c r="I238" s="1"/>
      <c r="J238" s="1"/>
      <c r="K238" s="1"/>
      <c r="L238" s="1"/>
      <c r="M238" s="1"/>
      <c r="N238" s="1"/>
      <c r="O238" s="1"/>
      <c r="P238" s="1"/>
      <c r="Q238" s="1"/>
      <c r="R238" s="1"/>
      <c r="S238" s="1"/>
      <c r="T238" s="1"/>
      <c r="U238" s="1"/>
      <c r="V238" s="1"/>
      <c r="W238" s="1"/>
    </row>
    <row r="239" spans="1:23">
      <c r="A239" s="1"/>
      <c r="B239" s="1"/>
      <c r="C239" s="1"/>
      <c r="D239" s="1"/>
      <c r="E239" s="1"/>
      <c r="F239" s="1"/>
      <c r="G239" s="1"/>
      <c r="H239" s="1"/>
      <c r="I239" s="1"/>
      <c r="J239" s="1"/>
      <c r="K239" s="1"/>
      <c r="L239" s="1"/>
      <c r="M239" s="1"/>
      <c r="N239" s="1"/>
      <c r="O239" s="1"/>
      <c r="P239" s="1"/>
      <c r="Q239" s="1"/>
      <c r="R239" s="1"/>
      <c r="S239" s="1"/>
      <c r="T239" s="1"/>
      <c r="U239" s="1"/>
      <c r="V239" s="1"/>
      <c r="W239" s="1"/>
    </row>
    <row r="240" spans="1:23">
      <c r="A240" s="1"/>
      <c r="B240" s="1"/>
      <c r="C240" s="1"/>
      <c r="D240" s="1"/>
      <c r="E240" s="1"/>
      <c r="F240" s="1"/>
      <c r="G240" s="1"/>
      <c r="H240" s="1"/>
      <c r="I240" s="1"/>
      <c r="J240" s="1"/>
      <c r="K240" s="1"/>
      <c r="L240" s="1"/>
      <c r="M240" s="1"/>
      <c r="N240" s="1"/>
      <c r="O240" s="1"/>
      <c r="P240" s="1"/>
      <c r="Q240" s="1"/>
      <c r="R240" s="1"/>
      <c r="S240" s="1"/>
      <c r="T240" s="1"/>
      <c r="U240" s="1"/>
      <c r="V240" s="1"/>
      <c r="W240" s="1"/>
    </row>
    <row r="241" spans="1:23">
      <c r="A241" s="1"/>
      <c r="B241" s="1"/>
      <c r="C241" s="1"/>
      <c r="D241" s="1"/>
      <c r="E241" s="1"/>
      <c r="F241" s="1"/>
      <c r="G241" s="1"/>
      <c r="H241" s="1"/>
      <c r="I241" s="1"/>
      <c r="J241" s="1"/>
      <c r="K241" s="1"/>
      <c r="L241" s="1"/>
      <c r="M241" s="1"/>
      <c r="N241" s="1"/>
      <c r="O241" s="1"/>
      <c r="P241" s="1"/>
      <c r="Q241" s="1"/>
      <c r="R241" s="1"/>
      <c r="S241" s="1"/>
      <c r="T241" s="1"/>
      <c r="U241" s="1"/>
      <c r="V241" s="1"/>
      <c r="W241" s="1"/>
    </row>
    <row r="242" spans="1:23">
      <c r="A242" s="1"/>
      <c r="B242" s="1"/>
      <c r="C242" s="1"/>
      <c r="D242" s="1"/>
      <c r="E242" s="1"/>
      <c r="F242" s="1"/>
      <c r="G242" s="1"/>
      <c r="H242" s="1"/>
      <c r="I242" s="1"/>
      <c r="J242" s="1"/>
      <c r="K242" s="1"/>
      <c r="L242" s="1"/>
      <c r="M242" s="1"/>
      <c r="N242" s="1"/>
      <c r="O242" s="1"/>
      <c r="P242" s="1"/>
      <c r="Q242" s="1"/>
      <c r="R242" s="1"/>
      <c r="S242" s="1"/>
      <c r="T242" s="1"/>
      <c r="U242" s="1"/>
      <c r="V242" s="1"/>
      <c r="W242" s="1"/>
    </row>
    <row r="243" spans="1:23">
      <c r="A243" s="1"/>
      <c r="B243" s="1"/>
      <c r="C243" s="1"/>
      <c r="D243" s="1"/>
      <c r="E243" s="1"/>
      <c r="F243" s="1"/>
      <c r="G243" s="1"/>
      <c r="H243" s="1"/>
      <c r="I243" s="1"/>
      <c r="J243" s="1"/>
      <c r="K243" s="1"/>
      <c r="L243" s="1"/>
      <c r="M243" s="1"/>
      <c r="N243" s="1"/>
      <c r="O243" s="1"/>
      <c r="P243" s="1"/>
      <c r="Q243" s="1"/>
      <c r="R243" s="1"/>
      <c r="S243" s="1"/>
      <c r="T243" s="1"/>
      <c r="U243" s="1"/>
      <c r="V243" s="1"/>
      <c r="W243" s="1"/>
    </row>
    <row r="244" spans="1:23">
      <c r="A244" s="1"/>
      <c r="B244" s="1"/>
      <c r="C244" s="1"/>
      <c r="D244" s="1"/>
      <c r="E244" s="1"/>
      <c r="F244" s="1"/>
      <c r="G244" s="1"/>
      <c r="H244" s="1"/>
      <c r="I244" s="1"/>
      <c r="J244" s="1"/>
      <c r="K244" s="1"/>
      <c r="L244" s="1"/>
      <c r="M244" s="1"/>
      <c r="N244" s="1"/>
      <c r="O244" s="1"/>
      <c r="P244" s="1"/>
      <c r="Q244" s="1"/>
      <c r="R244" s="1"/>
      <c r="S244" s="1"/>
      <c r="T244" s="1"/>
      <c r="U244" s="1"/>
      <c r="V244" s="1"/>
      <c r="W244" s="1"/>
    </row>
    <row r="245" spans="1:23">
      <c r="A245" s="1"/>
      <c r="B245" s="1"/>
      <c r="C245" s="1"/>
      <c r="D245" s="1"/>
      <c r="E245" s="1"/>
      <c r="F245" s="1"/>
      <c r="G245" s="1"/>
      <c r="H245" s="1"/>
      <c r="I245" s="1"/>
      <c r="J245" s="1"/>
      <c r="K245" s="1"/>
      <c r="L245" s="1"/>
      <c r="M245" s="1"/>
      <c r="N245" s="1"/>
      <c r="O245" s="1"/>
      <c r="P245" s="1"/>
      <c r="Q245" s="1"/>
      <c r="R245" s="1"/>
      <c r="S245" s="1"/>
      <c r="T245" s="1"/>
      <c r="U245" s="1"/>
      <c r="V245" s="1"/>
      <c r="W245" s="1"/>
    </row>
    <row r="246" spans="1:23">
      <c r="A246" s="1"/>
      <c r="B246" s="1"/>
      <c r="C246" s="1"/>
      <c r="D246" s="1"/>
      <c r="E246" s="1"/>
      <c r="F246" s="1"/>
      <c r="G246" s="1"/>
      <c r="H246" s="1"/>
      <c r="I246" s="1"/>
      <c r="J246" s="1"/>
      <c r="K246" s="1"/>
      <c r="L246" s="1"/>
      <c r="M246" s="1"/>
      <c r="N246" s="1"/>
      <c r="O246" s="1"/>
      <c r="P246" s="1"/>
      <c r="Q246" s="1"/>
      <c r="R246" s="1"/>
      <c r="S246" s="1"/>
      <c r="T246" s="1"/>
      <c r="U246" s="1"/>
      <c r="V246" s="1"/>
      <c r="W246" s="1"/>
    </row>
    <row r="247" spans="1:23">
      <c r="A247" s="1"/>
      <c r="B247" s="1"/>
      <c r="C247" s="1"/>
      <c r="D247" s="1"/>
      <c r="E247" s="1"/>
      <c r="F247" s="1"/>
      <c r="G247" s="1"/>
      <c r="H247" s="1"/>
      <c r="I247" s="1"/>
      <c r="J247" s="1"/>
      <c r="K247" s="1"/>
      <c r="L247" s="1"/>
      <c r="M247" s="1"/>
      <c r="N247" s="1"/>
      <c r="O247" s="1"/>
      <c r="P247" s="1"/>
      <c r="Q247" s="1"/>
      <c r="R247" s="1"/>
      <c r="S247" s="1"/>
      <c r="T247" s="1"/>
      <c r="U247" s="1"/>
      <c r="V247" s="1"/>
      <c r="W247" s="1"/>
    </row>
    <row r="248" spans="1:23">
      <c r="A248" s="1"/>
      <c r="B248" s="1"/>
      <c r="C248" s="1"/>
      <c r="D248" s="1"/>
      <c r="E248" s="1"/>
      <c r="F248" s="1"/>
      <c r="G248" s="1"/>
      <c r="H248" s="1"/>
      <c r="I248" s="1"/>
      <c r="J248" s="1"/>
      <c r="K248" s="1"/>
      <c r="L248" s="1"/>
      <c r="M248" s="1"/>
      <c r="N248" s="1"/>
      <c r="O248" s="1"/>
      <c r="P248" s="1"/>
      <c r="Q248" s="1"/>
      <c r="R248" s="1"/>
      <c r="S248" s="1"/>
      <c r="T248" s="1"/>
      <c r="U248" s="1"/>
      <c r="V248" s="1"/>
      <c r="W248" s="1"/>
    </row>
    <row r="249" spans="1:23">
      <c r="A249" s="1"/>
      <c r="B249" s="1"/>
      <c r="C249" s="1"/>
      <c r="D249" s="1"/>
      <c r="E249" s="1"/>
      <c r="F249" s="1"/>
      <c r="G249" s="1"/>
      <c r="H249" s="1"/>
      <c r="I249" s="1"/>
      <c r="J249" s="1"/>
      <c r="K249" s="1"/>
      <c r="L249" s="1"/>
      <c r="M249" s="1"/>
      <c r="N249" s="1"/>
      <c r="O249" s="1"/>
      <c r="P249" s="1"/>
      <c r="Q249" s="1"/>
      <c r="R249" s="1"/>
      <c r="S249" s="1"/>
      <c r="T249" s="1"/>
      <c r="U249" s="1"/>
      <c r="V249" s="1"/>
      <c r="W249" s="1"/>
    </row>
    <row r="250" spans="1:23">
      <c r="A250" s="1"/>
      <c r="B250" s="1"/>
      <c r="C250" s="1"/>
      <c r="D250" s="1"/>
      <c r="E250" s="1"/>
      <c r="F250" s="1"/>
      <c r="G250" s="1"/>
      <c r="H250" s="1"/>
      <c r="I250" s="1"/>
      <c r="J250" s="1"/>
      <c r="K250" s="1"/>
      <c r="L250" s="1"/>
      <c r="M250" s="1"/>
      <c r="N250" s="1"/>
      <c r="O250" s="1"/>
      <c r="P250" s="1"/>
      <c r="Q250" s="1"/>
      <c r="R250" s="1"/>
      <c r="S250" s="1"/>
      <c r="T250" s="1"/>
      <c r="U250" s="1"/>
      <c r="V250" s="1"/>
      <c r="W250" s="1"/>
    </row>
    <row r="251" spans="1:23">
      <c r="A251" s="1"/>
      <c r="B251" s="1"/>
      <c r="C251" s="1"/>
      <c r="D251" s="1"/>
      <c r="E251" s="1"/>
      <c r="F251" s="1"/>
      <c r="G251" s="1"/>
      <c r="H251" s="1"/>
      <c r="I251" s="1"/>
      <c r="J251" s="1"/>
      <c r="K251" s="1"/>
      <c r="L251" s="1"/>
      <c r="M251" s="1"/>
      <c r="N251" s="1"/>
      <c r="O251" s="1"/>
      <c r="P251" s="1"/>
      <c r="Q251" s="1"/>
      <c r="R251" s="1"/>
      <c r="S251" s="1"/>
      <c r="T251" s="1"/>
      <c r="U251" s="1"/>
      <c r="V251" s="1"/>
      <c r="W251" s="1"/>
    </row>
    <row r="252" spans="1:23">
      <c r="A252" s="1"/>
      <c r="B252" s="1"/>
      <c r="C252" s="1"/>
      <c r="D252" s="1"/>
      <c r="E252" s="1"/>
      <c r="F252" s="1"/>
      <c r="G252" s="1"/>
      <c r="H252" s="1"/>
      <c r="I252" s="1"/>
      <c r="J252" s="1"/>
      <c r="K252" s="1"/>
      <c r="L252" s="1"/>
      <c r="M252" s="1"/>
      <c r="N252" s="1"/>
      <c r="O252" s="1"/>
      <c r="P252" s="1"/>
      <c r="Q252" s="1"/>
      <c r="R252" s="1"/>
      <c r="S252" s="1"/>
      <c r="T252" s="1"/>
      <c r="U252" s="1"/>
      <c r="V252" s="1"/>
      <c r="W252" s="1"/>
    </row>
    <row r="253" spans="1:23">
      <c r="A253" s="1"/>
      <c r="B253" s="1"/>
      <c r="C253" s="1"/>
      <c r="D253" s="1"/>
      <c r="E253" s="1"/>
      <c r="F253" s="1"/>
      <c r="G253" s="1"/>
      <c r="H253" s="1"/>
      <c r="I253" s="1"/>
      <c r="J253" s="1"/>
      <c r="K253" s="1"/>
      <c r="L253" s="1"/>
      <c r="M253" s="1"/>
      <c r="N253" s="1"/>
      <c r="O253" s="1"/>
      <c r="P253" s="1"/>
      <c r="Q253" s="1"/>
      <c r="R253" s="1"/>
      <c r="S253" s="1"/>
      <c r="T253" s="1"/>
      <c r="U253" s="1"/>
      <c r="V253" s="1"/>
      <c r="W253" s="1"/>
    </row>
    <row r="254" spans="1:23">
      <c r="A254" s="1"/>
      <c r="B254" s="1"/>
      <c r="C254" s="1"/>
      <c r="D254" s="1"/>
      <c r="E254" s="1"/>
      <c r="F254" s="1"/>
      <c r="G254" s="1"/>
      <c r="H254" s="1"/>
      <c r="I254" s="1"/>
      <c r="J254" s="1"/>
      <c r="K254" s="1"/>
      <c r="L254" s="1"/>
      <c r="M254" s="1"/>
      <c r="N254" s="1"/>
      <c r="O254" s="1"/>
      <c r="P254" s="1"/>
      <c r="Q254" s="1"/>
      <c r="R254" s="1"/>
      <c r="S254" s="1"/>
      <c r="T254" s="1"/>
      <c r="U254" s="1"/>
      <c r="V254" s="1"/>
      <c r="W254" s="1"/>
    </row>
    <row r="255" spans="1:23">
      <c r="A255" s="1"/>
      <c r="B255" s="1"/>
      <c r="C255" s="1"/>
      <c r="D255" s="1"/>
      <c r="E255" s="1"/>
      <c r="F255" s="1"/>
      <c r="G255" s="1"/>
      <c r="H255" s="1"/>
      <c r="I255" s="1"/>
      <c r="J255" s="1"/>
      <c r="K255" s="1"/>
      <c r="L255" s="1"/>
      <c r="M255" s="1"/>
      <c r="N255" s="1"/>
      <c r="O255" s="1"/>
      <c r="P255" s="1"/>
      <c r="Q255" s="1"/>
      <c r="R255" s="1"/>
      <c r="S255" s="1"/>
      <c r="T255" s="1"/>
      <c r="U255" s="1"/>
      <c r="V255" s="1"/>
      <c r="W255" s="1"/>
    </row>
    <row r="256" spans="1:23">
      <c r="A256" s="1"/>
      <c r="B256" s="1"/>
      <c r="C256" s="1"/>
      <c r="D256" s="1"/>
      <c r="E256" s="1"/>
      <c r="F256" s="1"/>
      <c r="G256" s="1"/>
      <c r="H256" s="1"/>
      <c r="I256" s="1"/>
      <c r="J256" s="1"/>
      <c r="K256" s="1"/>
      <c r="L256" s="1"/>
      <c r="M256" s="1"/>
      <c r="N256" s="1"/>
      <c r="O256" s="1"/>
      <c r="P256" s="1"/>
      <c r="Q256" s="1"/>
      <c r="R256" s="1"/>
      <c r="S256" s="1"/>
      <c r="T256" s="1"/>
      <c r="U256" s="1"/>
      <c r="V256" s="1"/>
      <c r="W256" s="1"/>
    </row>
    <row r="257" spans="1:23">
      <c r="A257" s="1"/>
      <c r="B257" s="1"/>
      <c r="C257" s="1"/>
      <c r="D257" s="1"/>
      <c r="E257" s="1"/>
      <c r="F257" s="1"/>
      <c r="G257" s="1"/>
      <c r="H257" s="1"/>
      <c r="I257" s="1"/>
      <c r="J257" s="1"/>
      <c r="K257" s="1"/>
      <c r="L257" s="1"/>
      <c r="M257" s="1"/>
      <c r="N257" s="1"/>
      <c r="O257" s="1"/>
      <c r="P257" s="1"/>
      <c r="Q257" s="1"/>
      <c r="R257" s="1"/>
      <c r="S257" s="1"/>
      <c r="T257" s="1"/>
      <c r="U257" s="1"/>
      <c r="V257" s="1"/>
      <c r="W257" s="1"/>
    </row>
    <row r="258" spans="1:23">
      <c r="A258" s="1"/>
      <c r="B258" s="1"/>
      <c r="C258" s="1"/>
      <c r="D258" s="1"/>
      <c r="E258" s="1"/>
      <c r="F258" s="1"/>
      <c r="G258" s="1"/>
      <c r="H258" s="1"/>
      <c r="I258" s="1"/>
      <c r="J258" s="1"/>
      <c r="K258" s="1"/>
      <c r="L258" s="1"/>
      <c r="M258" s="1"/>
      <c r="N258" s="1"/>
      <c r="O258" s="1"/>
      <c r="P258" s="1"/>
      <c r="Q258" s="1"/>
      <c r="R258" s="1"/>
      <c r="S258" s="1"/>
      <c r="T258" s="1"/>
      <c r="U258" s="1"/>
      <c r="V258" s="1"/>
      <c r="W258" s="1"/>
    </row>
    <row r="259" spans="1:23">
      <c r="A259" s="1"/>
      <c r="B259" s="1"/>
      <c r="C259" s="1"/>
      <c r="D259" s="1"/>
      <c r="E259" s="1"/>
      <c r="F259" s="1"/>
      <c r="G259" s="1"/>
      <c r="H259" s="1"/>
      <c r="I259" s="1"/>
      <c r="J259" s="1"/>
      <c r="K259" s="1"/>
      <c r="L259" s="1"/>
      <c r="M259" s="1"/>
      <c r="N259" s="1"/>
      <c r="O259" s="1"/>
      <c r="P259" s="1"/>
      <c r="Q259" s="1"/>
      <c r="R259" s="1"/>
      <c r="S259" s="1"/>
      <c r="T259" s="1"/>
      <c r="U259" s="1"/>
      <c r="V259" s="1"/>
      <c r="W259" s="1"/>
    </row>
    <row r="260" spans="1:23">
      <c r="A260" s="1"/>
      <c r="B260" s="1"/>
      <c r="C260" s="1"/>
      <c r="D260" s="1"/>
      <c r="E260" s="1"/>
      <c r="F260" s="1"/>
      <c r="G260" s="1"/>
      <c r="H260" s="1"/>
      <c r="I260" s="1"/>
      <c r="J260" s="1"/>
      <c r="K260" s="1"/>
      <c r="L260" s="1"/>
      <c r="M260" s="1"/>
      <c r="N260" s="1"/>
      <c r="O260" s="1"/>
      <c r="P260" s="1"/>
      <c r="Q260" s="1"/>
      <c r="R260" s="1"/>
      <c r="S260" s="1"/>
      <c r="T260" s="1"/>
      <c r="U260" s="1"/>
      <c r="V260" s="1"/>
      <c r="W260" s="1"/>
    </row>
    <row r="261" spans="1:23">
      <c r="A261" s="1"/>
      <c r="B261" s="1"/>
      <c r="C261" s="1"/>
      <c r="D261" s="1"/>
      <c r="E261" s="1"/>
      <c r="F261" s="1"/>
      <c r="G261" s="1"/>
      <c r="H261" s="1"/>
      <c r="I261" s="1"/>
      <c r="J261" s="1"/>
      <c r="K261" s="1"/>
      <c r="L261" s="1"/>
      <c r="M261" s="1"/>
      <c r="N261" s="1"/>
      <c r="O261" s="1"/>
      <c r="P261" s="1"/>
      <c r="Q261" s="1"/>
      <c r="R261" s="1"/>
      <c r="S261" s="1"/>
      <c r="T261" s="1"/>
      <c r="U261" s="1"/>
      <c r="V261" s="1"/>
      <c r="W261" s="1"/>
    </row>
    <row r="262" spans="1:23">
      <c r="A262" s="1"/>
      <c r="B262" s="1"/>
      <c r="C262" s="1"/>
      <c r="D262" s="1"/>
      <c r="E262" s="1"/>
      <c r="F262" s="1"/>
      <c r="G262" s="1"/>
      <c r="H262" s="1"/>
      <c r="I262" s="1"/>
      <c r="J262" s="1"/>
      <c r="K262" s="1"/>
      <c r="L262" s="1"/>
      <c r="M262" s="1"/>
      <c r="N262" s="1"/>
      <c r="O262" s="1"/>
      <c r="P262" s="1"/>
      <c r="Q262" s="1"/>
      <c r="R262" s="1"/>
      <c r="S262" s="1"/>
      <c r="T262" s="1"/>
      <c r="U262" s="1"/>
      <c r="V262" s="1"/>
      <c r="W262" s="1"/>
    </row>
    <row r="263" spans="1:23">
      <c r="A263" s="1"/>
      <c r="B263" s="1"/>
      <c r="C263" s="1"/>
      <c r="D263" s="1"/>
      <c r="E263" s="1"/>
      <c r="F263" s="1"/>
      <c r="G263" s="1"/>
      <c r="H263" s="1"/>
      <c r="I263" s="1"/>
      <c r="J263" s="1"/>
      <c r="K263" s="1"/>
      <c r="L263" s="1"/>
      <c r="M263" s="1"/>
      <c r="N263" s="1"/>
      <c r="O263" s="1"/>
      <c r="P263" s="1"/>
      <c r="Q263" s="1"/>
      <c r="R263" s="1"/>
      <c r="S263" s="1"/>
      <c r="T263" s="1"/>
      <c r="U263" s="1"/>
      <c r="V263" s="1"/>
      <c r="W263" s="1"/>
    </row>
    <row r="264" spans="1:23">
      <c r="A264" s="1"/>
      <c r="B264" s="1"/>
      <c r="C264" s="1"/>
      <c r="D264" s="1"/>
      <c r="E264" s="1"/>
      <c r="F264" s="1"/>
      <c r="G264" s="1"/>
      <c r="H264" s="1"/>
      <c r="I264" s="1"/>
      <c r="J264" s="1"/>
      <c r="K264" s="1"/>
      <c r="L264" s="1"/>
      <c r="M264" s="1"/>
      <c r="N264" s="1"/>
      <c r="O264" s="1"/>
      <c r="P264" s="1"/>
      <c r="Q264" s="1"/>
      <c r="R264" s="1"/>
      <c r="S264" s="1"/>
      <c r="T264" s="1"/>
      <c r="U264" s="1"/>
      <c r="V264" s="1"/>
      <c r="W264" s="1"/>
    </row>
    <row r="265" spans="1:23">
      <c r="A265" s="1"/>
      <c r="B265" s="1"/>
      <c r="C265" s="1"/>
      <c r="D265" s="1"/>
      <c r="E265" s="1"/>
      <c r="F265" s="1"/>
      <c r="G265" s="1"/>
      <c r="H265" s="1"/>
      <c r="I265" s="1"/>
      <c r="J265" s="1"/>
      <c r="K265" s="1"/>
      <c r="L265" s="1"/>
      <c r="M265" s="1"/>
      <c r="N265" s="1"/>
      <c r="O265" s="1"/>
      <c r="P265" s="1"/>
      <c r="Q265" s="1"/>
      <c r="R265" s="1"/>
      <c r="S265" s="1"/>
      <c r="T265" s="1"/>
      <c r="U265" s="1"/>
      <c r="V265" s="1"/>
      <c r="W265" s="1"/>
    </row>
    <row r="266" spans="1:23">
      <c r="A266" s="1"/>
      <c r="B266" s="1"/>
      <c r="C266" s="1"/>
      <c r="D266" s="1"/>
      <c r="E266" s="1"/>
      <c r="F266" s="1"/>
      <c r="G266" s="1"/>
      <c r="H266" s="1"/>
      <c r="I266" s="1"/>
      <c r="J266" s="1"/>
      <c r="K266" s="1"/>
      <c r="L266" s="1"/>
      <c r="M266" s="1"/>
      <c r="N266" s="1"/>
      <c r="O266" s="1"/>
      <c r="P266" s="1"/>
      <c r="Q266" s="1"/>
      <c r="R266" s="1"/>
      <c r="S266" s="1"/>
      <c r="T266" s="1"/>
      <c r="U266" s="1"/>
      <c r="V266" s="1"/>
      <c r="W266" s="1"/>
    </row>
    <row r="267" spans="1:23">
      <c r="A267" s="1"/>
      <c r="B267" s="1"/>
      <c r="C267" s="1"/>
      <c r="D267" s="1"/>
      <c r="E267" s="1"/>
      <c r="F267" s="1"/>
      <c r="G267" s="1"/>
      <c r="H267" s="1"/>
      <c r="I267" s="1"/>
      <c r="J267" s="1"/>
      <c r="K267" s="1"/>
      <c r="L267" s="1"/>
      <c r="M267" s="1"/>
      <c r="N267" s="1"/>
      <c r="O267" s="1"/>
      <c r="P267" s="1"/>
      <c r="Q267" s="1"/>
      <c r="R267" s="1"/>
      <c r="S267" s="1"/>
      <c r="T267" s="1"/>
      <c r="U267" s="1"/>
      <c r="V267" s="1"/>
      <c r="W267" s="1"/>
    </row>
    <row r="268" spans="1:23">
      <c r="A268" s="1"/>
      <c r="B268" s="1"/>
      <c r="C268" s="1"/>
      <c r="D268" s="1"/>
      <c r="E268" s="1"/>
      <c r="F268" s="1"/>
      <c r="G268" s="1"/>
      <c r="H268" s="1"/>
      <c r="I268" s="1"/>
      <c r="J268" s="1"/>
      <c r="K268" s="1"/>
      <c r="L268" s="1"/>
      <c r="M268" s="1"/>
      <c r="N268" s="1"/>
      <c r="O268" s="1"/>
      <c r="P268" s="1"/>
      <c r="Q268" s="1"/>
      <c r="R268" s="1"/>
      <c r="S268" s="1"/>
      <c r="T268" s="1"/>
      <c r="U268" s="1"/>
      <c r="V268" s="1"/>
      <c r="W268" s="1"/>
    </row>
    <row r="269" spans="1:23">
      <c r="A269" s="1"/>
      <c r="B269" s="1"/>
      <c r="C269" s="1"/>
      <c r="D269" s="1"/>
      <c r="E269" s="1"/>
      <c r="F269" s="1"/>
      <c r="G269" s="1"/>
      <c r="H269" s="1"/>
      <c r="I269" s="1"/>
      <c r="J269" s="1"/>
      <c r="K269" s="1"/>
      <c r="L269" s="1"/>
      <c r="M269" s="1"/>
      <c r="N269" s="1"/>
      <c r="O269" s="1"/>
      <c r="P269" s="1"/>
      <c r="Q269" s="1"/>
      <c r="R269" s="1"/>
      <c r="S269" s="1"/>
      <c r="T269" s="1"/>
      <c r="U269" s="1"/>
      <c r="V269" s="1"/>
      <c r="W269" s="1"/>
    </row>
    <row r="270" spans="1:23">
      <c r="A270" s="1"/>
      <c r="B270" s="1"/>
      <c r="C270" s="1"/>
      <c r="D270" s="1"/>
      <c r="E270" s="1"/>
      <c r="F270" s="1"/>
      <c r="G270" s="1"/>
      <c r="H270" s="1"/>
      <c r="I270" s="1"/>
      <c r="J270" s="1"/>
      <c r="K270" s="1"/>
      <c r="L270" s="1"/>
      <c r="M270" s="1"/>
      <c r="N270" s="1"/>
      <c r="O270" s="1"/>
      <c r="P270" s="1"/>
      <c r="Q270" s="1"/>
      <c r="R270" s="1"/>
      <c r="S270" s="1"/>
      <c r="T270" s="1"/>
      <c r="U270" s="1"/>
      <c r="V270" s="1"/>
      <c r="W270" s="1"/>
    </row>
    <row r="271" spans="1:23">
      <c r="A271" s="1"/>
      <c r="B271" s="1"/>
      <c r="C271" s="1"/>
      <c r="D271" s="1"/>
      <c r="E271" s="1"/>
      <c r="F271" s="1"/>
      <c r="G271" s="1"/>
      <c r="H271" s="1"/>
      <c r="I271" s="1"/>
      <c r="J271" s="1"/>
      <c r="K271" s="1"/>
      <c r="L271" s="1"/>
      <c r="M271" s="1"/>
      <c r="N271" s="1"/>
      <c r="O271" s="1"/>
      <c r="P271" s="1"/>
      <c r="Q271" s="1"/>
      <c r="R271" s="1"/>
      <c r="S271" s="1"/>
      <c r="T271" s="1"/>
      <c r="U271" s="1"/>
      <c r="V271" s="1"/>
      <c r="W271" s="1"/>
    </row>
    <row r="272" spans="1:23">
      <c r="A272" s="1"/>
      <c r="B272" s="1"/>
      <c r="C272" s="1"/>
      <c r="D272" s="1"/>
      <c r="E272" s="1"/>
      <c r="F272" s="1"/>
      <c r="G272" s="1"/>
      <c r="H272" s="1"/>
      <c r="I272" s="1"/>
      <c r="J272" s="1"/>
      <c r="K272" s="1"/>
      <c r="L272" s="1"/>
      <c r="M272" s="1"/>
      <c r="N272" s="1"/>
      <c r="O272" s="1"/>
      <c r="P272" s="1"/>
      <c r="Q272" s="1"/>
      <c r="R272" s="1"/>
      <c r="S272" s="1"/>
      <c r="T272" s="1"/>
      <c r="U272" s="1"/>
      <c r="V272" s="1"/>
      <c r="W272" s="1"/>
    </row>
    <row r="273" spans="1:23">
      <c r="A273" s="1"/>
      <c r="B273" s="1"/>
      <c r="C273" s="1"/>
      <c r="D273" s="1"/>
      <c r="E273" s="1"/>
      <c r="F273" s="1"/>
      <c r="G273" s="1"/>
      <c r="H273" s="1"/>
      <c r="I273" s="1"/>
      <c r="J273" s="1"/>
      <c r="K273" s="1"/>
      <c r="L273" s="1"/>
      <c r="M273" s="1"/>
      <c r="N273" s="1"/>
      <c r="O273" s="1"/>
      <c r="P273" s="1"/>
      <c r="Q273" s="1"/>
      <c r="R273" s="1"/>
      <c r="S273" s="1"/>
      <c r="T273" s="1"/>
      <c r="U273" s="1"/>
      <c r="V273" s="1"/>
      <c r="W273" s="1"/>
    </row>
    <row r="274" spans="1:23">
      <c r="A274" s="1"/>
      <c r="B274" s="1"/>
      <c r="C274" s="1"/>
      <c r="D274" s="1"/>
      <c r="E274" s="1"/>
      <c r="F274" s="1"/>
      <c r="G274" s="1"/>
      <c r="H274" s="1"/>
      <c r="I274" s="1"/>
      <c r="J274" s="1"/>
      <c r="K274" s="1"/>
      <c r="L274" s="1"/>
      <c r="M274" s="1"/>
      <c r="N274" s="1"/>
      <c r="O274" s="1"/>
      <c r="P274" s="1"/>
      <c r="Q274" s="1"/>
      <c r="R274" s="1"/>
      <c r="S274" s="1"/>
      <c r="T274" s="1"/>
      <c r="U274" s="1"/>
      <c r="V274" s="1"/>
      <c r="W274" s="1"/>
    </row>
    <row r="275" spans="1:23">
      <c r="A275" s="1"/>
      <c r="B275" s="1"/>
      <c r="C275" s="1"/>
      <c r="D275" s="1"/>
      <c r="E275" s="1"/>
      <c r="F275" s="1"/>
      <c r="G275" s="1"/>
      <c r="H275" s="1"/>
      <c r="I275" s="1"/>
      <c r="J275" s="1"/>
      <c r="K275" s="1"/>
      <c r="L275" s="1"/>
      <c r="M275" s="1"/>
      <c r="N275" s="1"/>
      <c r="O275" s="1"/>
      <c r="P275" s="1"/>
      <c r="Q275" s="1"/>
      <c r="R275" s="1"/>
      <c r="S275" s="1"/>
      <c r="T275" s="1"/>
      <c r="U275" s="1"/>
      <c r="V275" s="1"/>
      <c r="W275" s="1"/>
    </row>
    <row r="276" spans="1:23">
      <c r="A276" s="1"/>
      <c r="B276" s="1"/>
      <c r="C276" s="1"/>
      <c r="D276" s="1"/>
      <c r="E276" s="1"/>
      <c r="F276" s="1"/>
      <c r="G276" s="1"/>
      <c r="H276" s="1"/>
      <c r="I276" s="1"/>
      <c r="J276" s="1"/>
      <c r="K276" s="1"/>
      <c r="L276" s="1"/>
      <c r="M276" s="1"/>
      <c r="N276" s="1"/>
      <c r="O276" s="1"/>
      <c r="P276" s="1"/>
      <c r="Q276" s="1"/>
      <c r="R276" s="1"/>
      <c r="S276" s="1"/>
      <c r="T276" s="1"/>
      <c r="U276" s="1"/>
      <c r="V276" s="1"/>
      <c r="W276" s="1"/>
    </row>
    <row r="277" spans="1:23">
      <c r="A277" s="1"/>
      <c r="B277" s="1"/>
      <c r="C277" s="1"/>
      <c r="D277" s="1"/>
      <c r="E277" s="1"/>
      <c r="F277" s="1"/>
      <c r="G277" s="1"/>
      <c r="H277" s="1"/>
      <c r="I277" s="1"/>
      <c r="J277" s="1"/>
      <c r="K277" s="1"/>
      <c r="L277" s="1"/>
      <c r="M277" s="1"/>
      <c r="N277" s="1"/>
      <c r="O277" s="1"/>
      <c r="P277" s="1"/>
      <c r="Q277" s="1"/>
      <c r="R277" s="1"/>
      <c r="S277" s="1"/>
      <c r="T277" s="1"/>
      <c r="U277" s="1"/>
      <c r="V277" s="1"/>
      <c r="W277" s="1"/>
    </row>
    <row r="278" spans="1:23">
      <c r="A278" s="1"/>
      <c r="B278" s="1"/>
      <c r="C278" s="1"/>
      <c r="D278" s="1"/>
      <c r="E278" s="1"/>
      <c r="F278" s="1"/>
      <c r="G278" s="1"/>
      <c r="H278" s="1"/>
      <c r="I278" s="1"/>
      <c r="J278" s="1"/>
      <c r="K278" s="1"/>
      <c r="L278" s="1"/>
      <c r="M278" s="1"/>
      <c r="N278" s="1"/>
      <c r="O278" s="1"/>
      <c r="P278" s="1"/>
      <c r="Q278" s="1"/>
      <c r="R278" s="1"/>
      <c r="S278" s="1"/>
      <c r="T278" s="1"/>
      <c r="U278" s="1"/>
      <c r="V278" s="1"/>
      <c r="W278" s="1"/>
    </row>
    <row r="279" spans="1:23">
      <c r="A279" s="1"/>
      <c r="B279" s="1"/>
      <c r="C279" s="1"/>
      <c r="D279" s="1"/>
      <c r="E279" s="1"/>
      <c r="F279" s="1"/>
      <c r="G279" s="1"/>
      <c r="H279" s="1"/>
      <c r="I279" s="1"/>
      <c r="J279" s="1"/>
      <c r="K279" s="1"/>
      <c r="L279" s="1"/>
      <c r="M279" s="1"/>
      <c r="N279" s="1"/>
      <c r="O279" s="1"/>
      <c r="P279" s="1"/>
      <c r="Q279" s="1"/>
      <c r="R279" s="1"/>
      <c r="S279" s="1"/>
      <c r="T279" s="1"/>
      <c r="U279" s="1"/>
      <c r="V279" s="1"/>
      <c r="W279" s="1"/>
    </row>
    <row r="280" spans="1:23">
      <c r="A280" s="1"/>
      <c r="B280" s="1"/>
      <c r="C280" s="1"/>
      <c r="D280" s="1"/>
      <c r="E280" s="1"/>
      <c r="F280" s="1"/>
      <c r="G280" s="1"/>
      <c r="H280" s="1"/>
      <c r="I280" s="1"/>
      <c r="J280" s="1"/>
      <c r="K280" s="1"/>
      <c r="L280" s="1"/>
      <c r="M280" s="1"/>
      <c r="N280" s="1"/>
      <c r="O280" s="1"/>
      <c r="P280" s="1"/>
      <c r="Q280" s="1"/>
      <c r="R280" s="1"/>
      <c r="S280" s="1"/>
      <c r="T280" s="1"/>
      <c r="U280" s="1"/>
      <c r="V280" s="1"/>
      <c r="W280" s="1"/>
    </row>
    <row r="281" spans="1:23">
      <c r="A281" s="1"/>
      <c r="B281" s="1"/>
      <c r="C281" s="1"/>
      <c r="D281" s="1"/>
      <c r="E281" s="1"/>
      <c r="F281" s="1"/>
      <c r="G281" s="1"/>
      <c r="H281" s="1"/>
      <c r="I281" s="1"/>
      <c r="J281" s="1"/>
      <c r="K281" s="1"/>
      <c r="L281" s="1"/>
      <c r="M281" s="1"/>
      <c r="N281" s="1"/>
      <c r="O281" s="1"/>
      <c r="P281" s="1"/>
      <c r="Q281" s="1"/>
      <c r="R281" s="1"/>
      <c r="S281" s="1"/>
      <c r="T281" s="1"/>
      <c r="U281" s="1"/>
      <c r="V281" s="1"/>
      <c r="W281" s="1"/>
    </row>
    <row r="282" spans="1:23">
      <c r="A282" s="1"/>
      <c r="B282" s="1"/>
      <c r="C282" s="1"/>
      <c r="D282" s="1"/>
      <c r="E282" s="1"/>
      <c r="F282" s="1"/>
      <c r="G282" s="1"/>
      <c r="H282" s="1"/>
      <c r="I282" s="1"/>
      <c r="J282" s="1"/>
      <c r="K282" s="1"/>
      <c r="L282" s="1"/>
      <c r="M282" s="1"/>
      <c r="N282" s="1"/>
      <c r="O282" s="1"/>
      <c r="P282" s="1"/>
      <c r="Q282" s="1"/>
      <c r="R282" s="1"/>
      <c r="S282" s="1"/>
      <c r="T282" s="1"/>
      <c r="U282" s="1"/>
      <c r="V282" s="1"/>
      <c r="W282" s="1"/>
    </row>
    <row r="283" spans="1:23">
      <c r="A283" s="1"/>
      <c r="B283" s="1"/>
      <c r="C283" s="1"/>
      <c r="D283" s="1"/>
      <c r="E283" s="1"/>
      <c r="F283" s="1"/>
      <c r="G283" s="1"/>
      <c r="H283" s="1"/>
      <c r="I283" s="1"/>
      <c r="J283" s="1"/>
      <c r="K283" s="1"/>
      <c r="L283" s="1"/>
      <c r="M283" s="1"/>
      <c r="N283" s="1"/>
      <c r="O283" s="1"/>
      <c r="P283" s="1"/>
      <c r="Q283" s="1"/>
      <c r="R283" s="1"/>
      <c r="S283" s="1"/>
      <c r="T283" s="1"/>
      <c r="U283" s="1"/>
      <c r="V283" s="1"/>
      <c r="W283" s="1"/>
    </row>
    <row r="284" spans="1:23">
      <c r="A284" s="1"/>
      <c r="B284" s="1"/>
      <c r="C284" s="1"/>
      <c r="D284" s="1"/>
      <c r="E284" s="1"/>
      <c r="F284" s="1"/>
      <c r="G284" s="1"/>
      <c r="H284" s="1"/>
      <c r="I284" s="1"/>
      <c r="J284" s="1"/>
      <c r="K284" s="1"/>
      <c r="L284" s="1"/>
      <c r="M284" s="1"/>
      <c r="N284" s="1"/>
      <c r="O284" s="1"/>
      <c r="P284" s="1"/>
      <c r="Q284" s="1"/>
      <c r="R284" s="1"/>
      <c r="S284" s="1"/>
      <c r="T284" s="1"/>
      <c r="U284" s="1"/>
      <c r="V284" s="1"/>
      <c r="W284" s="1"/>
    </row>
    <row r="285" spans="1:23">
      <c r="A285" s="1"/>
      <c r="B285" s="1"/>
      <c r="C285" s="1"/>
      <c r="D285" s="1"/>
      <c r="E285" s="1"/>
      <c r="F285" s="1"/>
      <c r="G285" s="1"/>
      <c r="H285" s="1"/>
      <c r="I285" s="1"/>
      <c r="J285" s="1"/>
      <c r="K285" s="1"/>
      <c r="L285" s="1"/>
      <c r="M285" s="1"/>
      <c r="N285" s="1"/>
      <c r="O285" s="1"/>
      <c r="P285" s="1"/>
      <c r="Q285" s="1"/>
      <c r="R285" s="1"/>
      <c r="S285" s="1"/>
      <c r="T285" s="1"/>
      <c r="U285" s="1"/>
      <c r="V285" s="1"/>
      <c r="W285" s="1"/>
    </row>
    <row r="286" spans="1:23">
      <c r="A286" s="1"/>
      <c r="B286" s="1"/>
      <c r="C286" s="1"/>
      <c r="D286" s="1"/>
      <c r="E286" s="1"/>
      <c r="F286" s="1"/>
      <c r="G286" s="1"/>
      <c r="H286" s="1"/>
      <c r="I286" s="1"/>
      <c r="J286" s="1"/>
      <c r="K286" s="1"/>
      <c r="L286" s="1"/>
      <c r="M286" s="1"/>
      <c r="N286" s="1"/>
      <c r="O286" s="1"/>
      <c r="P286" s="1"/>
      <c r="Q286" s="1"/>
      <c r="R286" s="1"/>
      <c r="S286" s="1"/>
      <c r="T286" s="1"/>
      <c r="U286" s="1"/>
      <c r="V286" s="1"/>
      <c r="W286" s="1"/>
    </row>
    <row r="287" spans="1:23">
      <c r="A287" s="1"/>
      <c r="B287" s="1"/>
      <c r="C287" s="1"/>
      <c r="D287" s="1"/>
      <c r="E287" s="1"/>
      <c r="F287" s="1"/>
      <c r="G287" s="1"/>
      <c r="H287" s="1"/>
      <c r="I287" s="1"/>
      <c r="J287" s="1"/>
      <c r="K287" s="1"/>
      <c r="L287" s="1"/>
      <c r="M287" s="1"/>
      <c r="N287" s="1"/>
      <c r="O287" s="1"/>
      <c r="P287" s="1"/>
      <c r="Q287" s="1"/>
      <c r="R287" s="1"/>
      <c r="S287" s="1"/>
      <c r="T287" s="1"/>
      <c r="U287" s="1"/>
      <c r="V287" s="1"/>
      <c r="W287" s="1"/>
    </row>
    <row r="288" spans="1:23">
      <c r="A288" s="1"/>
      <c r="B288" s="1"/>
      <c r="C288" s="1"/>
      <c r="D288" s="1"/>
      <c r="E288" s="1"/>
      <c r="F288" s="1"/>
      <c r="G288" s="1"/>
      <c r="H288" s="1"/>
      <c r="I288" s="1"/>
      <c r="J288" s="1"/>
      <c r="K288" s="1"/>
      <c r="L288" s="1"/>
      <c r="M288" s="1"/>
      <c r="N288" s="1"/>
      <c r="O288" s="1"/>
      <c r="P288" s="1"/>
      <c r="Q288" s="1"/>
      <c r="R288" s="1"/>
      <c r="S288" s="1"/>
      <c r="T288" s="1"/>
      <c r="U288" s="1"/>
      <c r="V288" s="1"/>
      <c r="W288" s="1"/>
    </row>
    <row r="289" spans="1:23">
      <c r="A289" s="1"/>
      <c r="B289" s="1"/>
      <c r="C289" s="1"/>
      <c r="D289" s="1"/>
      <c r="E289" s="1"/>
      <c r="F289" s="1"/>
      <c r="G289" s="1"/>
      <c r="H289" s="1"/>
      <c r="I289" s="1"/>
      <c r="J289" s="1"/>
      <c r="K289" s="1"/>
      <c r="L289" s="1"/>
      <c r="M289" s="1"/>
      <c r="N289" s="1"/>
      <c r="O289" s="1"/>
      <c r="P289" s="1"/>
      <c r="Q289" s="1"/>
      <c r="R289" s="1"/>
      <c r="S289" s="1"/>
      <c r="T289" s="1"/>
      <c r="U289" s="1"/>
      <c r="V289" s="1"/>
      <c r="W289" s="1"/>
    </row>
    <row r="290" spans="1:23">
      <c r="A290" s="1"/>
      <c r="B290" s="1"/>
      <c r="C290" s="1"/>
      <c r="D290" s="1"/>
      <c r="E290" s="1"/>
      <c r="F290" s="1"/>
      <c r="G290" s="1"/>
      <c r="H290" s="1"/>
      <c r="I290" s="1"/>
      <c r="J290" s="1"/>
      <c r="K290" s="1"/>
      <c r="L290" s="1"/>
      <c r="M290" s="1"/>
      <c r="N290" s="1"/>
      <c r="O290" s="1"/>
      <c r="P290" s="1"/>
      <c r="Q290" s="1"/>
      <c r="R290" s="1"/>
      <c r="S290" s="1"/>
      <c r="T290" s="1"/>
      <c r="U290" s="1"/>
      <c r="V290" s="1"/>
      <c r="W290" s="1"/>
    </row>
    <row r="291" spans="1:23">
      <c r="A291" s="1"/>
      <c r="B291" s="1"/>
      <c r="C291" s="1"/>
      <c r="D291" s="1"/>
      <c r="E291" s="1"/>
      <c r="F291" s="1"/>
      <c r="G291" s="1"/>
      <c r="H291" s="1"/>
      <c r="I291" s="1"/>
      <c r="J291" s="1"/>
      <c r="K291" s="1"/>
      <c r="L291" s="1"/>
      <c r="M291" s="1"/>
      <c r="N291" s="1"/>
      <c r="O291" s="1"/>
      <c r="P291" s="1"/>
      <c r="Q291" s="1"/>
      <c r="R291" s="1"/>
      <c r="S291" s="1"/>
      <c r="T291" s="1"/>
      <c r="U291" s="1"/>
      <c r="V291" s="1"/>
      <c r="W291" s="1"/>
    </row>
    <row r="292" spans="1:23">
      <c r="A292" s="1"/>
      <c r="B292" s="1"/>
      <c r="C292" s="1"/>
      <c r="D292" s="1"/>
      <c r="E292" s="1"/>
      <c r="F292" s="1"/>
      <c r="G292" s="1"/>
      <c r="H292" s="1"/>
      <c r="I292" s="1"/>
      <c r="J292" s="1"/>
      <c r="K292" s="1"/>
      <c r="L292" s="1"/>
      <c r="M292" s="1"/>
      <c r="N292" s="1"/>
      <c r="O292" s="1"/>
      <c r="P292" s="1"/>
      <c r="Q292" s="1"/>
      <c r="R292" s="1"/>
      <c r="S292" s="1"/>
      <c r="T292" s="1"/>
      <c r="U292" s="1"/>
      <c r="V292" s="1"/>
      <c r="W292" s="1"/>
    </row>
    <row r="293" spans="1:23">
      <c r="A293" s="1"/>
      <c r="B293" s="1"/>
      <c r="C293" s="1"/>
      <c r="D293" s="1"/>
      <c r="E293" s="1"/>
      <c r="F293" s="1"/>
      <c r="G293" s="1"/>
      <c r="H293" s="1"/>
      <c r="I293" s="1"/>
      <c r="J293" s="1"/>
      <c r="K293" s="1"/>
      <c r="L293" s="1"/>
      <c r="M293" s="1"/>
      <c r="N293" s="1"/>
      <c r="O293" s="1"/>
      <c r="P293" s="1"/>
      <c r="Q293" s="1"/>
      <c r="R293" s="1"/>
      <c r="S293" s="1"/>
      <c r="T293" s="1"/>
      <c r="U293" s="1"/>
      <c r="V293" s="1"/>
      <c r="W293" s="1"/>
    </row>
    <row r="294" spans="1:23">
      <c r="A294" s="1"/>
      <c r="B294" s="1"/>
      <c r="C294" s="1"/>
      <c r="D294" s="1"/>
      <c r="E294" s="1"/>
      <c r="F294" s="1"/>
      <c r="G294" s="1"/>
      <c r="H294" s="1"/>
      <c r="I294" s="1"/>
      <c r="J294" s="1"/>
      <c r="K294" s="1"/>
      <c r="L294" s="1"/>
      <c r="M294" s="1"/>
      <c r="N294" s="1"/>
      <c r="O294" s="1"/>
      <c r="P294" s="1"/>
      <c r="Q294" s="1"/>
      <c r="R294" s="1"/>
      <c r="S294" s="1"/>
      <c r="T294" s="1"/>
      <c r="U294" s="1"/>
      <c r="V294" s="1"/>
      <c r="W294" s="1"/>
    </row>
    <row r="295" spans="1:23">
      <c r="A295" s="1"/>
      <c r="B295" s="1"/>
      <c r="C295" s="1"/>
      <c r="D295" s="1"/>
      <c r="E295" s="1"/>
      <c r="F295" s="1"/>
      <c r="G295" s="1"/>
      <c r="H295" s="1"/>
      <c r="I295" s="1"/>
      <c r="J295" s="1"/>
      <c r="K295" s="1"/>
      <c r="L295" s="1"/>
      <c r="M295" s="1"/>
      <c r="N295" s="1"/>
      <c r="O295" s="1"/>
      <c r="P295" s="1"/>
      <c r="Q295" s="1"/>
      <c r="R295" s="1"/>
      <c r="S295" s="1"/>
      <c r="T295" s="1"/>
      <c r="U295" s="1"/>
      <c r="V295" s="1"/>
      <c r="W295" s="1"/>
    </row>
    <row r="296" spans="1:23">
      <c r="A296" s="1"/>
      <c r="B296" s="1"/>
      <c r="C296" s="1"/>
      <c r="D296" s="1"/>
      <c r="E296" s="1"/>
      <c r="F296" s="1"/>
      <c r="G296" s="1"/>
      <c r="H296" s="1"/>
      <c r="I296" s="1"/>
      <c r="J296" s="1"/>
      <c r="K296" s="1"/>
      <c r="L296" s="1"/>
      <c r="M296" s="1"/>
      <c r="N296" s="1"/>
      <c r="O296" s="1"/>
      <c r="P296" s="1"/>
      <c r="Q296" s="1"/>
      <c r="R296" s="1"/>
      <c r="S296" s="1"/>
      <c r="T296" s="1"/>
      <c r="U296" s="1"/>
      <c r="V296" s="1"/>
      <c r="W296" s="1"/>
    </row>
    <row r="297" spans="1:23">
      <c r="A297" s="1"/>
      <c r="B297" s="1"/>
      <c r="C297" s="1"/>
      <c r="D297" s="1"/>
      <c r="E297" s="1"/>
      <c r="F297" s="1"/>
      <c r="G297" s="1"/>
      <c r="H297" s="1"/>
      <c r="I297" s="1"/>
      <c r="J297" s="1"/>
      <c r="K297" s="1"/>
      <c r="L297" s="1"/>
      <c r="M297" s="1"/>
      <c r="N297" s="1"/>
      <c r="O297" s="1"/>
      <c r="P297" s="1"/>
      <c r="Q297" s="1"/>
      <c r="R297" s="1"/>
      <c r="S297" s="1"/>
      <c r="T297" s="1"/>
      <c r="U297" s="1"/>
      <c r="V297" s="1"/>
      <c r="W297" s="1"/>
    </row>
    <row r="298" spans="1:23">
      <c r="A298" s="1"/>
      <c r="B298" s="1"/>
      <c r="C298" s="1"/>
      <c r="D298" s="1"/>
      <c r="E298" s="1"/>
      <c r="F298" s="1"/>
      <c r="G298" s="1"/>
      <c r="H298" s="1"/>
      <c r="I298" s="1"/>
      <c r="J298" s="1"/>
      <c r="K298" s="1"/>
      <c r="L298" s="1"/>
      <c r="M298" s="1"/>
      <c r="N298" s="1"/>
      <c r="O298" s="1"/>
      <c r="P298" s="1"/>
      <c r="Q298" s="1"/>
      <c r="R298" s="1"/>
      <c r="S298" s="1"/>
      <c r="T298" s="1"/>
      <c r="U298" s="1"/>
      <c r="V298" s="1"/>
      <c r="W298" s="1"/>
    </row>
    <row r="299" spans="1:23">
      <c r="A299" s="1"/>
      <c r="B299" s="1"/>
      <c r="C299" s="1"/>
      <c r="D299" s="1"/>
      <c r="E299" s="1"/>
      <c r="F299" s="1"/>
      <c r="G299" s="1"/>
      <c r="H299" s="1"/>
      <c r="I299" s="1"/>
      <c r="J299" s="1"/>
      <c r="K299" s="1"/>
      <c r="L299" s="1"/>
      <c r="M299" s="1"/>
      <c r="N299" s="1"/>
      <c r="O299" s="1"/>
      <c r="P299" s="1"/>
      <c r="Q299" s="1"/>
      <c r="R299" s="1"/>
      <c r="S299" s="1"/>
      <c r="T299" s="1"/>
      <c r="U299" s="1"/>
      <c r="V299" s="1"/>
      <c r="W299" s="1"/>
    </row>
    <row r="300" spans="1:23">
      <c r="A300" s="1"/>
      <c r="B300" s="1"/>
      <c r="C300" s="1"/>
      <c r="D300" s="1"/>
      <c r="E300" s="1"/>
      <c r="F300" s="1"/>
      <c r="G300" s="1"/>
      <c r="H300" s="1"/>
      <c r="I300" s="1"/>
      <c r="J300" s="1"/>
      <c r="K300" s="1"/>
      <c r="L300" s="1"/>
      <c r="M300" s="1"/>
      <c r="N300" s="1"/>
      <c r="O300" s="1"/>
      <c r="P300" s="1"/>
      <c r="Q300" s="1"/>
      <c r="R300" s="1"/>
      <c r="S300" s="1"/>
      <c r="T300" s="1"/>
      <c r="U300" s="1"/>
      <c r="V300" s="1"/>
      <c r="W300" s="1"/>
    </row>
    <row r="301" spans="1:23">
      <c r="A301" s="1"/>
      <c r="B301" s="1"/>
      <c r="C301" s="1"/>
      <c r="D301" s="1"/>
      <c r="E301" s="1"/>
      <c r="F301" s="1"/>
      <c r="G301" s="1"/>
      <c r="H301" s="1"/>
      <c r="I301" s="1"/>
      <c r="J301" s="1"/>
      <c r="K301" s="1"/>
      <c r="L301" s="1"/>
      <c r="M301" s="1"/>
      <c r="N301" s="1"/>
      <c r="O301" s="1"/>
      <c r="P301" s="1"/>
      <c r="Q301" s="1"/>
      <c r="R301" s="1"/>
      <c r="S301" s="1"/>
      <c r="T301" s="1"/>
      <c r="U301" s="1"/>
      <c r="V301" s="1"/>
      <c r="W301" s="1"/>
    </row>
    <row r="302" spans="1:23">
      <c r="A302" s="1"/>
      <c r="B302" s="1"/>
      <c r="C302" s="1"/>
      <c r="D302" s="1"/>
      <c r="E302" s="1"/>
      <c r="F302" s="1"/>
      <c r="G302" s="1"/>
      <c r="H302" s="1"/>
      <c r="I302" s="1"/>
      <c r="J302" s="1"/>
      <c r="K302" s="1"/>
      <c r="L302" s="1"/>
      <c r="M302" s="1"/>
      <c r="N302" s="1"/>
      <c r="O302" s="1"/>
      <c r="P302" s="1"/>
      <c r="Q302" s="1"/>
      <c r="R302" s="1"/>
      <c r="S302" s="1"/>
      <c r="T302" s="1"/>
      <c r="U302" s="1"/>
      <c r="V302" s="1"/>
      <c r="W302" s="1"/>
    </row>
    <row r="303" spans="1:23">
      <c r="A303" s="1"/>
      <c r="B303" s="1"/>
      <c r="C303" s="1"/>
      <c r="D303" s="1"/>
      <c r="E303" s="1"/>
      <c r="F303" s="1"/>
      <c r="G303" s="1"/>
      <c r="H303" s="1"/>
      <c r="I303" s="1"/>
      <c r="J303" s="1"/>
      <c r="K303" s="1"/>
      <c r="L303" s="1"/>
      <c r="M303" s="1"/>
      <c r="N303" s="1"/>
      <c r="O303" s="1"/>
      <c r="P303" s="1"/>
      <c r="Q303" s="1"/>
      <c r="R303" s="1"/>
      <c r="S303" s="1"/>
      <c r="T303" s="1"/>
      <c r="U303" s="1"/>
      <c r="V303" s="1"/>
      <c r="W303" s="1"/>
    </row>
    <row r="304" spans="1:23">
      <c r="A304" s="1"/>
      <c r="B304" s="1"/>
      <c r="C304" s="1"/>
      <c r="D304" s="1"/>
      <c r="E304" s="1"/>
      <c r="F304" s="1"/>
      <c r="G304" s="1"/>
      <c r="H304" s="1"/>
      <c r="I304" s="1"/>
      <c r="J304" s="1"/>
      <c r="K304" s="1"/>
      <c r="L304" s="1"/>
      <c r="M304" s="1"/>
      <c r="N304" s="1"/>
      <c r="O304" s="1"/>
      <c r="P304" s="1"/>
      <c r="Q304" s="1"/>
      <c r="R304" s="1"/>
      <c r="S304" s="1"/>
      <c r="T304" s="1"/>
      <c r="U304" s="1"/>
      <c r="V304" s="1"/>
      <c r="W304" s="1"/>
    </row>
    <row r="305" spans="1:23">
      <c r="A305" s="1"/>
      <c r="B305" s="1"/>
      <c r="C305" s="1"/>
      <c r="D305" s="1"/>
      <c r="E305" s="1"/>
      <c r="F305" s="1"/>
      <c r="G305" s="1"/>
      <c r="H305" s="1"/>
      <c r="I305" s="1"/>
      <c r="J305" s="1"/>
      <c r="K305" s="1"/>
      <c r="L305" s="1"/>
      <c r="M305" s="1"/>
      <c r="N305" s="1"/>
      <c r="O305" s="1"/>
      <c r="P305" s="1"/>
      <c r="Q305" s="1"/>
      <c r="R305" s="1"/>
      <c r="S305" s="1"/>
      <c r="T305" s="1"/>
      <c r="U305" s="1"/>
      <c r="V305" s="1"/>
      <c r="W305" s="1"/>
    </row>
    <row r="306" spans="1:23">
      <c r="A306" s="1"/>
      <c r="B306" s="1"/>
      <c r="C306" s="1"/>
      <c r="D306" s="1"/>
      <c r="E306" s="1"/>
      <c r="F306" s="1"/>
      <c r="G306" s="1"/>
      <c r="H306" s="1"/>
      <c r="I306" s="1"/>
      <c r="J306" s="1"/>
      <c r="K306" s="1"/>
      <c r="L306" s="1"/>
      <c r="M306" s="1"/>
      <c r="N306" s="1"/>
      <c r="O306" s="1"/>
      <c r="P306" s="1"/>
      <c r="Q306" s="1"/>
      <c r="R306" s="1"/>
      <c r="S306" s="1"/>
      <c r="T306" s="1"/>
      <c r="U306" s="1"/>
      <c r="V306" s="1"/>
      <c r="W306" s="1"/>
    </row>
    <row r="307" spans="1:23">
      <c r="A307" s="1"/>
      <c r="B307" s="1"/>
      <c r="C307" s="1"/>
      <c r="D307" s="1"/>
      <c r="E307" s="1"/>
      <c r="F307" s="1"/>
      <c r="G307" s="1"/>
      <c r="H307" s="1"/>
      <c r="I307" s="1"/>
      <c r="J307" s="1"/>
      <c r="K307" s="1"/>
      <c r="L307" s="1"/>
      <c r="M307" s="1"/>
      <c r="N307" s="1"/>
      <c r="O307" s="1"/>
      <c r="P307" s="1"/>
      <c r="Q307" s="1"/>
      <c r="R307" s="1"/>
      <c r="S307" s="1"/>
      <c r="T307" s="1"/>
      <c r="U307" s="1"/>
      <c r="V307" s="1"/>
      <c r="W307" s="1"/>
    </row>
    <row r="308" spans="1:23">
      <c r="A308" s="1"/>
      <c r="B308" s="1"/>
      <c r="C308" s="1"/>
      <c r="D308" s="1"/>
      <c r="E308" s="1"/>
      <c r="F308" s="1"/>
      <c r="G308" s="1"/>
      <c r="H308" s="1"/>
      <c r="I308" s="1"/>
      <c r="J308" s="1"/>
      <c r="K308" s="1"/>
      <c r="L308" s="1"/>
      <c r="M308" s="1"/>
      <c r="N308" s="1"/>
      <c r="O308" s="1"/>
      <c r="P308" s="1"/>
      <c r="Q308" s="1"/>
      <c r="R308" s="1"/>
      <c r="S308" s="1"/>
      <c r="T308" s="1"/>
      <c r="U308" s="1"/>
      <c r="V308" s="1"/>
      <c r="W308" s="1"/>
    </row>
    <row r="309" spans="1:23">
      <c r="A309" s="1"/>
      <c r="B309" s="1"/>
      <c r="C309" s="1"/>
      <c r="D309" s="1"/>
      <c r="E309" s="1"/>
      <c r="F309" s="1"/>
      <c r="G309" s="1"/>
      <c r="H309" s="1"/>
      <c r="I309" s="1"/>
      <c r="J309" s="1"/>
      <c r="K309" s="1"/>
      <c r="L309" s="1"/>
      <c r="M309" s="1"/>
      <c r="N309" s="1"/>
      <c r="O309" s="1"/>
      <c r="P309" s="1"/>
      <c r="Q309" s="1"/>
      <c r="R309" s="1"/>
      <c r="S309" s="1"/>
      <c r="T309" s="1"/>
      <c r="U309" s="1"/>
      <c r="V309" s="1"/>
      <c r="W309" s="1"/>
    </row>
  </sheetData>
  <mergeCells count="4">
    <mergeCell ref="C2:H2"/>
    <mergeCell ref="C3:I3"/>
    <mergeCell ref="B21:S21"/>
    <mergeCell ref="C4:H4"/>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B1:X38"/>
  <sheetViews>
    <sheetView zoomScaleNormal="100" workbookViewId="0">
      <selection activeCell="K23" sqref="K23"/>
    </sheetView>
  </sheetViews>
  <sheetFormatPr baseColWidth="10" defaultColWidth="9.140625" defaultRowHeight="15"/>
  <cols>
    <col min="1" max="5" width="9.140625" style="2"/>
    <col min="6" max="6" width="15.42578125" style="2" customWidth="1"/>
    <col min="7" max="8" width="9.42578125" style="2" customWidth="1"/>
    <col min="9" max="10" width="9.140625" style="2"/>
    <col min="11" max="12" width="9.42578125" style="2" customWidth="1"/>
    <col min="13" max="13" width="21.5703125" style="2" customWidth="1"/>
    <col min="14" max="14" width="9.42578125" style="2" customWidth="1"/>
    <col min="15" max="15" width="14.42578125" style="2" customWidth="1"/>
    <col min="16" max="16" width="9.140625" style="2"/>
    <col min="17" max="18" width="11.5703125" style="2" bestFit="1" customWidth="1"/>
    <col min="19" max="16384" width="9.140625" style="2"/>
  </cols>
  <sheetData>
    <row r="1" spans="2:24">
      <c r="B1" s="1"/>
      <c r="C1" s="1"/>
      <c r="D1" s="1"/>
      <c r="E1" s="1"/>
      <c r="F1" s="1"/>
      <c r="G1" s="1"/>
      <c r="H1" s="1"/>
      <c r="I1" s="1"/>
      <c r="J1" s="1"/>
      <c r="K1" s="1"/>
      <c r="L1" s="1"/>
      <c r="M1" s="1"/>
      <c r="N1" s="1"/>
      <c r="O1" s="1"/>
      <c r="P1" s="1"/>
      <c r="Q1" s="1"/>
      <c r="R1" s="1"/>
      <c r="S1" s="1"/>
      <c r="T1" s="1"/>
      <c r="U1" s="1"/>
      <c r="V1" s="1"/>
      <c r="W1" s="1"/>
      <c r="X1" s="1"/>
    </row>
    <row r="2" spans="2:24">
      <c r="B2" s="1"/>
      <c r="C2" s="113" t="s">
        <v>534</v>
      </c>
      <c r="D2" s="112" t="s">
        <v>535</v>
      </c>
      <c r="E2" s="112"/>
      <c r="F2" s="112"/>
      <c r="G2" s="112"/>
      <c r="H2" s="112"/>
      <c r="I2" s="112"/>
      <c r="J2" s="112"/>
      <c r="K2" s="1"/>
      <c r="L2" s="1"/>
      <c r="M2" s="1"/>
      <c r="N2" s="1"/>
      <c r="O2" s="1"/>
      <c r="P2" s="1"/>
      <c r="Q2" s="1"/>
      <c r="R2" s="1"/>
      <c r="S2" s="1"/>
      <c r="T2" s="1"/>
      <c r="U2" s="1"/>
      <c r="V2" s="1"/>
      <c r="W2" s="1"/>
      <c r="X2" s="1"/>
    </row>
    <row r="3" spans="2:24">
      <c r="B3" s="1"/>
      <c r="C3" s="113" t="s">
        <v>536</v>
      </c>
      <c r="D3" s="112" t="s">
        <v>537</v>
      </c>
      <c r="E3" s="112"/>
      <c r="F3" s="112"/>
      <c r="G3" s="112"/>
      <c r="H3" s="112"/>
      <c r="I3" s="112"/>
      <c r="J3" s="112"/>
      <c r="K3" s="1"/>
      <c r="L3" s="1"/>
      <c r="M3" s="1157" t="s">
        <v>538</v>
      </c>
      <c r="N3" s="1157"/>
      <c r="O3" s="1157"/>
      <c r="P3" s="1157"/>
      <c r="Q3" s="1157"/>
      <c r="R3" s="1157"/>
      <c r="S3" s="1"/>
      <c r="T3" s="1"/>
      <c r="U3" s="1"/>
      <c r="V3" s="1"/>
      <c r="W3" s="1"/>
      <c r="X3" s="1"/>
    </row>
    <row r="4" spans="2:24">
      <c r="B4" s="1"/>
      <c r="C4" s="113" t="s">
        <v>539</v>
      </c>
      <c r="D4" s="112" t="s">
        <v>540</v>
      </c>
      <c r="E4" s="112"/>
      <c r="F4" s="112"/>
      <c r="G4" s="112"/>
      <c r="H4" s="112"/>
      <c r="I4" s="112"/>
      <c r="J4" s="112"/>
      <c r="K4" s="1"/>
      <c r="L4" s="1"/>
      <c r="M4" s="1157"/>
      <c r="N4" s="1157"/>
      <c r="O4" s="1157"/>
      <c r="P4" s="1157"/>
      <c r="Q4" s="1157"/>
      <c r="R4" s="1157"/>
      <c r="S4" s="1"/>
      <c r="T4" s="1"/>
      <c r="U4" s="1"/>
      <c r="V4" s="1"/>
      <c r="W4" s="1"/>
      <c r="X4" s="1"/>
    </row>
    <row r="5" spans="2:24">
      <c r="B5" s="1"/>
      <c r="C5" s="113" t="s">
        <v>541</v>
      </c>
      <c r="D5" s="112" t="s">
        <v>542</v>
      </c>
      <c r="E5" s="112"/>
      <c r="F5" s="112"/>
      <c r="G5" s="112"/>
      <c r="H5" s="112"/>
      <c r="I5" s="112"/>
      <c r="J5" s="112"/>
      <c r="K5" s="1"/>
      <c r="L5" s="1"/>
      <c r="M5" s="1"/>
      <c r="N5" s="1"/>
      <c r="O5" s="1"/>
      <c r="P5" s="1"/>
      <c r="Q5" s="1"/>
      <c r="R5" s="1"/>
      <c r="S5" s="1"/>
      <c r="T5" s="1"/>
      <c r="U5" s="1"/>
      <c r="V5" s="1"/>
      <c r="W5" s="1"/>
      <c r="X5" s="1"/>
    </row>
    <row r="6" spans="2:24" ht="18">
      <c r="B6" s="1"/>
      <c r="C6" s="113" t="s">
        <v>543</v>
      </c>
      <c r="D6" s="191" t="s">
        <v>544</v>
      </c>
      <c r="E6" s="191"/>
      <c r="F6" s="191"/>
      <c r="G6" s="191"/>
      <c r="H6" s="191"/>
      <c r="I6" s="191"/>
      <c r="J6" s="191"/>
      <c r="K6" s="1"/>
      <c r="L6" s="1"/>
      <c r="M6" s="1"/>
      <c r="N6" s="1"/>
      <c r="O6" s="1"/>
      <c r="P6" s="1"/>
      <c r="Q6" s="1"/>
      <c r="R6" s="1"/>
      <c r="S6" s="1"/>
      <c r="T6" s="1"/>
      <c r="U6" s="1"/>
      <c r="V6" s="1"/>
      <c r="W6" s="1"/>
      <c r="X6" s="1"/>
    </row>
    <row r="7" spans="2:24" ht="18">
      <c r="B7" s="1"/>
      <c r="C7" s="113" t="s">
        <v>545</v>
      </c>
      <c r="D7" s="1140" t="s">
        <v>546</v>
      </c>
      <c r="E7" s="1140"/>
      <c r="F7" s="1140"/>
      <c r="G7" s="1140"/>
      <c r="H7" s="1140"/>
      <c r="I7" s="1140"/>
      <c r="J7" s="1140"/>
      <c r="K7" s="1"/>
      <c r="L7" s="1"/>
      <c r="M7" s="1"/>
      <c r="N7" s="1"/>
      <c r="O7" s="1"/>
      <c r="P7" s="1"/>
      <c r="Q7" s="1"/>
      <c r="R7" s="1"/>
      <c r="S7" s="1"/>
      <c r="T7" s="1"/>
      <c r="U7" s="1"/>
      <c r="V7" s="1"/>
      <c r="W7" s="1"/>
      <c r="X7" s="1"/>
    </row>
    <row r="8" spans="2:24">
      <c r="B8" s="1"/>
      <c r="C8" s="1"/>
      <c r="D8" s="1"/>
      <c r="E8" s="1"/>
      <c r="F8" s="1"/>
      <c r="G8" s="1"/>
      <c r="H8" s="1"/>
      <c r="I8" s="1"/>
      <c r="J8" s="1"/>
      <c r="K8" s="1"/>
      <c r="L8" s="1"/>
      <c r="M8" s="1"/>
      <c r="N8" s="1"/>
      <c r="O8" s="1"/>
      <c r="P8" s="1"/>
      <c r="Q8" s="1"/>
      <c r="R8" s="1"/>
      <c r="S8" s="1"/>
      <c r="T8" s="1"/>
      <c r="U8" s="1"/>
      <c r="V8" s="1"/>
      <c r="W8" s="1"/>
      <c r="X8" s="1"/>
    </row>
    <row r="9" spans="2:24" ht="18" customHeight="1">
      <c r="B9" s="1"/>
      <c r="C9" s="1157" t="s">
        <v>547</v>
      </c>
      <c r="D9" s="1157"/>
      <c r="E9" s="1157"/>
      <c r="F9" s="1157"/>
      <c r="G9" s="1157"/>
      <c r="H9" s="1157"/>
      <c r="I9" s="1"/>
      <c r="J9" s="1"/>
      <c r="K9" s="1"/>
      <c r="L9" s="1157" t="s">
        <v>548</v>
      </c>
      <c r="M9" s="1157"/>
      <c r="N9" s="1157"/>
      <c r="O9" s="1157"/>
      <c r="P9" s="1157"/>
      <c r="Q9" s="1"/>
      <c r="R9" s="1"/>
      <c r="S9" s="1"/>
      <c r="T9" s="1"/>
      <c r="U9" s="1"/>
      <c r="V9" s="1"/>
      <c r="W9" s="1"/>
      <c r="X9" s="1"/>
    </row>
    <row r="10" spans="2:24">
      <c r="B10" s="1"/>
      <c r="C10" s="1157"/>
      <c r="D10" s="1157"/>
      <c r="E10" s="1157"/>
      <c r="F10" s="1157"/>
      <c r="G10" s="1157"/>
      <c r="H10" s="1157"/>
      <c r="I10" s="1"/>
      <c r="J10" s="1"/>
      <c r="K10" s="1"/>
      <c r="L10" s="1157"/>
      <c r="M10" s="1157"/>
      <c r="N10" s="1157"/>
      <c r="O10" s="1157"/>
      <c r="P10" s="1157"/>
      <c r="Q10" s="1"/>
      <c r="R10" s="1"/>
      <c r="S10" s="1"/>
      <c r="T10" s="1"/>
      <c r="U10" s="1"/>
      <c r="V10" s="1"/>
      <c r="W10" s="1"/>
      <c r="X10" s="1"/>
    </row>
    <row r="11" spans="2:24" ht="15.75" thickBot="1">
      <c r="B11" s="1"/>
      <c r="C11" s="1"/>
      <c r="D11" s="1"/>
      <c r="E11" s="1"/>
      <c r="F11" s="1"/>
      <c r="G11" s="1"/>
      <c r="H11" s="1"/>
      <c r="I11" s="1"/>
      <c r="J11" s="1"/>
      <c r="K11" s="1"/>
      <c r="L11" s="1"/>
      <c r="M11" s="1"/>
      <c r="N11" s="1"/>
      <c r="O11" s="1"/>
      <c r="P11" s="1"/>
      <c r="Q11" s="1"/>
      <c r="R11" s="1"/>
      <c r="S11" s="1"/>
      <c r="T11" s="1"/>
      <c r="U11" s="1"/>
      <c r="V11" s="1"/>
      <c r="W11" s="1"/>
      <c r="X11" s="1"/>
    </row>
    <row r="12" spans="2:24">
      <c r="B12" s="1"/>
      <c r="C12" s="665"/>
      <c r="D12" s="666"/>
      <c r="E12" s="666"/>
      <c r="F12" s="666"/>
      <c r="G12" s="666"/>
      <c r="H12" s="667"/>
      <c r="I12" s="1"/>
      <c r="J12" s="1"/>
      <c r="K12" s="1"/>
      <c r="L12" s="668"/>
      <c r="M12" s="669"/>
      <c r="N12" s="669"/>
      <c r="O12" s="669"/>
      <c r="P12" s="670"/>
      <c r="Q12" s="1"/>
      <c r="R12" s="1"/>
      <c r="S12" s="1"/>
      <c r="T12" s="1"/>
      <c r="U12" s="1"/>
      <c r="V12" s="1"/>
      <c r="W12" s="1"/>
      <c r="X12" s="1"/>
    </row>
    <row r="13" spans="2:24" ht="15" customHeight="1">
      <c r="B13" s="1"/>
      <c r="C13" s="1158" t="s">
        <v>549</v>
      </c>
      <c r="D13" s="1159"/>
      <c r="E13" s="1159"/>
      <c r="F13" s="1159"/>
      <c r="G13" s="1159"/>
      <c r="H13" s="671"/>
      <c r="I13" s="1"/>
      <c r="J13" s="1"/>
      <c r="K13" s="1"/>
      <c r="L13" s="1160" t="s">
        <v>550</v>
      </c>
      <c r="M13" s="1161"/>
      <c r="N13" s="1161"/>
      <c r="O13" s="1161"/>
      <c r="P13" s="1162"/>
      <c r="Q13" s="1"/>
      <c r="R13" s="1"/>
      <c r="S13" s="1"/>
      <c r="T13" s="1"/>
      <c r="U13" s="1"/>
      <c r="V13" s="1"/>
      <c r="W13" s="1"/>
      <c r="X13" s="1"/>
    </row>
    <row r="14" spans="2:24">
      <c r="B14" s="1"/>
      <c r="C14" s="672"/>
      <c r="D14" s="673"/>
      <c r="E14" s="673"/>
      <c r="F14" s="674">
        <v>2014</v>
      </c>
      <c r="G14" s="673"/>
      <c r="H14" s="671"/>
      <c r="I14" s="1"/>
      <c r="J14" s="1"/>
      <c r="K14" s="1"/>
      <c r="L14" s="672"/>
      <c r="M14" s="673"/>
      <c r="N14" s="673"/>
      <c r="O14" s="674">
        <v>2014</v>
      </c>
      <c r="P14" s="671"/>
      <c r="Q14" s="1"/>
      <c r="R14" s="1"/>
      <c r="S14" s="1"/>
      <c r="T14" s="1"/>
      <c r="U14" s="1"/>
      <c r="V14" s="1"/>
      <c r="W14" s="1"/>
      <c r="X14" s="1"/>
    </row>
    <row r="15" spans="2:24" ht="15.75" thickBot="1">
      <c r="B15" s="113"/>
      <c r="C15" s="672"/>
      <c r="D15" s="673"/>
      <c r="E15" s="673"/>
      <c r="F15" s="673"/>
      <c r="G15" s="673"/>
      <c r="H15" s="671"/>
      <c r="I15" s="1"/>
      <c r="J15" s="1"/>
      <c r="K15" s="1"/>
      <c r="L15" s="672"/>
      <c r="M15" s="673"/>
      <c r="N15" s="673"/>
      <c r="O15" s="673"/>
      <c r="P15" s="671"/>
      <c r="Q15" s="1"/>
      <c r="R15" s="1"/>
      <c r="S15" s="1"/>
      <c r="T15" s="1"/>
      <c r="U15" s="1"/>
      <c r="V15" s="1"/>
      <c r="W15" s="1"/>
      <c r="X15" s="1"/>
    </row>
    <row r="16" spans="2:24" ht="15.75" thickBot="1">
      <c r="B16" s="1"/>
      <c r="C16" s="192" t="s">
        <v>551</v>
      </c>
      <c r="D16" s="673"/>
      <c r="E16" s="673"/>
      <c r="F16" s="412">
        <f>'TC nominal'!I20</f>
        <v>1.5</v>
      </c>
      <c r="G16" s="673"/>
      <c r="H16" s="671"/>
      <c r="I16" s="112"/>
      <c r="J16" s="1"/>
      <c r="K16" s="1"/>
      <c r="L16" s="192" t="s">
        <v>552</v>
      </c>
      <c r="M16" s="673"/>
      <c r="N16" s="673"/>
      <c r="O16" s="412">
        <f>'PIB real y brecha del producto'!G28</f>
        <v>4.4517020977380968</v>
      </c>
      <c r="P16" s="671"/>
      <c r="Q16" s="1"/>
      <c r="R16" s="1"/>
      <c r="S16" s="1"/>
      <c r="T16" s="1"/>
      <c r="U16" s="1"/>
      <c r="V16" s="1"/>
      <c r="W16" s="1"/>
      <c r="X16" s="1"/>
    </row>
    <row r="17" spans="2:24" ht="15.75" thickBot="1">
      <c r="B17" s="113"/>
      <c r="C17" s="672"/>
      <c r="D17" s="673"/>
      <c r="E17" s="673"/>
      <c r="F17" s="673"/>
      <c r="G17" s="673"/>
      <c r="H17" s="671"/>
      <c r="I17" s="1"/>
      <c r="J17" s="1"/>
      <c r="K17" s="1"/>
      <c r="L17" s="672"/>
      <c r="M17" s="673"/>
      <c r="N17" s="673"/>
      <c r="O17" s="673"/>
      <c r="P17" s="671"/>
      <c r="Q17" s="1"/>
      <c r="R17" s="1"/>
      <c r="S17" s="1"/>
      <c r="T17" s="1"/>
      <c r="U17" s="1"/>
      <c r="V17" s="1"/>
      <c r="W17" s="1"/>
      <c r="X17" s="1"/>
    </row>
    <row r="18" spans="2:24" ht="18.75" thickBot="1">
      <c r="B18" s="1"/>
      <c r="C18" s="192" t="s">
        <v>553</v>
      </c>
      <c r="D18" s="673"/>
      <c r="E18" s="673"/>
      <c r="F18" s="412">
        <f>('TC nominal'!I13/'TC nominal'!H13-1)*100</f>
        <v>6.210417196895035</v>
      </c>
      <c r="G18" s="673"/>
      <c r="H18" s="671"/>
      <c r="I18" s="1"/>
      <c r="J18" s="1"/>
      <c r="K18" s="1"/>
      <c r="L18" s="192" t="s">
        <v>543</v>
      </c>
      <c r="M18" s="673"/>
      <c r="N18" s="673"/>
      <c r="O18" s="675">
        <f>1.25777540726631</f>
        <v>1.2577754072663101</v>
      </c>
      <c r="P18" s="671"/>
      <c r="Q18" s="112"/>
      <c r="R18" s="1"/>
      <c r="S18" s="1"/>
      <c r="T18" s="1"/>
      <c r="U18" s="1"/>
      <c r="V18" s="1"/>
      <c r="W18" s="1"/>
      <c r="X18" s="1"/>
    </row>
    <row r="19" spans="2:24" ht="15.75" thickBot="1">
      <c r="B19" s="113"/>
      <c r="C19" s="672"/>
      <c r="D19" s="673"/>
      <c r="E19" s="673"/>
      <c r="F19" s="673"/>
      <c r="G19" s="673"/>
      <c r="H19" s="671"/>
      <c r="I19" s="1"/>
      <c r="J19" s="1"/>
      <c r="K19" s="1"/>
      <c r="L19" s="672"/>
      <c r="M19" s="673"/>
      <c r="N19" s="673"/>
      <c r="O19" s="673"/>
      <c r="P19" s="671"/>
      <c r="Q19" s="1"/>
      <c r="R19" s="1"/>
      <c r="S19" s="1"/>
      <c r="T19" s="1"/>
      <c r="U19" s="1"/>
      <c r="V19" s="1"/>
      <c r="W19" s="1"/>
      <c r="X19" s="1"/>
    </row>
    <row r="20" spans="2:24" ht="15.75" thickBot="1">
      <c r="B20" s="1"/>
      <c r="C20" s="192" t="s">
        <v>554</v>
      </c>
      <c r="D20" s="673"/>
      <c r="E20" s="673"/>
      <c r="F20" s="412">
        <f>Inflación!O31</f>
        <v>7.3556691967236247</v>
      </c>
      <c r="G20" s="673"/>
      <c r="H20" s="671"/>
      <c r="I20" s="1"/>
      <c r="J20" s="1"/>
      <c r="K20" s="1"/>
      <c r="L20" s="192" t="s">
        <v>555</v>
      </c>
      <c r="M20" s="673"/>
      <c r="N20" s="673"/>
      <c r="O20" s="675">
        <f>F22</f>
        <v>0.41721528213294334</v>
      </c>
      <c r="P20" s="671"/>
      <c r="Q20" s="1"/>
      <c r="R20" s="1"/>
      <c r="S20" s="1"/>
      <c r="T20" s="1"/>
      <c r="U20" s="1"/>
      <c r="V20" s="1"/>
      <c r="W20" s="1"/>
      <c r="X20" s="1"/>
    </row>
    <row r="21" spans="2:24" ht="15.75" thickBot="1">
      <c r="B21" s="113"/>
      <c r="C21" s="672"/>
      <c r="D21" s="673"/>
      <c r="E21" s="673"/>
      <c r="F21" s="673"/>
      <c r="G21" s="673"/>
      <c r="H21" s="671"/>
      <c r="I21" s="1"/>
      <c r="J21" s="1"/>
      <c r="K21" s="1"/>
      <c r="L21" s="672"/>
      <c r="M21" s="673"/>
      <c r="N21" s="673"/>
      <c r="O21" s="673"/>
      <c r="P21" s="671"/>
      <c r="Q21" s="1"/>
      <c r="R21" s="1"/>
      <c r="S21" s="1"/>
      <c r="T21" s="1"/>
      <c r="U21" s="1"/>
      <c r="V21" s="1"/>
      <c r="W21" s="1"/>
      <c r="X21" s="1"/>
    </row>
    <row r="22" spans="2:24" ht="18.75" thickBot="1">
      <c r="B22" s="1"/>
      <c r="C22" s="192" t="s">
        <v>555</v>
      </c>
      <c r="D22" s="673"/>
      <c r="E22" s="673"/>
      <c r="F22" s="990">
        <f>((1+F16/100)*(1+F18/100)/(1+F20/100)-1)*100</f>
        <v>0.41721528213294334</v>
      </c>
      <c r="G22" s="673"/>
      <c r="H22" s="671"/>
      <c r="I22" s="112"/>
      <c r="J22" s="1"/>
      <c r="K22" s="1"/>
      <c r="L22" s="192" t="s">
        <v>545</v>
      </c>
      <c r="M22" s="673"/>
      <c r="N22" s="673"/>
      <c r="O22" s="675">
        <f>-'Exportaciones reales de bienes'!O23</f>
        <v>-0.625</v>
      </c>
      <c r="P22" s="671"/>
      <c r="Q22" s="112"/>
      <c r="R22" s="1"/>
      <c r="S22" s="1"/>
      <c r="T22" s="1"/>
      <c r="U22" s="1"/>
      <c r="V22" s="1"/>
      <c r="W22" s="1"/>
      <c r="X22" s="1"/>
    </row>
    <row r="23" spans="2:24" ht="15.75" thickBot="1">
      <c r="B23" s="113"/>
      <c r="C23" s="672"/>
      <c r="D23" s="673"/>
      <c r="E23" s="673"/>
      <c r="F23" s="673"/>
      <c r="G23" s="673"/>
      <c r="H23" s="671"/>
      <c r="I23" s="1"/>
      <c r="J23" s="1"/>
      <c r="K23" s="1"/>
      <c r="L23" s="672"/>
      <c r="M23" s="673"/>
      <c r="N23" s="673"/>
      <c r="O23" s="673"/>
      <c r="P23" s="671"/>
      <c r="Q23" s="1"/>
      <c r="R23" s="1"/>
      <c r="S23" s="1"/>
      <c r="T23" s="1"/>
      <c r="U23" s="1"/>
      <c r="V23" s="1"/>
      <c r="W23" s="1"/>
      <c r="X23" s="1"/>
    </row>
    <row r="24" spans="2:24" ht="15.75" thickBot="1">
      <c r="B24" s="113"/>
      <c r="C24" s="672"/>
      <c r="D24" s="673"/>
      <c r="E24" s="673"/>
      <c r="F24" s="673"/>
      <c r="G24" s="673"/>
      <c r="H24" s="671"/>
      <c r="I24" s="1"/>
      <c r="J24" s="1"/>
      <c r="K24" s="1"/>
      <c r="L24" s="192" t="s">
        <v>556</v>
      </c>
      <c r="M24" s="673"/>
      <c r="N24" s="673"/>
      <c r="O24" s="990">
        <f>(O18*O16)+(O22*O20)</f>
        <v>5.3384818676777321</v>
      </c>
      <c r="P24" s="671"/>
      <c r="Q24" s="1"/>
      <c r="R24" s="1"/>
      <c r="S24" s="1"/>
      <c r="T24" s="1"/>
      <c r="U24" s="1"/>
      <c r="V24" s="1"/>
      <c r="W24" s="1"/>
      <c r="X24" s="1"/>
    </row>
    <row r="25" spans="2:24">
      <c r="B25" s="113"/>
      <c r="C25" s="672"/>
      <c r="D25" s="673"/>
      <c r="E25" s="673"/>
      <c r="F25" s="673"/>
      <c r="G25" s="673"/>
      <c r="H25" s="671"/>
      <c r="I25" s="1"/>
      <c r="J25" s="1"/>
      <c r="K25" s="1"/>
      <c r="L25" s="672"/>
      <c r="M25" s="673"/>
      <c r="N25" s="673"/>
      <c r="O25" s="673"/>
      <c r="P25" s="671"/>
      <c r="Q25" s="1"/>
      <c r="R25" s="1"/>
      <c r="S25" s="1"/>
      <c r="T25" s="1"/>
      <c r="U25" s="1"/>
      <c r="V25" s="1"/>
      <c r="W25" s="1"/>
      <c r="X25" s="1"/>
    </row>
    <row r="26" spans="2:24" ht="15.75" thickBot="1">
      <c r="B26" s="1"/>
      <c r="C26" s="676"/>
      <c r="D26" s="677"/>
      <c r="E26" s="677"/>
      <c r="F26" s="677"/>
      <c r="G26" s="677"/>
      <c r="H26" s="678"/>
      <c r="I26" s="1"/>
      <c r="J26" s="1"/>
      <c r="K26" s="1"/>
      <c r="L26" s="676"/>
      <c r="M26" s="677"/>
      <c r="N26" s="677"/>
      <c r="O26" s="677"/>
      <c r="P26" s="678"/>
      <c r="Q26" s="1"/>
      <c r="R26" s="1"/>
      <c r="S26" s="1"/>
      <c r="T26" s="1"/>
      <c r="U26" s="1"/>
      <c r="V26" s="1"/>
      <c r="W26" s="1"/>
      <c r="X26" s="1"/>
    </row>
    <row r="27" spans="2:24">
      <c r="B27" s="1"/>
      <c r="C27" s="1"/>
      <c r="D27" s="1"/>
      <c r="E27" s="1"/>
      <c r="F27" s="1"/>
      <c r="G27" s="1"/>
      <c r="H27" s="1"/>
      <c r="I27" s="1"/>
      <c r="J27" s="1"/>
      <c r="K27" s="1"/>
      <c r="L27" s="1"/>
      <c r="M27" s="1"/>
      <c r="N27" s="1"/>
      <c r="O27" s="1"/>
      <c r="P27" s="1"/>
      <c r="Q27" s="1"/>
      <c r="R27" s="286"/>
      <c r="S27" s="1"/>
      <c r="T27" s="1"/>
      <c r="U27" s="1"/>
      <c r="V27" s="1"/>
      <c r="W27" s="1"/>
      <c r="X27" s="1"/>
    </row>
    <row r="28" spans="2:24">
      <c r="B28" s="1"/>
      <c r="C28" s="1"/>
      <c r="D28" s="1"/>
      <c r="E28" s="1"/>
      <c r="F28" s="1"/>
      <c r="G28" s="1"/>
      <c r="H28" s="1"/>
      <c r="I28" s="1"/>
      <c r="J28" s="1"/>
      <c r="K28" s="1"/>
      <c r="L28" s="1"/>
      <c r="M28" s="1"/>
      <c r="N28" s="1"/>
      <c r="O28" s="1"/>
      <c r="P28" s="1"/>
      <c r="Q28" s="1"/>
      <c r="R28" s="1"/>
      <c r="S28" s="1"/>
      <c r="T28" s="1"/>
      <c r="U28" s="1"/>
      <c r="V28" s="1"/>
      <c r="W28" s="1"/>
      <c r="X28" s="1"/>
    </row>
    <row r="29" spans="2:24">
      <c r="B29" s="1"/>
      <c r="C29" s="1"/>
      <c r="D29" s="1"/>
      <c r="E29" s="1"/>
      <c r="F29" s="1"/>
      <c r="G29" s="1"/>
      <c r="H29" s="1"/>
      <c r="I29" s="1"/>
      <c r="J29" s="1"/>
      <c r="K29" s="1"/>
      <c r="L29" s="1"/>
      <c r="M29" s="1"/>
      <c r="N29" s="1"/>
      <c r="O29" s="1"/>
      <c r="P29" s="1"/>
      <c r="Q29" s="1"/>
      <c r="R29" s="1"/>
      <c r="S29" s="1"/>
      <c r="T29" s="1"/>
      <c r="U29" s="1"/>
      <c r="V29" s="1"/>
      <c r="W29" s="1"/>
      <c r="X29" s="1"/>
    </row>
    <row r="30" spans="2:24">
      <c r="B30" s="1"/>
      <c r="C30" s="1"/>
      <c r="D30" s="1"/>
      <c r="E30" s="1"/>
      <c r="F30" s="1"/>
      <c r="G30" s="1"/>
      <c r="H30" s="1"/>
      <c r="I30" s="1"/>
      <c r="J30" s="1"/>
      <c r="K30" s="1"/>
      <c r="L30" s="1"/>
      <c r="M30" s="1"/>
      <c r="N30" s="1"/>
      <c r="O30" s="1"/>
      <c r="P30" s="1"/>
      <c r="Q30" s="1"/>
      <c r="R30" s="1"/>
      <c r="S30" s="1"/>
      <c r="T30" s="1"/>
      <c r="U30" s="1"/>
      <c r="V30" s="1"/>
      <c r="W30" s="1"/>
      <c r="X30" s="1"/>
    </row>
    <row r="31" spans="2:24">
      <c r="B31" s="1"/>
      <c r="C31" s="1"/>
      <c r="D31" s="1"/>
      <c r="E31" s="1"/>
      <c r="F31" s="1"/>
      <c r="G31" s="1"/>
      <c r="H31" s="1"/>
      <c r="I31" s="1"/>
      <c r="J31" s="1"/>
      <c r="K31" s="1"/>
      <c r="L31" s="1"/>
      <c r="M31" s="1"/>
      <c r="N31" s="1"/>
      <c r="O31" s="1"/>
      <c r="P31" s="1"/>
      <c r="Q31" s="1"/>
      <c r="R31" s="1"/>
      <c r="S31" s="1"/>
      <c r="T31" s="1"/>
      <c r="U31" s="1"/>
      <c r="V31" s="1"/>
      <c r="W31" s="1"/>
      <c r="X31" s="1"/>
    </row>
    <row r="32" spans="2:24">
      <c r="B32" s="1"/>
      <c r="C32" s="1"/>
      <c r="D32" s="1"/>
      <c r="E32" s="1"/>
      <c r="F32" s="1"/>
      <c r="G32" s="1"/>
      <c r="H32" s="1"/>
      <c r="I32" s="1"/>
      <c r="J32" s="1"/>
      <c r="K32" s="1"/>
      <c r="L32" s="1"/>
      <c r="M32" s="1"/>
      <c r="N32" s="1"/>
      <c r="O32" s="1"/>
      <c r="P32" s="1"/>
      <c r="Q32" s="1"/>
      <c r="R32" s="1"/>
      <c r="S32" s="1"/>
      <c r="T32" s="1"/>
      <c r="U32" s="1"/>
      <c r="V32" s="1"/>
      <c r="W32" s="1"/>
      <c r="X32" s="1"/>
    </row>
    <row r="33" spans="2:24">
      <c r="B33" s="1"/>
      <c r="C33" s="1"/>
      <c r="D33" s="1"/>
      <c r="E33" s="1"/>
      <c r="F33" s="1"/>
      <c r="G33" s="1"/>
      <c r="H33" s="1"/>
      <c r="I33" s="1"/>
      <c r="J33" s="1"/>
      <c r="K33" s="1"/>
      <c r="L33" s="1"/>
      <c r="M33" s="1"/>
      <c r="N33" s="1"/>
      <c r="O33" s="1"/>
      <c r="P33" s="1"/>
      <c r="Q33" s="1"/>
      <c r="R33" s="1"/>
      <c r="S33" s="1"/>
      <c r="T33" s="1"/>
      <c r="U33" s="1"/>
      <c r="V33" s="1"/>
      <c r="W33" s="1"/>
      <c r="X33" s="1"/>
    </row>
    <row r="34" spans="2:24">
      <c r="B34" s="1"/>
      <c r="C34" s="1"/>
      <c r="D34" s="1"/>
      <c r="E34" s="1"/>
      <c r="F34" s="1"/>
      <c r="G34" s="1"/>
      <c r="H34" s="1"/>
      <c r="I34" s="1"/>
      <c r="J34" s="1"/>
      <c r="K34" s="1"/>
      <c r="L34" s="1"/>
      <c r="M34" s="1"/>
      <c r="N34" s="1"/>
      <c r="O34" s="1"/>
      <c r="P34" s="1"/>
      <c r="Q34" s="1"/>
      <c r="R34" s="1"/>
      <c r="S34" s="1"/>
      <c r="T34" s="1"/>
      <c r="U34" s="1"/>
      <c r="V34" s="1"/>
      <c r="W34" s="1"/>
      <c r="X34" s="1"/>
    </row>
    <row r="35" spans="2:24">
      <c r="B35" s="1"/>
      <c r="C35" s="1"/>
      <c r="D35" s="1"/>
      <c r="E35" s="1"/>
      <c r="F35" s="1"/>
      <c r="G35" s="1"/>
      <c r="H35" s="1"/>
      <c r="I35" s="1"/>
      <c r="J35" s="1"/>
      <c r="K35" s="1"/>
      <c r="L35" s="1"/>
      <c r="M35" s="1"/>
      <c r="N35" s="1"/>
      <c r="O35" s="1"/>
      <c r="P35" s="1"/>
      <c r="Q35" s="1"/>
      <c r="R35" s="1"/>
      <c r="S35" s="1"/>
      <c r="T35" s="1"/>
      <c r="U35" s="1"/>
      <c r="V35" s="1"/>
      <c r="W35" s="1"/>
      <c r="X35" s="1"/>
    </row>
    <row r="36" spans="2:24">
      <c r="B36" s="1"/>
      <c r="C36" s="1"/>
      <c r="D36" s="1"/>
      <c r="E36" s="1"/>
      <c r="F36" s="1"/>
      <c r="G36" s="1"/>
      <c r="H36" s="1"/>
      <c r="I36" s="1"/>
      <c r="J36" s="1"/>
      <c r="K36" s="1"/>
      <c r="L36" s="1"/>
      <c r="M36" s="1"/>
      <c r="N36" s="1"/>
      <c r="O36" s="1"/>
      <c r="P36" s="1"/>
      <c r="Q36" s="1"/>
      <c r="R36" s="1"/>
      <c r="S36" s="1"/>
      <c r="T36" s="1"/>
      <c r="U36" s="1"/>
      <c r="V36" s="1"/>
      <c r="W36" s="1"/>
      <c r="X36" s="1"/>
    </row>
    <row r="37" spans="2:24">
      <c r="B37" s="1"/>
      <c r="C37" s="1"/>
      <c r="D37" s="1"/>
      <c r="E37" s="1"/>
      <c r="F37" s="1"/>
      <c r="G37" s="1"/>
      <c r="H37" s="1"/>
      <c r="I37" s="1"/>
      <c r="J37" s="1"/>
      <c r="K37" s="1"/>
      <c r="L37" s="1"/>
      <c r="M37" s="1"/>
      <c r="N37" s="1"/>
      <c r="O37" s="1"/>
      <c r="P37" s="1"/>
      <c r="Q37" s="1"/>
      <c r="R37" s="1"/>
      <c r="S37" s="1"/>
      <c r="T37" s="1"/>
      <c r="U37" s="1"/>
      <c r="V37" s="1"/>
      <c r="W37" s="1"/>
      <c r="X37" s="1"/>
    </row>
    <row r="38" spans="2:24">
      <c r="B38" s="1"/>
      <c r="C38" s="1"/>
      <c r="D38" s="1"/>
      <c r="E38" s="1"/>
      <c r="F38" s="1"/>
      <c r="G38" s="1"/>
      <c r="H38" s="1"/>
      <c r="I38" s="1"/>
      <c r="J38" s="1"/>
      <c r="K38" s="1"/>
      <c r="L38" s="1"/>
      <c r="M38" s="1"/>
      <c r="N38" s="1"/>
      <c r="O38" s="1"/>
      <c r="P38" s="1"/>
      <c r="Q38" s="1"/>
      <c r="R38" s="1"/>
      <c r="S38" s="1"/>
      <c r="T38" s="1"/>
      <c r="U38" s="1"/>
      <c r="V38" s="1"/>
      <c r="W38" s="1"/>
      <c r="X38" s="1"/>
    </row>
  </sheetData>
  <mergeCells count="6">
    <mergeCell ref="M3:R4"/>
    <mergeCell ref="D7:J7"/>
    <mergeCell ref="C9:H10"/>
    <mergeCell ref="L9:P10"/>
    <mergeCell ref="C13:G13"/>
    <mergeCell ref="L13:P13"/>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B1:CK241"/>
  <sheetViews>
    <sheetView zoomScaleNormal="100" workbookViewId="0">
      <selection activeCell="O25" sqref="O25"/>
    </sheetView>
  </sheetViews>
  <sheetFormatPr baseColWidth="10" defaultColWidth="9.140625" defaultRowHeight="15"/>
  <cols>
    <col min="1" max="5" width="9.140625" style="2"/>
    <col min="6" max="6" width="15.42578125" style="2" customWidth="1"/>
    <col min="7" max="8" width="9.42578125" style="2" customWidth="1"/>
    <col min="9" max="10" width="9.140625" style="2"/>
    <col min="11" max="12" width="9.42578125" style="2" customWidth="1"/>
    <col min="13" max="13" width="28.140625" style="2" customWidth="1"/>
    <col min="14" max="14" width="9.42578125" style="2" customWidth="1"/>
    <col min="15" max="15" width="14.42578125" style="2" customWidth="1"/>
    <col min="16" max="16" width="9.140625" style="2"/>
    <col min="17" max="17" width="11.42578125" style="2" bestFit="1" customWidth="1"/>
    <col min="18" max="16384" width="9.140625" style="2"/>
  </cols>
  <sheetData>
    <row r="1" spans="2:89">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row>
    <row r="2" spans="2:89">
      <c r="B2" s="1"/>
      <c r="C2" s="113" t="s">
        <v>557</v>
      </c>
      <c r="D2" s="112" t="s">
        <v>558</v>
      </c>
      <c r="E2" s="112"/>
      <c r="F2" s="112"/>
      <c r="G2" s="112"/>
      <c r="H2" s="112"/>
      <c r="I2" s="112"/>
      <c r="J2" s="112"/>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row>
    <row r="3" spans="2:89">
      <c r="B3" s="1"/>
      <c r="C3" s="113" t="s">
        <v>536</v>
      </c>
      <c r="D3" s="112" t="s">
        <v>537</v>
      </c>
      <c r="E3" s="112"/>
      <c r="F3" s="112"/>
      <c r="G3" s="112"/>
      <c r="H3" s="112"/>
      <c r="I3" s="112"/>
      <c r="J3" s="112"/>
      <c r="K3" s="1"/>
      <c r="L3" s="1"/>
      <c r="M3" s="1157" t="s">
        <v>559</v>
      </c>
      <c r="N3" s="1157"/>
      <c r="O3" s="1157"/>
      <c r="P3" s="1157"/>
      <c r="Q3" s="1157"/>
      <c r="R3" s="1157"/>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row>
    <row r="4" spans="2:89" ht="17.25">
      <c r="B4" s="1"/>
      <c r="C4" s="113" t="s">
        <v>560</v>
      </c>
      <c r="D4" s="112" t="s">
        <v>561</v>
      </c>
      <c r="E4" s="112"/>
      <c r="F4" s="112"/>
      <c r="G4" s="112"/>
      <c r="H4" s="112"/>
      <c r="I4" s="113"/>
      <c r="J4" s="112"/>
      <c r="K4" s="1"/>
      <c r="L4" s="1"/>
      <c r="M4" s="1157"/>
      <c r="N4" s="1157"/>
      <c r="O4" s="1157"/>
      <c r="P4" s="1157"/>
      <c r="Q4" s="1157"/>
      <c r="R4" s="1157"/>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row>
    <row r="5" spans="2:89">
      <c r="B5" s="1"/>
      <c r="C5" s="113" t="s">
        <v>562</v>
      </c>
      <c r="D5" s="112" t="s">
        <v>563</v>
      </c>
      <c r="E5" s="112"/>
      <c r="F5" s="112"/>
      <c r="G5" s="112"/>
      <c r="H5" s="112"/>
      <c r="I5" s="113"/>
      <c r="J5" s="112"/>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row>
    <row r="6" spans="2:89">
      <c r="B6" s="1"/>
      <c r="C6" s="113" t="s">
        <v>564</v>
      </c>
      <c r="D6" s="112" t="s">
        <v>565</v>
      </c>
      <c r="E6" s="112"/>
      <c r="F6" s="112"/>
      <c r="G6" s="112"/>
      <c r="H6" s="112"/>
      <c r="I6" s="113"/>
      <c r="J6" s="112"/>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row>
    <row r="7" spans="2:89" ht="18">
      <c r="B7" s="1"/>
      <c r="C7" s="113" t="s">
        <v>566</v>
      </c>
      <c r="D7" s="112" t="s">
        <v>567</v>
      </c>
      <c r="E7" s="112"/>
      <c r="F7" s="112"/>
      <c r="G7" s="112"/>
      <c r="H7" s="112"/>
      <c r="I7" s="113"/>
      <c r="J7" s="112"/>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row>
    <row r="8" spans="2:89" ht="18">
      <c r="B8" s="1"/>
      <c r="C8" s="113" t="s">
        <v>568</v>
      </c>
      <c r="D8" s="1140" t="s">
        <v>569</v>
      </c>
      <c r="E8" s="1140"/>
      <c r="F8" s="1140"/>
      <c r="G8" s="1140"/>
      <c r="H8" s="1140"/>
      <c r="I8" s="1140"/>
      <c r="J8" s="1140"/>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row>
    <row r="9" spans="2:89">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row>
    <row r="10" spans="2:89" ht="15" customHeight="1">
      <c r="B10" s="1"/>
      <c r="C10" s="1157" t="s">
        <v>570</v>
      </c>
      <c r="D10" s="1157"/>
      <c r="E10" s="1157"/>
      <c r="F10" s="1157"/>
      <c r="G10" s="1157"/>
      <c r="H10" s="1157"/>
      <c r="I10" s="1"/>
      <c r="J10" s="1"/>
      <c r="K10" s="1"/>
      <c r="L10" s="1157" t="s">
        <v>571</v>
      </c>
      <c r="M10" s="1157"/>
      <c r="N10" s="1157"/>
      <c r="O10" s="1157"/>
      <c r="P10" s="1157"/>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row>
    <row r="11" spans="2:89">
      <c r="B11" s="1"/>
      <c r="C11" s="1157"/>
      <c r="D11" s="1157"/>
      <c r="E11" s="1157"/>
      <c r="F11" s="1157"/>
      <c r="G11" s="1157"/>
      <c r="H11" s="1157"/>
      <c r="I11" s="1"/>
      <c r="J11" s="1"/>
      <c r="K11" s="1"/>
      <c r="L11" s="1157"/>
      <c r="M11" s="1157"/>
      <c r="N11" s="1157"/>
      <c r="O11" s="1157"/>
      <c r="P11" s="1157"/>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row>
    <row r="12" spans="2:89" ht="15.75" thickBot="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row>
    <row r="13" spans="2:89">
      <c r="B13" s="1"/>
      <c r="C13" s="668"/>
      <c r="D13" s="669"/>
      <c r="E13" s="669"/>
      <c r="F13" s="669"/>
      <c r="G13" s="669"/>
      <c r="H13" s="670"/>
      <c r="I13" s="1"/>
      <c r="J13" s="1"/>
      <c r="K13" s="1"/>
      <c r="L13" s="668"/>
      <c r="M13" s="669"/>
      <c r="N13" s="669"/>
      <c r="O13" s="669"/>
      <c r="P13" s="670"/>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row>
    <row r="14" spans="2:89" ht="15" customHeight="1">
      <c r="B14" s="1"/>
      <c r="C14" s="1158" t="s">
        <v>572</v>
      </c>
      <c r="D14" s="1159"/>
      <c r="E14" s="1159"/>
      <c r="F14" s="1159"/>
      <c r="G14" s="1159"/>
      <c r="H14" s="671"/>
      <c r="I14" s="1"/>
      <c r="J14" s="1"/>
      <c r="K14" s="1"/>
      <c r="L14" s="1160" t="s">
        <v>573</v>
      </c>
      <c r="M14" s="1161"/>
      <c r="N14" s="1161"/>
      <c r="O14" s="1161"/>
      <c r="P14" s="1162"/>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row>
    <row r="15" spans="2:89">
      <c r="B15" s="1"/>
      <c r="C15" s="672"/>
      <c r="D15" s="673"/>
      <c r="E15" s="673"/>
      <c r="F15" s="674">
        <v>2014</v>
      </c>
      <c r="G15" s="673"/>
      <c r="H15" s="671"/>
      <c r="I15" s="1"/>
      <c r="J15" s="1"/>
      <c r="K15" s="1"/>
      <c r="L15" s="672"/>
      <c r="M15" s="673"/>
      <c r="N15" s="673"/>
      <c r="O15" s="673">
        <v>2014</v>
      </c>
      <c r="P15" s="67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row>
    <row r="16" spans="2:89" ht="15.75" thickBot="1">
      <c r="B16" s="113"/>
      <c r="C16" s="672"/>
      <c r="D16" s="673"/>
      <c r="E16" s="673"/>
      <c r="F16" s="673"/>
      <c r="G16" s="673"/>
      <c r="H16" s="671"/>
      <c r="I16" s="1"/>
      <c r="J16" s="1"/>
      <c r="K16" s="1"/>
      <c r="L16" s="672"/>
      <c r="M16" s="673"/>
      <c r="N16" s="673"/>
      <c r="O16" s="673"/>
      <c r="P16" s="67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row>
    <row r="17" spans="2:89" ht="18" thickBot="1">
      <c r="B17" s="1"/>
      <c r="C17" s="192" t="s">
        <v>574</v>
      </c>
      <c r="D17" s="673"/>
      <c r="E17" s="673"/>
      <c r="F17" s="675">
        <f>'TC nominal'!I20</f>
        <v>1.5</v>
      </c>
      <c r="G17" s="673"/>
      <c r="H17" s="671"/>
      <c r="I17" s="112"/>
      <c r="J17" s="1"/>
      <c r="K17" s="1"/>
      <c r="L17" s="192" t="s">
        <v>575</v>
      </c>
      <c r="M17" s="673"/>
      <c r="N17" s="673"/>
      <c r="O17" s="679">
        <f>'PIB real y brecha del producto'!L10*100</f>
        <v>4</v>
      </c>
      <c r="P17" s="671"/>
      <c r="Q17" s="112"/>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row>
    <row r="18" spans="2:89" ht="15.75" thickBot="1">
      <c r="B18" s="113"/>
      <c r="C18" s="672"/>
      <c r="D18" s="673"/>
      <c r="E18" s="673"/>
      <c r="F18" s="673"/>
      <c r="G18" s="673"/>
      <c r="H18" s="671"/>
      <c r="I18" s="1"/>
      <c r="J18" s="1"/>
      <c r="K18" s="1"/>
      <c r="L18" s="672"/>
      <c r="M18" s="673"/>
      <c r="N18" s="673"/>
      <c r="O18" s="673"/>
      <c r="P18" s="67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row>
    <row r="19" spans="2:89" ht="18.75" thickBot="1">
      <c r="B19" s="1"/>
      <c r="C19" s="192" t="s">
        <v>553</v>
      </c>
      <c r="D19" s="673"/>
      <c r="E19" s="673"/>
      <c r="F19" s="675">
        <f>'Importaciones reales de bienes'!F18</f>
        <v>6.210417196895035</v>
      </c>
      <c r="G19" s="673"/>
      <c r="H19" s="671"/>
      <c r="I19" s="1"/>
      <c r="J19" s="1"/>
      <c r="K19" s="1"/>
      <c r="L19" s="192" t="s">
        <v>566</v>
      </c>
      <c r="M19" s="673"/>
      <c r="N19" s="673"/>
      <c r="O19" s="675">
        <v>1</v>
      </c>
      <c r="P19" s="671"/>
      <c r="Q19" s="112"/>
      <c r="R19" s="112"/>
      <c r="S19" s="1"/>
      <c r="T19" s="1"/>
      <c r="U19" s="120"/>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row>
    <row r="20" spans="2:89" ht="15.75" thickBot="1">
      <c r="B20" s="113"/>
      <c r="C20" s="672"/>
      <c r="D20" s="673"/>
      <c r="E20" s="673"/>
      <c r="F20" s="673"/>
      <c r="G20" s="673"/>
      <c r="H20" s="671"/>
      <c r="I20" s="1"/>
      <c r="J20" s="1"/>
      <c r="K20" s="1"/>
      <c r="L20" s="672"/>
      <c r="M20" s="673"/>
      <c r="N20" s="673"/>
      <c r="O20" s="673"/>
      <c r="P20" s="67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row>
    <row r="21" spans="2:89" ht="15.75" thickBot="1">
      <c r="B21" s="1"/>
      <c r="C21" s="192" t="s">
        <v>554</v>
      </c>
      <c r="D21" s="673"/>
      <c r="E21" s="673"/>
      <c r="F21" s="675">
        <f>'Importaciones reales de bienes'!F20</f>
        <v>7.3556691967236247</v>
      </c>
      <c r="G21" s="673"/>
      <c r="H21" s="671"/>
      <c r="I21" s="1"/>
      <c r="J21" s="1"/>
      <c r="K21" s="1"/>
      <c r="L21" s="192" t="s">
        <v>576</v>
      </c>
      <c r="M21" s="673"/>
      <c r="N21" s="673"/>
      <c r="O21" s="675">
        <f>F23</f>
        <v>0.41721528213294334</v>
      </c>
      <c r="P21" s="67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row>
    <row r="22" spans="2:89" ht="15.75" thickBot="1">
      <c r="B22" s="113"/>
      <c r="C22" s="672"/>
      <c r="D22" s="673"/>
      <c r="E22" s="673"/>
      <c r="F22" s="673"/>
      <c r="G22" s="673"/>
      <c r="H22" s="671"/>
      <c r="I22" s="1"/>
      <c r="J22" s="1"/>
      <c r="K22" s="1"/>
      <c r="L22" s="672"/>
      <c r="M22" s="673"/>
      <c r="N22" s="673"/>
      <c r="O22" s="673"/>
      <c r="P22" s="67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row>
    <row r="23" spans="2:89" ht="18.75" thickBot="1">
      <c r="B23" s="1"/>
      <c r="C23" s="192" t="s">
        <v>576</v>
      </c>
      <c r="D23" s="673"/>
      <c r="E23" s="673"/>
      <c r="F23" s="990">
        <f>((1+F17/100)*(1+F19/100)/(1+F21/100)-1)*100</f>
        <v>0.41721528213294334</v>
      </c>
      <c r="G23" s="673"/>
      <c r="H23" s="671"/>
      <c r="I23" s="112"/>
      <c r="J23" s="1"/>
      <c r="K23" s="1"/>
      <c r="L23" s="192" t="s">
        <v>568</v>
      </c>
      <c r="M23" s="673"/>
      <c r="N23" s="673"/>
      <c r="O23" s="675">
        <v>0.625</v>
      </c>
      <c r="P23" s="671"/>
      <c r="Q23" s="112"/>
      <c r="R23" s="1"/>
      <c r="S23" s="1"/>
      <c r="T23" s="1"/>
      <c r="U23" s="120"/>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row>
    <row r="24" spans="2:89" ht="15.75" thickBot="1">
      <c r="B24" s="113"/>
      <c r="C24" s="672"/>
      <c r="D24" s="673"/>
      <c r="E24" s="673"/>
      <c r="F24" s="673"/>
      <c r="G24" s="673"/>
      <c r="H24" s="671"/>
      <c r="I24" s="1"/>
      <c r="J24" s="1"/>
      <c r="K24" s="1"/>
      <c r="L24" s="672"/>
      <c r="M24" s="673"/>
      <c r="N24" s="673"/>
      <c r="O24" s="673"/>
      <c r="P24" s="67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row>
    <row r="25" spans="2:89" ht="15.75" thickBot="1">
      <c r="B25" s="113"/>
      <c r="C25" s="676"/>
      <c r="D25" s="677"/>
      <c r="E25" s="677"/>
      <c r="F25" s="677"/>
      <c r="G25" s="677"/>
      <c r="H25" s="678"/>
      <c r="I25" s="1"/>
      <c r="J25" s="1"/>
      <c r="K25" s="1"/>
      <c r="L25" s="192" t="s">
        <v>577</v>
      </c>
      <c r="M25" s="673"/>
      <c r="N25" s="673"/>
      <c r="O25" s="990">
        <f>(O19*O17)+(O23*O21)</f>
        <v>4.2607595513330896</v>
      </c>
      <c r="P25" s="671"/>
      <c r="Q25" s="1"/>
      <c r="R25" s="120"/>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row>
    <row r="26" spans="2:89" ht="15.75" thickBot="1">
      <c r="B26" s="113"/>
      <c r="C26" s="113"/>
      <c r="D26" s="113"/>
      <c r="E26" s="113"/>
      <c r="F26" s="113"/>
      <c r="G26" s="1"/>
      <c r="H26" s="1"/>
      <c r="I26" s="1"/>
      <c r="J26" s="1"/>
      <c r="K26" s="1"/>
      <c r="L26" s="676"/>
      <c r="M26" s="677"/>
      <c r="N26" s="677"/>
      <c r="O26" s="677"/>
      <c r="P26" s="678"/>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row>
    <row r="27" spans="2:89">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row>
    <row r="28" spans="2:89">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row>
    <row r="29" spans="2:89">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row>
    <row r="30" spans="2:89">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row>
    <row r="31" spans="2:89">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row>
    <row r="32" spans="2:89">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row>
    <row r="33" spans="2:89">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row>
    <row r="34" spans="2:89">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row>
    <row r="35" spans="2:89">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row>
    <row r="36" spans="2:89">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row>
    <row r="37" spans="2:89">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row>
    <row r="38" spans="2:89">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row>
    <row r="39" spans="2:89">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row>
    <row r="40" spans="2:89">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row>
    <row r="41" spans="2:89">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row>
    <row r="42" spans="2:89">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row>
    <row r="43" spans="2:89">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row>
    <row r="44" spans="2:89">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row>
    <row r="45" spans="2:89">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row>
    <row r="46" spans="2:89">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row>
    <row r="47" spans="2:89">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row>
    <row r="48" spans="2:89">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row>
    <row r="49" spans="2:89">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row>
    <row r="50" spans="2:89">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row>
    <row r="51" spans="2:89">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row>
    <row r="52" spans="2:89">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row>
    <row r="53" spans="2:89">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row>
    <row r="54" spans="2:89">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row>
    <row r="55" spans="2:89">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row>
    <row r="56" spans="2:89">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row>
    <row r="57" spans="2:89">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row>
    <row r="58" spans="2:89">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row>
    <row r="59" spans="2:89">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row>
    <row r="60" spans="2:89">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row>
    <row r="61" spans="2:89">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row>
    <row r="62" spans="2:89">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row>
    <row r="63" spans="2:89">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row>
    <row r="64" spans="2:89">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row>
    <row r="65" spans="2:8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row>
    <row r="66" spans="2:8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row>
    <row r="67" spans="2:8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row>
    <row r="68" spans="2:8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row>
    <row r="69" spans="2:8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row>
    <row r="70" spans="2:8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row>
    <row r="71" spans="2:8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row>
    <row r="72" spans="2:8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row>
    <row r="73" spans="2:8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row>
    <row r="74" spans="2:8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row>
    <row r="75" spans="2:8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row>
    <row r="76" spans="2:8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row>
    <row r="77" spans="2:8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row>
    <row r="78" spans="2:8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row>
    <row r="79" spans="2:8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row>
    <row r="80" spans="2:8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row>
    <row r="81" spans="2:8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row>
    <row r="82" spans="2:8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row>
    <row r="83" spans="2:8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row>
    <row r="84" spans="2:8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row>
    <row r="85" spans="2:8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row>
    <row r="86" spans="2:8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row>
    <row r="87" spans="2:8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row>
    <row r="88" spans="2:8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row>
    <row r="89" spans="2:8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row>
    <row r="90" spans="2:8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row>
    <row r="91" spans="2:8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row>
    <row r="92" spans="2:8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row>
    <row r="93" spans="2:8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row>
    <row r="94" spans="2:8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row>
    <row r="95" spans="2:8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row>
    <row r="96" spans="2:8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row>
    <row r="97" spans="2:8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row>
    <row r="98" spans="2:8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row>
    <row r="99" spans="2:8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row>
    <row r="100" spans="2:8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row>
    <row r="101" spans="2:8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row>
    <row r="102" spans="2:8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row>
    <row r="103" spans="2:8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row>
    <row r="104" spans="2:8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row>
    <row r="105" spans="2:8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row>
    <row r="106" spans="2:8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row>
    <row r="107" spans="2:8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row>
    <row r="108" spans="2:8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row>
    <row r="109" spans="2:8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row>
    <row r="110" spans="2:8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row>
    <row r="111" spans="2:8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row>
    <row r="112" spans="2:8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row>
    <row r="113" spans="2:8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row>
    <row r="114" spans="2:8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row>
    <row r="115" spans="2:8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row>
    <row r="116" spans="2:8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row>
    <row r="117" spans="2:8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row>
    <row r="118" spans="2:89">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row>
    <row r="119" spans="2:89">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row>
    <row r="120" spans="2:89">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row>
    <row r="121" spans="2:89">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row>
    <row r="122" spans="2:89">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row>
    <row r="123" spans="2:89">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row>
    <row r="124" spans="2:89">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row>
    <row r="125" spans="2:89">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row>
    <row r="126" spans="2:89">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row>
    <row r="127" spans="2:89">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row>
    <row r="128" spans="2:89">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row>
    <row r="129" spans="2:89">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row>
    <row r="130" spans="2:89">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row>
    <row r="131" spans="2:89">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row>
    <row r="132" spans="2:89">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row>
    <row r="133" spans="2:89">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row>
    <row r="134" spans="2:89">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row>
    <row r="135" spans="2:89">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row>
    <row r="136" spans="2:89">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row>
    <row r="137" spans="2:89">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row>
    <row r="138" spans="2:89">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row>
    <row r="139" spans="2:89">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row>
    <row r="140" spans="2:89">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row>
    <row r="141" spans="2:89">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row>
    <row r="142" spans="2:89">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row>
    <row r="143" spans="2:89">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row>
    <row r="144" spans="2:89">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row>
    <row r="145" spans="2:89">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row>
    <row r="146" spans="2:89">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row>
    <row r="147" spans="2:89">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row>
    <row r="148" spans="2:89">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row>
    <row r="149" spans="2:89">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row>
    <row r="150" spans="2:89">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row>
    <row r="151" spans="2:89">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row>
    <row r="152" spans="2:89">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row>
    <row r="153" spans="2:89">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row>
    <row r="154" spans="2:89">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row>
    <row r="155" spans="2:89">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row>
    <row r="156" spans="2:89">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row>
    <row r="157" spans="2:89">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row>
    <row r="158" spans="2:89">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row>
    <row r="159" spans="2:89">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row>
    <row r="160" spans="2:89">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row>
    <row r="161" spans="2:89">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row>
    <row r="162" spans="2:89">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row>
    <row r="163" spans="2:89">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row>
    <row r="164" spans="2:89">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row>
    <row r="165" spans="2:89">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row>
    <row r="166" spans="2:89">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row>
    <row r="167" spans="2:89">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row>
    <row r="168" spans="2:89">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row>
    <row r="169" spans="2:89">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row>
    <row r="170" spans="2:89">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row>
    <row r="171" spans="2:89">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row>
    <row r="172" spans="2:89">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row>
    <row r="173" spans="2:89">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row>
    <row r="174" spans="2:89">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row>
    <row r="175" spans="2:89">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row>
    <row r="176" spans="2:89">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row>
    <row r="177" spans="2:89">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row>
    <row r="178" spans="2:89">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row>
    <row r="179" spans="2:89">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row>
    <row r="180" spans="2:89">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row>
    <row r="181" spans="2:89">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row>
    <row r="182" spans="2:89">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row>
    <row r="183" spans="2:89">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row>
    <row r="184" spans="2:89">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row>
    <row r="185" spans="2:89">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row>
    <row r="186" spans="2:89">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row>
    <row r="187" spans="2:89">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row>
    <row r="188" spans="2:89">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row>
    <row r="189" spans="2:89">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row>
    <row r="190" spans="2:89">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row>
    <row r="191" spans="2:89">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row>
    <row r="192" spans="2:89">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row>
    <row r="193" spans="2:89">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row>
    <row r="194" spans="2:89">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row>
    <row r="195" spans="2:89">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row>
    <row r="196" spans="2:89">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row>
    <row r="197" spans="2:89">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row>
    <row r="198" spans="2:89">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row>
    <row r="199" spans="2:89">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row>
    <row r="200" spans="2:89">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row>
    <row r="201" spans="2:89">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row>
    <row r="202" spans="2:89">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row>
    <row r="203" spans="2:89">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row>
    <row r="204" spans="2:89">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row>
    <row r="205" spans="2:89">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row>
    <row r="206" spans="2:89">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row>
    <row r="207" spans="2:89">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row>
    <row r="208" spans="2:89">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row>
    <row r="209" spans="2:89">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row>
    <row r="210" spans="2:89">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row>
    <row r="211" spans="2:89">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row>
    <row r="212" spans="2:89">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row>
    <row r="213" spans="2:89">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row>
    <row r="214" spans="2:89">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row>
    <row r="215" spans="2:89">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row>
    <row r="216" spans="2:89">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row>
    <row r="217" spans="2:89">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row>
    <row r="218" spans="2:89">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row>
    <row r="219" spans="2:89">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row>
    <row r="220" spans="2:89">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row>
    <row r="221" spans="2:89">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row>
    <row r="222" spans="2:89">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row>
    <row r="223" spans="2:89">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row>
    <row r="224" spans="2:89">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row>
    <row r="225" spans="2:89">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row>
    <row r="226" spans="2:89">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row>
    <row r="227" spans="2:89">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row>
    <row r="228" spans="2:89">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row>
    <row r="229" spans="2:89">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row>
    <row r="230" spans="2:89">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row>
    <row r="231" spans="2:89">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row>
    <row r="232" spans="2:89">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row>
    <row r="233" spans="2:89">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row>
    <row r="234" spans="2:89">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row>
    <row r="235" spans="2:89">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row>
    <row r="236" spans="2:89">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row>
    <row r="237" spans="2:89">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row>
    <row r="238" spans="2:89">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row>
    <row r="239" spans="2:89">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row>
    <row r="240" spans="2:89">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row>
    <row r="241" spans="2:89">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row>
  </sheetData>
  <mergeCells count="6">
    <mergeCell ref="M3:R4"/>
    <mergeCell ref="C14:G14"/>
    <mergeCell ref="L14:P14"/>
    <mergeCell ref="D8:J8"/>
    <mergeCell ref="C10:H11"/>
    <mergeCell ref="L10:P1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B1:S20"/>
  <sheetViews>
    <sheetView workbookViewId="0">
      <selection activeCell="C8" sqref="C8"/>
    </sheetView>
  </sheetViews>
  <sheetFormatPr baseColWidth="10" defaultColWidth="9.42578125" defaultRowHeight="15"/>
  <cols>
    <col min="1" max="1" width="9.42578125" style="2"/>
    <col min="2" max="2" width="4.28515625" style="2" customWidth="1"/>
    <col min="3" max="5" width="9.42578125" style="2"/>
    <col min="6" max="6" width="15.42578125" style="2" customWidth="1"/>
    <col min="7" max="7" width="9.42578125" style="2" customWidth="1"/>
    <col min="8" max="12" width="9.42578125" style="2"/>
    <col min="13" max="13" width="9.42578125" style="2" customWidth="1"/>
    <col min="14" max="14" width="3.85546875" style="2" customWidth="1"/>
    <col min="15" max="18" width="9.42578125" style="2"/>
    <col min="19" max="19" width="8.5703125" style="2" customWidth="1"/>
    <col min="20" max="16384" width="9.42578125" style="2"/>
  </cols>
  <sheetData>
    <row r="1" spans="2:19" ht="15.75" thickBot="1"/>
    <row r="2" spans="2:19">
      <c r="B2" s="691"/>
      <c r="C2" s="688"/>
      <c r="D2" s="688"/>
      <c r="E2" s="688"/>
      <c r="F2" s="688"/>
      <c r="G2" s="688"/>
      <c r="H2" s="688"/>
      <c r="I2" s="688"/>
      <c r="J2" s="688"/>
      <c r="K2" s="680"/>
      <c r="L2" s="680"/>
      <c r="M2" s="688"/>
      <c r="N2" s="688"/>
      <c r="O2" s="688"/>
      <c r="P2" s="688"/>
      <c r="Q2" s="688"/>
      <c r="R2" s="688"/>
      <c r="S2" s="689"/>
    </row>
    <row r="3" spans="2:19">
      <c r="B3" s="189"/>
      <c r="C3" s="642" t="s">
        <v>578</v>
      </c>
      <c r="D3" s="642"/>
      <c r="E3" s="642"/>
      <c r="F3" s="642"/>
      <c r="G3" s="642"/>
      <c r="H3" s="642"/>
      <c r="I3" s="642"/>
      <c r="J3" s="642"/>
      <c r="K3" s="642"/>
      <c r="L3" s="642"/>
      <c r="M3" s="642"/>
      <c r="N3" s="642"/>
      <c r="O3" s="642"/>
      <c r="P3" s="642"/>
      <c r="Q3" s="642"/>
      <c r="R3" s="642"/>
      <c r="S3" s="682"/>
    </row>
    <row r="4" spans="2:19">
      <c r="B4" s="189"/>
      <c r="C4" s="683"/>
      <c r="D4" s="683"/>
      <c r="E4" s="683"/>
      <c r="F4" s="683"/>
      <c r="G4" s="683"/>
      <c r="H4" s="683"/>
      <c r="I4" s="683"/>
      <c r="J4" s="683"/>
      <c r="K4" s="684"/>
      <c r="L4" s="684"/>
      <c r="M4" s="683"/>
      <c r="N4" s="683"/>
      <c r="O4" s="683"/>
      <c r="P4" s="683"/>
      <c r="Q4" s="683"/>
      <c r="R4" s="683"/>
      <c r="S4" s="171"/>
    </row>
    <row r="5" spans="2:19">
      <c r="B5" s="189"/>
      <c r="C5" s="690"/>
      <c r="D5" s="175"/>
      <c r="E5" s="175"/>
      <c r="F5" s="175"/>
      <c r="G5" s="175"/>
      <c r="H5" s="175"/>
      <c r="I5" s="176"/>
      <c r="J5" s="175"/>
      <c r="K5" s="175"/>
      <c r="L5" s="175" t="s">
        <v>579</v>
      </c>
      <c r="M5" s="176" t="s">
        <v>580</v>
      </c>
      <c r="N5" s="155"/>
      <c r="O5" s="1149" t="s">
        <v>427</v>
      </c>
      <c r="P5" s="1149"/>
      <c r="Q5" s="1149"/>
      <c r="R5" s="1149"/>
      <c r="S5" s="1150"/>
    </row>
    <row r="6" spans="2:19">
      <c r="B6" s="189"/>
      <c r="C6" s="188"/>
      <c r="D6" s="179"/>
      <c r="E6" s="179"/>
      <c r="F6" s="179"/>
      <c r="G6" s="179">
        <v>2008</v>
      </c>
      <c r="H6" s="179">
        <v>2009</v>
      </c>
      <c r="I6" s="179">
        <v>2010</v>
      </c>
      <c r="J6" s="179">
        <v>2011</v>
      </c>
      <c r="K6" s="179">
        <v>2012</v>
      </c>
      <c r="L6" s="179">
        <v>2013</v>
      </c>
      <c r="M6" s="179">
        <v>2014</v>
      </c>
      <c r="N6" s="155"/>
      <c r="O6" s="155"/>
      <c r="P6" s="153"/>
      <c r="Q6" s="153"/>
      <c r="R6" s="153"/>
      <c r="S6" s="182"/>
    </row>
    <row r="7" spans="2:19" ht="15.75" thickBot="1">
      <c r="B7" s="189"/>
      <c r="C7" s="153"/>
      <c r="D7" s="156"/>
      <c r="E7" s="156"/>
      <c r="F7" s="156"/>
      <c r="G7" s="156"/>
      <c r="H7" s="156"/>
      <c r="I7" s="156"/>
      <c r="J7" s="156"/>
      <c r="K7" s="156"/>
      <c r="L7" s="156"/>
      <c r="M7" s="156"/>
      <c r="N7" s="156"/>
      <c r="O7" s="156"/>
      <c r="P7" s="153"/>
      <c r="Q7" s="153"/>
      <c r="R7" s="153"/>
      <c r="S7" s="182"/>
    </row>
    <row r="8" spans="2:19" ht="18.75" thickBot="1">
      <c r="B8" s="189"/>
      <c r="C8" s="153" t="s">
        <v>581</v>
      </c>
      <c r="D8" s="183"/>
      <c r="E8" s="183"/>
      <c r="F8" s="183"/>
      <c r="G8" s="345">
        <f>BP!F7</f>
        <v>9555.3676761299994</v>
      </c>
      <c r="H8" s="345">
        <f>BP!G7</f>
        <v>8838.2253963399999</v>
      </c>
      <c r="I8" s="345">
        <f>BP!H7</f>
        <v>9516.2514769499994</v>
      </c>
      <c r="J8" s="345">
        <f>BP!I7</f>
        <v>10383.110431540001</v>
      </c>
      <c r="K8" s="345">
        <f>BP!J7</f>
        <v>11494.734092962361</v>
      </c>
      <c r="L8" s="345">
        <f>BP!K7</f>
        <v>12095.644669501056</v>
      </c>
      <c r="M8" s="991">
        <f>L8*(1+M12/100)*(1+M14/100)</f>
        <v>12800.176170127916</v>
      </c>
      <c r="N8" s="156"/>
      <c r="O8" s="153" t="s">
        <v>582</v>
      </c>
      <c r="P8" s="153"/>
      <c r="Q8" s="153"/>
      <c r="R8" s="153"/>
      <c r="S8" s="171"/>
    </row>
    <row r="9" spans="2:19" ht="15.75" thickBot="1">
      <c r="B9" s="189"/>
      <c r="C9" s="153"/>
      <c r="D9" s="185"/>
      <c r="E9" s="185"/>
      <c r="F9" s="185"/>
      <c r="G9" s="200"/>
      <c r="H9" s="345"/>
      <c r="I9" s="345"/>
      <c r="J9" s="200"/>
      <c r="K9" s="200"/>
      <c r="L9" s="365"/>
      <c r="M9" s="685"/>
      <c r="N9" s="156"/>
      <c r="O9" s="153"/>
      <c r="P9" s="153"/>
      <c r="Q9" s="153"/>
      <c r="R9" s="153"/>
      <c r="S9" s="171"/>
    </row>
    <row r="10" spans="2:19" ht="18.75" thickBot="1">
      <c r="B10" s="189"/>
      <c r="C10" s="153" t="s">
        <v>583</v>
      </c>
      <c r="D10" s="185"/>
      <c r="E10" s="185"/>
      <c r="F10" s="185"/>
      <c r="G10" s="475">
        <f>BP!F8</f>
        <v>14568.698313409999</v>
      </c>
      <c r="H10" s="475">
        <f>BP!G8</f>
        <v>10877.285549389999</v>
      </c>
      <c r="I10" s="475">
        <f>BP!H8</f>
        <v>12955.94484384</v>
      </c>
      <c r="J10" s="475">
        <f>BP!I8</f>
        <v>15534.48142041</v>
      </c>
      <c r="K10" s="475">
        <f>BP!J8</f>
        <v>17222.812655854603</v>
      </c>
      <c r="L10" s="475">
        <f>BP!K8</f>
        <v>18289.856405712508</v>
      </c>
      <c r="M10" s="991">
        <f>L10*(1+M16/100)*(1+M18/100)</f>
        <v>19555.250929659098</v>
      </c>
      <c r="N10" s="156"/>
      <c r="O10" s="153" t="s">
        <v>584</v>
      </c>
      <c r="P10" s="153"/>
      <c r="Q10" s="153"/>
      <c r="R10" s="153"/>
      <c r="S10" s="171"/>
    </row>
    <row r="11" spans="2:19" ht="15.75" thickBot="1">
      <c r="B11" s="189"/>
      <c r="C11" s="153"/>
      <c r="D11" s="153"/>
      <c r="E11" s="153"/>
      <c r="F11" s="153"/>
      <c r="G11" s="153"/>
      <c r="H11" s="183"/>
      <c r="I11" s="183"/>
      <c r="J11" s="153"/>
      <c r="K11" s="153"/>
      <c r="L11" s="199"/>
      <c r="M11" s="489"/>
      <c r="N11" s="156"/>
      <c r="O11" s="153"/>
      <c r="P11" s="153"/>
      <c r="Q11" s="153"/>
      <c r="R11" s="153"/>
      <c r="S11" s="171"/>
    </row>
    <row r="12" spans="2:19" ht="15.75" thickBot="1">
      <c r="B12" s="189"/>
      <c r="C12" s="153" t="s">
        <v>585</v>
      </c>
      <c r="D12" s="153"/>
      <c r="E12" s="187"/>
      <c r="F12" s="187"/>
      <c r="G12" s="185"/>
      <c r="H12" s="185"/>
      <c r="I12" s="185"/>
      <c r="J12" s="185"/>
      <c r="K12" s="185"/>
      <c r="L12" s="199"/>
      <c r="M12" s="686">
        <f>'Exportaciones reales de bienes'!O25</f>
        <v>4.2607595513330896</v>
      </c>
      <c r="N12" s="156"/>
      <c r="O12" s="153"/>
      <c r="P12" s="153"/>
      <c r="Q12" s="153"/>
      <c r="R12" s="153"/>
      <c r="S12" s="171"/>
    </row>
    <row r="13" spans="2:19" ht="15.75" thickBot="1">
      <c r="B13" s="189"/>
      <c r="C13" s="153"/>
      <c r="D13" s="153"/>
      <c r="E13" s="153"/>
      <c r="F13" s="153"/>
      <c r="G13" s="153"/>
      <c r="H13" s="183"/>
      <c r="I13" s="183"/>
      <c r="J13" s="153"/>
      <c r="K13" s="153"/>
      <c r="L13" s="199"/>
      <c r="M13" s="153"/>
      <c r="N13" s="156"/>
      <c r="O13" s="153"/>
      <c r="P13" s="153"/>
      <c r="Q13" s="153"/>
      <c r="R13" s="153"/>
      <c r="S13" s="171"/>
    </row>
    <row r="14" spans="2:19" ht="15.75" thickBot="1">
      <c r="B14" s="189"/>
      <c r="C14" s="153" t="s">
        <v>586</v>
      </c>
      <c r="D14" s="187"/>
      <c r="E14" s="187"/>
      <c r="F14" s="187"/>
      <c r="G14" s="187"/>
      <c r="H14" s="183"/>
      <c r="I14" s="183"/>
      <c r="J14" s="187"/>
      <c r="K14" s="187"/>
      <c r="L14" s="199"/>
      <c r="M14" s="686">
        <f>'Exportaciones reales de bienes'!F17</f>
        <v>1.5</v>
      </c>
      <c r="N14" s="156"/>
      <c r="O14" s="153"/>
      <c r="P14" s="153"/>
      <c r="Q14" s="153"/>
      <c r="R14" s="153"/>
      <c r="S14" s="171"/>
    </row>
    <row r="15" spans="2:19" ht="15.75" thickBot="1">
      <c r="B15" s="189"/>
      <c r="C15" s="153"/>
      <c r="D15" s="153"/>
      <c r="E15" s="153"/>
      <c r="F15" s="153"/>
      <c r="G15" s="153"/>
      <c r="H15" s="183"/>
      <c r="I15" s="183"/>
      <c r="J15" s="153"/>
      <c r="K15" s="153"/>
      <c r="L15" s="199"/>
      <c r="M15" s="153"/>
      <c r="N15" s="156"/>
      <c r="O15" s="153"/>
      <c r="P15" s="153"/>
      <c r="Q15" s="153"/>
      <c r="R15" s="153"/>
      <c r="S15" s="182"/>
    </row>
    <row r="16" spans="2:19" ht="15.75" thickBot="1">
      <c r="B16" s="189"/>
      <c r="C16" s="153" t="s">
        <v>587</v>
      </c>
      <c r="D16" s="187"/>
      <c r="E16" s="187"/>
      <c r="F16" s="187"/>
      <c r="G16" s="187"/>
      <c r="H16" s="183"/>
      <c r="I16" s="183"/>
      <c r="J16" s="187"/>
      <c r="K16" s="187"/>
      <c r="L16" s="199"/>
      <c r="M16" s="687">
        <f>'Importaciones reales de bienes'!O24</f>
        <v>5.3384818676777321</v>
      </c>
      <c r="N16" s="156"/>
      <c r="O16" s="153"/>
      <c r="P16" s="153"/>
      <c r="Q16" s="153"/>
      <c r="R16" s="29"/>
      <c r="S16" s="171"/>
    </row>
    <row r="17" spans="2:19" ht="15.75" thickBot="1">
      <c r="B17" s="189"/>
      <c r="C17" s="153"/>
      <c r="D17" s="153"/>
      <c r="E17" s="153"/>
      <c r="F17" s="153"/>
      <c r="G17" s="153"/>
      <c r="H17" s="153"/>
      <c r="I17" s="153"/>
      <c r="J17" s="153"/>
      <c r="K17" s="153"/>
      <c r="L17" s="199"/>
      <c r="M17" s="153"/>
      <c r="N17" s="156"/>
      <c r="O17" s="153"/>
      <c r="P17" s="153"/>
      <c r="Q17" s="153"/>
      <c r="R17" s="29"/>
      <c r="S17" s="171"/>
    </row>
    <row r="18" spans="2:19" ht="15.75" thickBot="1">
      <c r="B18" s="189"/>
      <c r="C18" s="153" t="s">
        <v>588</v>
      </c>
      <c r="D18" s="187"/>
      <c r="E18" s="187"/>
      <c r="F18" s="187"/>
      <c r="G18" s="187"/>
      <c r="H18" s="153"/>
      <c r="I18" s="153"/>
      <c r="J18" s="153"/>
      <c r="K18" s="177"/>
      <c r="L18" s="199"/>
      <c r="M18" s="687">
        <f>'Importaciones reales de bienes'!F16</f>
        <v>1.5</v>
      </c>
      <c r="N18" s="156"/>
      <c r="O18" s="153"/>
      <c r="P18" s="153"/>
      <c r="Q18" s="153"/>
      <c r="R18" s="153"/>
      <c r="S18" s="171"/>
    </row>
    <row r="19" spans="2:19">
      <c r="B19" s="189"/>
      <c r="C19" s="29"/>
      <c r="D19" s="29"/>
      <c r="E19" s="29"/>
      <c r="F19" s="29"/>
      <c r="G19" s="29"/>
      <c r="H19" s="29"/>
      <c r="I19" s="29"/>
      <c r="J19" s="29"/>
      <c r="K19" s="29"/>
      <c r="L19" s="29"/>
      <c r="M19" s="29"/>
      <c r="N19" s="29"/>
      <c r="O19" s="29"/>
      <c r="P19" s="29"/>
      <c r="Q19" s="29"/>
      <c r="R19" s="29"/>
      <c r="S19" s="171"/>
    </row>
    <row r="20" spans="2:19" ht="15.75" thickBot="1">
      <c r="B20" s="137"/>
      <c r="C20" s="138"/>
      <c r="D20" s="138"/>
      <c r="E20" s="138"/>
      <c r="F20" s="138"/>
      <c r="G20" s="138"/>
      <c r="H20" s="138"/>
      <c r="I20" s="138"/>
      <c r="J20" s="138"/>
      <c r="K20" s="138"/>
      <c r="L20" s="138"/>
      <c r="M20" s="138"/>
      <c r="N20" s="138"/>
      <c r="O20" s="138"/>
      <c r="P20" s="138"/>
      <c r="Q20" s="138"/>
      <c r="R20" s="138"/>
      <c r="S20" s="173"/>
    </row>
  </sheetData>
  <mergeCells count="1">
    <mergeCell ref="O5:S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B1:O26"/>
  <sheetViews>
    <sheetView workbookViewId="0">
      <selection activeCell="I10" sqref="I10"/>
    </sheetView>
  </sheetViews>
  <sheetFormatPr baseColWidth="10" defaultColWidth="9.42578125" defaultRowHeight="15"/>
  <cols>
    <col min="1" max="1" width="9.42578125" style="2"/>
    <col min="2" max="2" width="46.5703125" style="2" customWidth="1"/>
    <col min="3" max="7" width="9.7109375" style="2" bestFit="1" customWidth="1"/>
    <col min="8" max="8" width="9.5703125" style="2" customWidth="1"/>
    <col min="9" max="9" width="11.42578125" style="2" bestFit="1" customWidth="1"/>
    <col min="10" max="14" width="9.42578125" style="2"/>
    <col min="15" max="15" width="25.42578125" style="2" customWidth="1"/>
    <col min="16" max="16384" width="9.42578125" style="2"/>
  </cols>
  <sheetData>
    <row r="1" spans="2:15" ht="15.75" thickBot="1"/>
    <row r="2" spans="2:15">
      <c r="B2" s="193"/>
      <c r="C2" s="194"/>
      <c r="D2" s="194"/>
      <c r="E2" s="194"/>
      <c r="F2" s="194"/>
      <c r="G2" s="194"/>
      <c r="H2" s="294"/>
      <c r="I2" s="194"/>
      <c r="J2" s="195"/>
      <c r="K2" s="195"/>
      <c r="L2" s="195"/>
      <c r="M2" s="195"/>
      <c r="N2" s="195"/>
      <c r="O2" s="656"/>
    </row>
    <row r="3" spans="2:15" ht="15.75" customHeight="1">
      <c r="B3" s="681" t="s">
        <v>589</v>
      </c>
      <c r="C3" s="692"/>
      <c r="D3" s="692"/>
      <c r="E3" s="692"/>
      <c r="F3" s="692"/>
      <c r="G3" s="692"/>
      <c r="H3" s="692"/>
      <c r="I3" s="692"/>
      <c r="J3" s="692"/>
      <c r="K3" s="692"/>
      <c r="L3" s="692"/>
      <c r="M3" s="692"/>
      <c r="N3" s="692"/>
      <c r="O3" s="693"/>
    </row>
    <row r="4" spans="2:15">
      <c r="B4" s="154"/>
      <c r="C4" s="153"/>
      <c r="D4" s="153"/>
      <c r="E4" s="153"/>
      <c r="F4" s="153"/>
      <c r="G4" s="153"/>
      <c r="H4" s="153"/>
      <c r="I4" s="153"/>
      <c r="J4" s="29"/>
      <c r="K4" s="29"/>
      <c r="L4" s="29"/>
      <c r="M4" s="29"/>
      <c r="N4" s="29"/>
      <c r="O4" s="171"/>
    </row>
    <row r="5" spans="2:15">
      <c r="B5" s="154"/>
      <c r="C5" s="196"/>
      <c r="D5" s="196"/>
      <c r="E5" s="196"/>
      <c r="F5" s="196"/>
      <c r="G5" s="196"/>
      <c r="H5" s="196"/>
      <c r="I5" s="155" t="s">
        <v>580</v>
      </c>
      <c r="J5" s="1163" t="s">
        <v>427</v>
      </c>
      <c r="K5" s="1163"/>
      <c r="L5" s="1163"/>
      <c r="M5" s="1163"/>
      <c r="N5" s="1163"/>
      <c r="O5" s="1164"/>
    </row>
    <row r="6" spans="2:15">
      <c r="B6" s="561"/>
      <c r="C6" s="155">
        <v>2008</v>
      </c>
      <c r="D6" s="155">
        <v>2009</v>
      </c>
      <c r="E6" s="155">
        <v>2010</v>
      </c>
      <c r="F6" s="155">
        <v>2011</v>
      </c>
      <c r="G6" s="155">
        <v>2012</v>
      </c>
      <c r="H6" s="155">
        <v>2013</v>
      </c>
      <c r="I6" s="155">
        <v>2014</v>
      </c>
      <c r="J6" s="29"/>
      <c r="K6" s="29"/>
      <c r="L6" s="29"/>
      <c r="M6" s="29"/>
      <c r="N6" s="29"/>
      <c r="O6" s="171"/>
    </row>
    <row r="7" spans="2:15" ht="15.75" thickBot="1">
      <c r="B7" s="561"/>
      <c r="C7" s="156"/>
      <c r="D7" s="156"/>
      <c r="E7" s="156"/>
      <c r="F7" s="156"/>
      <c r="G7" s="156"/>
      <c r="H7" s="156"/>
      <c r="I7" s="153"/>
      <c r="J7" s="29"/>
      <c r="K7" s="29"/>
      <c r="L7" s="29"/>
      <c r="M7" s="29"/>
      <c r="N7" s="29"/>
      <c r="O7" s="171"/>
    </row>
    <row r="8" spans="2:15" ht="15.75" thickBot="1">
      <c r="B8" s="197" t="s">
        <v>590</v>
      </c>
      <c r="C8" s="301">
        <v>4083.3176467399994</v>
      </c>
      <c r="D8" s="301">
        <v>3592.9104705899999</v>
      </c>
      <c r="E8" s="301">
        <v>4319.9815370200004</v>
      </c>
      <c r="F8" s="301">
        <v>4972.3539496499998</v>
      </c>
      <c r="G8" s="301">
        <v>5504.6979269044205</v>
      </c>
      <c r="H8" s="301">
        <v>5792.4671939597338</v>
      </c>
      <c r="I8" s="992">
        <f>I16/100*I14</f>
        <v>6129.8593475819716</v>
      </c>
      <c r="J8" s="29"/>
      <c r="K8" s="21" t="s">
        <v>591</v>
      </c>
      <c r="L8" s="29"/>
      <c r="M8" s="29"/>
      <c r="N8" s="29"/>
      <c r="O8" s="171"/>
    </row>
    <row r="9" spans="2:15" ht="15.75" thickBot="1">
      <c r="B9" s="197"/>
      <c r="C9" s="301"/>
      <c r="D9" s="301"/>
      <c r="E9" s="301"/>
      <c r="F9" s="301"/>
      <c r="G9" s="301"/>
      <c r="H9" s="301"/>
      <c r="I9" s="891"/>
      <c r="J9" s="29"/>
      <c r="K9" s="29"/>
      <c r="L9" s="29"/>
      <c r="M9" s="29"/>
      <c r="N9" s="29"/>
      <c r="O9" s="171"/>
    </row>
    <row r="10" spans="2:15" ht="15.75" thickBot="1">
      <c r="B10" s="197" t="s">
        <v>592</v>
      </c>
      <c r="C10" s="301">
        <v>1882.3963947</v>
      </c>
      <c r="D10" s="301">
        <v>1404.8099125399999</v>
      </c>
      <c r="E10" s="301">
        <v>1782.74608429</v>
      </c>
      <c r="F10" s="301">
        <v>1735.47915945</v>
      </c>
      <c r="G10" s="301">
        <v>1924.0959271467261</v>
      </c>
      <c r="H10" s="301">
        <v>2043.303780951665</v>
      </c>
      <c r="I10" s="992">
        <f>I20/100*I18</f>
        <v>2184.670960541333</v>
      </c>
      <c r="J10" s="29"/>
      <c r="K10" s="21" t="s">
        <v>593</v>
      </c>
      <c r="L10" s="29"/>
      <c r="M10" s="29"/>
      <c r="N10" s="29"/>
      <c r="O10" s="171"/>
    </row>
    <row r="11" spans="2:15">
      <c r="B11" s="561"/>
      <c r="C11" s="301"/>
      <c r="D11" s="301"/>
      <c r="E11" s="301"/>
      <c r="F11" s="301"/>
      <c r="G11" s="301"/>
      <c r="H11" s="301"/>
      <c r="I11" s="891"/>
      <c r="J11" s="29"/>
      <c r="K11" s="29"/>
      <c r="L11" s="29"/>
      <c r="M11" s="29"/>
      <c r="N11" s="29"/>
      <c r="O11" s="171"/>
    </row>
    <row r="12" spans="2:15">
      <c r="B12" s="152" t="s">
        <v>594</v>
      </c>
      <c r="C12" s="301"/>
      <c r="D12" s="301"/>
      <c r="E12" s="301"/>
      <c r="F12" s="301"/>
      <c r="G12" s="301"/>
      <c r="H12" s="301"/>
      <c r="I12" s="39"/>
      <c r="J12" s="29"/>
      <c r="K12" s="29"/>
      <c r="L12" s="29"/>
      <c r="M12" s="29"/>
      <c r="N12" s="29"/>
      <c r="O12" s="171"/>
    </row>
    <row r="13" spans="2:15">
      <c r="B13" s="561"/>
      <c r="C13" s="301"/>
      <c r="D13" s="301"/>
      <c r="E13" s="301"/>
      <c r="F13" s="301"/>
      <c r="G13" s="301"/>
      <c r="H13" s="301"/>
      <c r="I13" s="39"/>
      <c r="J13" s="29"/>
      <c r="K13" s="29"/>
      <c r="L13" s="29"/>
      <c r="M13" s="29"/>
      <c r="N13" s="29"/>
      <c r="O13" s="171"/>
    </row>
    <row r="14" spans="2:15">
      <c r="B14" s="198" t="s">
        <v>595</v>
      </c>
      <c r="C14" s="345">
        <v>9555.3676761299994</v>
      </c>
      <c r="D14" s="345">
        <v>8838.2253963399999</v>
      </c>
      <c r="E14" s="345">
        <v>9516.2514769499994</v>
      </c>
      <c r="F14" s="345">
        <v>10383.110431540001</v>
      </c>
      <c r="G14" s="345">
        <v>11494.734092962361</v>
      </c>
      <c r="H14" s="345">
        <v>12095.644669501056</v>
      </c>
      <c r="I14" s="345">
        <f>'Import. y export. nominales'!M8</f>
        <v>12800.176170127916</v>
      </c>
      <c r="J14" s="29"/>
      <c r="K14" s="29"/>
      <c r="L14" s="29"/>
      <c r="M14" s="29"/>
      <c r="N14" s="29"/>
      <c r="O14" s="171"/>
    </row>
    <row r="15" spans="2:15">
      <c r="B15" s="198"/>
      <c r="C15" s="345"/>
      <c r="D15" s="155"/>
      <c r="E15" s="155"/>
      <c r="F15" s="155"/>
      <c r="G15" s="155"/>
      <c r="H15" s="155"/>
      <c r="I15" s="345"/>
      <c r="J15" s="29"/>
      <c r="K15" s="29"/>
      <c r="L15" s="29"/>
      <c r="M15" s="29"/>
      <c r="N15" s="29"/>
      <c r="O15" s="171"/>
    </row>
    <row r="16" spans="2:15">
      <c r="B16" s="198" t="s">
        <v>591</v>
      </c>
      <c r="C16" s="345">
        <v>42.733234189830526</v>
      </c>
      <c r="D16" s="345">
        <v>40.651944360661602</v>
      </c>
      <c r="E16" s="345">
        <v>45.395832040417808</v>
      </c>
      <c r="F16" s="345">
        <v>47.888867044559703</v>
      </c>
      <c r="G16" s="345">
        <v>47.888867044559703</v>
      </c>
      <c r="H16" s="345">
        <v>47.888867044559703</v>
      </c>
      <c r="I16" s="345">
        <f>H16</f>
        <v>47.888867044559703</v>
      </c>
      <c r="J16" s="29"/>
      <c r="K16" s="21" t="s">
        <v>596</v>
      </c>
      <c r="L16" s="29"/>
      <c r="M16" s="29"/>
      <c r="N16" s="29"/>
      <c r="O16" s="171"/>
    </row>
    <row r="17" spans="2:15">
      <c r="B17" s="198"/>
      <c r="C17" s="345"/>
      <c r="D17" s="155"/>
      <c r="E17" s="155"/>
      <c r="F17" s="155"/>
      <c r="G17" s="155"/>
      <c r="H17" s="155"/>
      <c r="I17" s="345"/>
      <c r="J17" s="29"/>
      <c r="K17" s="29"/>
      <c r="L17" s="29"/>
      <c r="M17" s="29"/>
      <c r="N17" s="29"/>
      <c r="O17" s="171"/>
    </row>
    <row r="18" spans="2:15">
      <c r="B18" s="198" t="s">
        <v>597</v>
      </c>
      <c r="C18" s="345">
        <v>14568.698313409999</v>
      </c>
      <c r="D18" s="345">
        <v>10877.285549389999</v>
      </c>
      <c r="E18" s="345">
        <v>12955.94484384</v>
      </c>
      <c r="F18" s="345">
        <v>15534.48142041</v>
      </c>
      <c r="G18" s="345">
        <v>17222.812655854603</v>
      </c>
      <c r="H18" s="345">
        <v>18289.856405712508</v>
      </c>
      <c r="I18" s="345">
        <f>'Import. y export. nominales'!M10</f>
        <v>19555.250929659098</v>
      </c>
      <c r="J18" s="29"/>
      <c r="K18" s="29"/>
      <c r="L18" s="29"/>
      <c r="M18" s="29"/>
      <c r="N18" s="29"/>
      <c r="O18" s="171"/>
    </row>
    <row r="19" spans="2:15">
      <c r="B19" s="198"/>
      <c r="C19" s="155"/>
      <c r="D19" s="155"/>
      <c r="E19" s="155"/>
      <c r="F19" s="155"/>
      <c r="G19" s="155"/>
      <c r="H19" s="186"/>
      <c r="I19" s="345"/>
      <c r="J19" s="29"/>
      <c r="K19" s="29"/>
      <c r="L19" s="29"/>
      <c r="M19" s="29"/>
      <c r="N19" s="29"/>
      <c r="O19" s="171"/>
    </row>
    <row r="20" spans="2:15">
      <c r="B20" s="198" t="s">
        <v>598</v>
      </c>
      <c r="C20" s="366">
        <v>12.920827614141183</v>
      </c>
      <c r="D20" s="366">
        <v>12.915077995895603</v>
      </c>
      <c r="E20" s="366">
        <v>13.760062317165698</v>
      </c>
      <c r="F20" s="366">
        <v>11.171786894474883</v>
      </c>
      <c r="G20" s="366">
        <v>11.171786894474883</v>
      </c>
      <c r="H20" s="345">
        <v>11.171786894474883</v>
      </c>
      <c r="I20" s="345">
        <f>H20</f>
        <v>11.171786894474883</v>
      </c>
      <c r="J20" s="29"/>
      <c r="K20" s="21" t="s">
        <v>596</v>
      </c>
      <c r="L20" s="29"/>
      <c r="M20" s="29"/>
      <c r="N20" s="29"/>
      <c r="O20" s="171"/>
    </row>
    <row r="21" spans="2:15">
      <c r="B21" s="154"/>
      <c r="C21" s="186"/>
      <c r="D21" s="186"/>
      <c r="E21" s="186"/>
      <c r="F21" s="186"/>
      <c r="G21" s="186"/>
      <c r="H21" s="186"/>
      <c r="I21" s="196"/>
      <c r="J21" s="29"/>
      <c r="K21" s="29"/>
      <c r="L21" s="29"/>
      <c r="M21" s="29"/>
      <c r="N21" s="29"/>
      <c r="O21" s="171"/>
    </row>
    <row r="22" spans="2:15" ht="15.75" thickBot="1">
      <c r="B22" s="137"/>
      <c r="C22" s="138"/>
      <c r="D22" s="138"/>
      <c r="E22" s="138"/>
      <c r="F22" s="138"/>
      <c r="G22" s="138"/>
      <c r="H22" s="295"/>
      <c r="I22" s="138"/>
      <c r="J22" s="138"/>
      <c r="K22" s="138"/>
      <c r="L22" s="138"/>
      <c r="M22" s="138"/>
      <c r="N22" s="138"/>
      <c r="O22" s="173"/>
    </row>
    <row r="26" spans="2:15">
      <c r="O26" s="338"/>
    </row>
  </sheetData>
  <mergeCells count="1">
    <mergeCell ref="J5:O5"/>
  </mergeCells>
  <pageMargins left="0.7" right="0.7" top="0.75" bottom="0.75" header="0.3" footer="0.3"/>
  <pageSetup orientation="portrait" verticalDpi="90"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Q31"/>
  <sheetViews>
    <sheetView zoomScaleNormal="100" workbookViewId="0">
      <selection activeCell="O36" sqref="O36"/>
    </sheetView>
  </sheetViews>
  <sheetFormatPr baseColWidth="10" defaultColWidth="9.42578125" defaultRowHeight="15" outlineLevelRow="1"/>
  <cols>
    <col min="1" max="1" width="9.42578125" style="201"/>
    <col min="2" max="2" width="73.5703125" style="201" customWidth="1"/>
    <col min="3" max="16" width="9.42578125" style="201"/>
    <col min="17" max="17" width="17.5703125" style="201" customWidth="1"/>
    <col min="18" max="16384" width="9.42578125" style="201"/>
  </cols>
  <sheetData>
    <row r="1" spans="2:17" ht="15.75" thickBot="1"/>
    <row r="2" spans="2:17">
      <c r="B2" s="1151" t="s">
        <v>599</v>
      </c>
      <c r="C2" s="1152"/>
      <c r="D2" s="1152"/>
      <c r="E2" s="1152"/>
      <c r="F2" s="1152"/>
      <c r="G2" s="1152"/>
      <c r="H2" s="1152"/>
      <c r="I2" s="1152"/>
      <c r="J2" s="1152"/>
      <c r="K2" s="1152"/>
      <c r="L2" s="1152"/>
      <c r="M2" s="1152"/>
      <c r="N2" s="1152"/>
      <c r="O2" s="1152"/>
      <c r="P2" s="1152"/>
      <c r="Q2" s="1156"/>
    </row>
    <row r="3" spans="2:17">
      <c r="B3" s="174"/>
      <c r="C3" s="175"/>
      <c r="D3" s="175"/>
      <c r="E3" s="175"/>
      <c r="F3" s="175"/>
      <c r="G3" s="175"/>
      <c r="H3" s="176" t="s">
        <v>580</v>
      </c>
      <c r="I3" s="176"/>
      <c r="J3" s="153"/>
      <c r="K3" s="153"/>
      <c r="L3" s="153"/>
      <c r="M3" s="153"/>
      <c r="N3" s="153"/>
      <c r="O3" s="153"/>
      <c r="P3" s="153"/>
      <c r="Q3" s="182"/>
    </row>
    <row r="4" spans="2:17">
      <c r="B4" s="202"/>
      <c r="C4" s="179">
        <v>2008</v>
      </c>
      <c r="D4" s="179">
        <v>2009</v>
      </c>
      <c r="E4" s="179">
        <v>2010</v>
      </c>
      <c r="F4" s="179">
        <v>2011</v>
      </c>
      <c r="G4" s="179">
        <v>2012</v>
      </c>
      <c r="H4" s="179">
        <v>2013</v>
      </c>
      <c r="I4" s="179">
        <v>2014</v>
      </c>
      <c r="J4" s="159" t="s">
        <v>427</v>
      </c>
      <c r="K4" s="153"/>
      <c r="L4" s="153"/>
      <c r="M4" s="153"/>
      <c r="N4" s="153"/>
      <c r="O4" s="153"/>
      <c r="P4" s="153"/>
      <c r="Q4" s="182"/>
    </row>
    <row r="5" spans="2:17">
      <c r="B5" s="561"/>
      <c r="C5" s="156"/>
      <c r="D5" s="156"/>
      <c r="E5" s="156"/>
      <c r="F5" s="156"/>
      <c r="G5" s="156"/>
      <c r="H5" s="153"/>
      <c r="I5" s="153"/>
      <c r="J5" s="153"/>
      <c r="K5" s="153"/>
      <c r="L5" s="153"/>
      <c r="M5" s="153"/>
      <c r="N5" s="153"/>
      <c r="O5" s="153"/>
      <c r="P5" s="153"/>
      <c r="Q5" s="182"/>
    </row>
    <row r="6" spans="2:17">
      <c r="B6" s="154"/>
      <c r="C6" s="203" t="s">
        <v>600</v>
      </c>
      <c r="D6" s="203"/>
      <c r="E6" s="203"/>
      <c r="F6" s="203"/>
      <c r="G6" s="203"/>
      <c r="H6" s="203"/>
      <c r="I6" s="203"/>
      <c r="J6" s="153"/>
      <c r="K6" s="153"/>
      <c r="L6" s="153"/>
      <c r="M6" s="153"/>
      <c r="N6" s="153"/>
      <c r="O6" s="153"/>
      <c r="P6" s="153"/>
      <c r="Q6" s="182"/>
    </row>
    <row r="7" spans="2:17">
      <c r="B7" s="154"/>
      <c r="C7" s="153"/>
      <c r="D7" s="153"/>
      <c r="E7" s="153"/>
      <c r="F7" s="153"/>
      <c r="G7" s="153"/>
      <c r="H7" s="153"/>
      <c r="I7" s="153"/>
      <c r="J7" s="153"/>
      <c r="K7" s="153"/>
      <c r="L7" s="153"/>
      <c r="M7" s="153"/>
      <c r="N7" s="153"/>
      <c r="O7" s="153"/>
      <c r="P7" s="153"/>
      <c r="Q7" s="182"/>
    </row>
    <row r="8" spans="2:17">
      <c r="B8" s="152" t="s">
        <v>601</v>
      </c>
      <c r="C8" s="345">
        <v>617.81711219512192</v>
      </c>
      <c r="D8" s="345">
        <v>253.48830000000001</v>
      </c>
      <c r="E8" s="345">
        <v>316.82960000000003</v>
      </c>
      <c r="F8" s="345">
        <v>272.37819999999999</v>
      </c>
      <c r="G8" s="345">
        <f>(F8/F9)*G9</f>
        <v>173.86688940769167</v>
      </c>
      <c r="H8" s="345">
        <f>(G8/G9)*H9</f>
        <v>184.98126043727311</v>
      </c>
      <c r="I8" s="345">
        <f>(H8/H9)*I9</f>
        <v>170.57965026948315</v>
      </c>
      <c r="J8" s="153"/>
      <c r="K8" s="153"/>
      <c r="L8" s="153"/>
      <c r="M8" s="153"/>
      <c r="N8" s="153"/>
      <c r="O8" s="153"/>
      <c r="P8" s="153"/>
      <c r="Q8" s="182"/>
    </row>
    <row r="9" spans="2:17">
      <c r="B9" s="152" t="s">
        <v>602</v>
      </c>
      <c r="C9" s="345">
        <v>546.91711219512194</v>
      </c>
      <c r="D9" s="345">
        <v>228.98830000000001</v>
      </c>
      <c r="E9" s="345">
        <v>281.62960000000004</v>
      </c>
      <c r="F9" s="345">
        <v>209.17819999999998</v>
      </c>
      <c r="G9" s="345">
        <f>((F12+G12)/2)*(G13/100)</f>
        <v>133.52450000000002</v>
      </c>
      <c r="H9" s="345">
        <f>((G12+H12)/2)*(H13/100)</f>
        <v>142.06</v>
      </c>
      <c r="I9" s="345">
        <v>131</v>
      </c>
      <c r="J9" s="153"/>
      <c r="K9" s="153"/>
      <c r="L9" s="153"/>
      <c r="M9" s="153"/>
      <c r="N9" s="153"/>
      <c r="O9" s="153"/>
      <c r="P9" s="153"/>
      <c r="Q9" s="182"/>
    </row>
    <row r="10" spans="2:17">
      <c r="B10" s="154"/>
      <c r="C10" s="345"/>
      <c r="D10" s="345"/>
      <c r="E10" s="345"/>
      <c r="F10" s="345"/>
      <c r="G10" s="345"/>
      <c r="H10" s="345"/>
      <c r="I10" s="153"/>
      <c r="J10" s="153"/>
      <c r="K10" s="153"/>
      <c r="L10" s="153"/>
      <c r="M10" s="153"/>
      <c r="N10" s="153"/>
      <c r="O10" s="153"/>
      <c r="P10" s="153"/>
      <c r="Q10" s="182"/>
    </row>
    <row r="11" spans="2:17" outlineLevel="1">
      <c r="B11" s="154" t="s">
        <v>603</v>
      </c>
      <c r="C11" s="196"/>
      <c r="D11" s="196"/>
      <c r="E11" s="196"/>
      <c r="F11" s="196"/>
      <c r="G11" s="196"/>
      <c r="H11" s="196"/>
      <c r="I11" s="153"/>
      <c r="J11" s="153"/>
      <c r="K11" s="153"/>
      <c r="L11" s="153"/>
      <c r="M11" s="153"/>
      <c r="N11" s="153"/>
      <c r="O11" s="153"/>
      <c r="P11" s="153"/>
      <c r="Q11" s="182"/>
    </row>
    <row r="12" spans="2:17" outlineLevel="1">
      <c r="B12" s="154" t="s">
        <v>604</v>
      </c>
      <c r="C12" s="345">
        <v>11617.7</v>
      </c>
      <c r="D12" s="345">
        <v>11915.2</v>
      </c>
      <c r="E12" s="345">
        <v>12732.400000000001</v>
      </c>
      <c r="F12" s="345">
        <v>12928.900000000001</v>
      </c>
      <c r="G12" s="345">
        <v>13776</v>
      </c>
      <c r="H12" s="345">
        <v>14636</v>
      </c>
      <c r="I12" s="345">
        <v>14324</v>
      </c>
      <c r="J12" s="153" t="s">
        <v>605</v>
      </c>
      <c r="K12" s="153"/>
      <c r="L12" s="153"/>
      <c r="M12" s="153"/>
      <c r="N12" s="153"/>
      <c r="O12" s="153"/>
      <c r="P12" s="153"/>
      <c r="Q12" s="182"/>
    </row>
    <row r="13" spans="2:17" outlineLevel="1">
      <c r="B13" s="154" t="s">
        <v>606</v>
      </c>
      <c r="C13" s="200">
        <v>4.6718897727778197</v>
      </c>
      <c r="D13" s="200">
        <v>1.3028983858028027</v>
      </c>
      <c r="E13" s="200">
        <v>1.540525342698043</v>
      </c>
      <c r="F13" s="200">
        <v>1.0896485621338916</v>
      </c>
      <c r="G13" s="200">
        <v>1</v>
      </c>
      <c r="H13" s="200">
        <v>1</v>
      </c>
      <c r="I13" s="200">
        <v>1</v>
      </c>
      <c r="J13" s="153" t="s">
        <v>607</v>
      </c>
      <c r="K13" s="153"/>
      <c r="L13" s="153"/>
      <c r="M13" s="153"/>
      <c r="N13" s="153"/>
      <c r="O13" s="153"/>
      <c r="P13" s="153"/>
      <c r="Q13" s="182"/>
    </row>
    <row r="14" spans="2:17" outlineLevel="1">
      <c r="B14" s="154" t="s">
        <v>608</v>
      </c>
      <c r="C14" s="345"/>
      <c r="D14" s="345"/>
      <c r="E14" s="345"/>
      <c r="F14" s="345"/>
      <c r="G14" s="345"/>
      <c r="H14" s="345"/>
      <c r="I14" s="345">
        <f>PII!L7</f>
        <v>15053.209919068311</v>
      </c>
      <c r="J14" s="153"/>
      <c r="K14" s="153"/>
      <c r="L14" s="153"/>
      <c r="M14" s="153"/>
      <c r="N14" s="153"/>
      <c r="O14" s="153"/>
      <c r="P14" s="153"/>
      <c r="Q14" s="182"/>
    </row>
    <row r="15" spans="2:17" outlineLevel="1">
      <c r="B15" s="154" t="s">
        <v>609</v>
      </c>
      <c r="C15" s="345"/>
      <c r="D15" s="345"/>
      <c r="E15" s="345"/>
      <c r="F15" s="345"/>
      <c r="G15" s="345"/>
      <c r="H15" s="345"/>
      <c r="I15" s="345">
        <f>I12-I14</f>
        <v>-729.20991906831114</v>
      </c>
      <c r="J15" s="153"/>
      <c r="K15" s="153"/>
      <c r="L15" s="153"/>
      <c r="M15" s="153"/>
      <c r="N15" s="153"/>
      <c r="O15" s="153"/>
      <c r="P15" s="153"/>
      <c r="Q15" s="182"/>
    </row>
    <row r="16" spans="2:17">
      <c r="B16" s="154"/>
      <c r="C16" s="345"/>
      <c r="D16" s="345"/>
      <c r="E16" s="345"/>
      <c r="F16" s="345"/>
      <c r="G16" s="345"/>
      <c r="H16" s="345"/>
      <c r="I16" s="153"/>
      <c r="J16" s="153"/>
      <c r="K16" s="153"/>
      <c r="L16" s="153"/>
      <c r="M16" s="153"/>
      <c r="N16" s="153"/>
      <c r="O16" s="153"/>
      <c r="P16" s="153"/>
      <c r="Q16" s="182"/>
    </row>
    <row r="17" spans="2:17" ht="15.75" thickBot="1">
      <c r="B17" s="152" t="s">
        <v>610</v>
      </c>
      <c r="C17" s="345">
        <v>1126.0409999999999</v>
      </c>
      <c r="D17" s="345">
        <v>1203.94</v>
      </c>
      <c r="E17" s="345">
        <v>1083.384</v>
      </c>
      <c r="F17" s="345">
        <v>1077.2230000000002</v>
      </c>
      <c r="G17" s="345">
        <v>1084.2712437152311</v>
      </c>
      <c r="H17" s="345">
        <v>1042.6721281518096</v>
      </c>
      <c r="I17" s="345">
        <f>I18+I19</f>
        <v>1062.9874989331859</v>
      </c>
      <c r="J17" s="153"/>
      <c r="K17" s="153"/>
      <c r="L17" s="153"/>
      <c r="M17" s="153"/>
      <c r="N17" s="153"/>
      <c r="O17" s="153"/>
      <c r="P17" s="153"/>
      <c r="Q17" s="182"/>
    </row>
    <row r="18" spans="2:17" ht="15.75" thickBot="1">
      <c r="B18" s="154" t="s">
        <v>611</v>
      </c>
      <c r="C18" s="345">
        <v>352.6</v>
      </c>
      <c r="D18" s="345">
        <v>308</v>
      </c>
      <c r="E18" s="345">
        <v>306.59999999999997</v>
      </c>
      <c r="F18" s="345">
        <v>284.10000000000002</v>
      </c>
      <c r="G18" s="345">
        <v>285.95885934434853</v>
      </c>
      <c r="H18" s="345">
        <v>274.98777097029034</v>
      </c>
      <c r="I18" s="993">
        <f>((H21+I21)/2)*(I23/100)</f>
        <v>295.30314175166666</v>
      </c>
      <c r="J18" s="153" t="s">
        <v>612</v>
      </c>
      <c r="K18" s="153"/>
      <c r="L18" s="153"/>
      <c r="M18" s="153"/>
      <c r="N18" s="153"/>
      <c r="O18" s="153"/>
      <c r="P18" s="153"/>
      <c r="Q18" s="182"/>
    </row>
    <row r="19" spans="2:17">
      <c r="B19" s="154" t="s">
        <v>613</v>
      </c>
      <c r="C19" s="345">
        <v>773.44099999999992</v>
      </c>
      <c r="D19" s="345">
        <v>895.94</v>
      </c>
      <c r="E19" s="345">
        <v>776.78400000000011</v>
      </c>
      <c r="F19" s="345">
        <v>793.12300000000016</v>
      </c>
      <c r="G19" s="345">
        <v>798.31238437088257</v>
      </c>
      <c r="H19" s="345">
        <v>767.6843571815192</v>
      </c>
      <c r="I19" s="345">
        <f>H19</f>
        <v>767.6843571815192</v>
      </c>
      <c r="J19" s="164" t="s">
        <v>614</v>
      </c>
      <c r="K19" s="204"/>
      <c r="L19" s="153"/>
      <c r="M19" s="153"/>
      <c r="N19" s="153"/>
      <c r="O19" s="153"/>
      <c r="P19" s="153"/>
      <c r="Q19" s="182"/>
    </row>
    <row r="20" spans="2:17">
      <c r="B20" s="154"/>
      <c r="C20" s="345"/>
      <c r="D20" s="345"/>
      <c r="E20" s="345"/>
      <c r="F20" s="345"/>
      <c r="G20" s="345"/>
      <c r="H20" s="345"/>
      <c r="I20" s="153"/>
      <c r="J20" s="153"/>
      <c r="K20" s="153"/>
      <c r="L20" s="153"/>
      <c r="M20" s="153"/>
      <c r="N20" s="153"/>
      <c r="O20" s="153"/>
      <c r="P20" s="153"/>
      <c r="Q20" s="182"/>
    </row>
    <row r="21" spans="2:17">
      <c r="B21" s="154" t="s">
        <v>615</v>
      </c>
      <c r="C21" s="345">
        <v>8964.2999999999993</v>
      </c>
      <c r="D21" s="345">
        <v>7878.8000000000011</v>
      </c>
      <c r="E21" s="345">
        <v>8631.7999999999993</v>
      </c>
      <c r="F21" s="345">
        <v>9764.2000000000007</v>
      </c>
      <c r="G21" s="512">
        <v>10236</v>
      </c>
      <c r="H21" s="345">
        <v>11068</v>
      </c>
      <c r="I21" s="345">
        <v>11809.883295243701</v>
      </c>
      <c r="J21" s="164" t="s">
        <v>616</v>
      </c>
      <c r="K21" s="153"/>
      <c r="L21" s="153"/>
      <c r="M21" s="153"/>
      <c r="N21" s="153"/>
      <c r="O21" s="153"/>
      <c r="P21" s="153"/>
      <c r="Q21" s="182"/>
    </row>
    <row r="22" spans="2:17">
      <c r="B22" s="154" t="s">
        <v>617</v>
      </c>
      <c r="C22" s="254">
        <v>3.0459999999999998</v>
      </c>
      <c r="D22" s="254">
        <v>1.121</v>
      </c>
      <c r="E22" s="254">
        <v>0.51800000000000002</v>
      </c>
      <c r="F22" s="254">
        <v>0.50700000000000001</v>
      </c>
      <c r="G22" s="254">
        <v>0.68700000000000006</v>
      </c>
      <c r="H22" s="254">
        <v>0.40899999999999997</v>
      </c>
      <c r="I22" s="200">
        <v>0.40899999999999997</v>
      </c>
      <c r="J22" s="153" t="s">
        <v>618</v>
      </c>
      <c r="K22" s="153"/>
      <c r="L22" s="153"/>
      <c r="M22" s="153"/>
      <c r="N22" s="153"/>
      <c r="O22" s="153"/>
      <c r="P22" s="153"/>
      <c r="Q22" s="182"/>
    </row>
    <row r="23" spans="2:17">
      <c r="B23" s="154" t="s">
        <v>619</v>
      </c>
      <c r="C23" s="200">
        <v>4.0691266841695279</v>
      </c>
      <c r="D23" s="200">
        <v>3.6572839916642423</v>
      </c>
      <c r="E23" s="200">
        <v>3.7139776870616452</v>
      </c>
      <c r="F23" s="513">
        <v>3.088714938030007</v>
      </c>
      <c r="G23" s="200">
        <v>2.8595599978435069</v>
      </c>
      <c r="H23" s="200">
        <v>2.5815599978435069</v>
      </c>
      <c r="I23" s="200">
        <f>I22+I24</f>
        <v>2.5815599978435069</v>
      </c>
      <c r="J23" s="153" t="s">
        <v>620</v>
      </c>
      <c r="K23" s="153"/>
      <c r="L23" s="153"/>
      <c r="M23" s="153"/>
      <c r="N23" s="153"/>
      <c r="O23" s="153"/>
      <c r="P23" s="153"/>
      <c r="Q23" s="182"/>
    </row>
    <row r="24" spans="2:17">
      <c r="B24" s="154" t="s">
        <v>621</v>
      </c>
      <c r="C24" s="200">
        <v>1.0231266841695281</v>
      </c>
      <c r="D24" s="200">
        <v>2.5362839916642423</v>
      </c>
      <c r="E24" s="200">
        <v>3.195977687061645</v>
      </c>
      <c r="F24" s="200">
        <v>2.5817149380300068</v>
      </c>
      <c r="G24" s="200">
        <v>2.1725599978435071</v>
      </c>
      <c r="H24" s="200">
        <v>2.1725599978435071</v>
      </c>
      <c r="I24" s="200">
        <f>H24</f>
        <v>2.1725599978435071</v>
      </c>
      <c r="J24" s="153" t="s">
        <v>622</v>
      </c>
      <c r="K24" s="153"/>
      <c r="L24" s="153"/>
      <c r="M24" s="153"/>
      <c r="N24" s="153"/>
      <c r="O24" s="153"/>
      <c r="P24" s="153"/>
      <c r="Q24" s="182"/>
    </row>
    <row r="25" spans="2:17">
      <c r="B25" s="178"/>
      <c r="C25" s="188"/>
      <c r="D25" s="188"/>
      <c r="E25" s="188"/>
      <c r="F25" s="188"/>
      <c r="G25" s="188"/>
      <c r="H25" s="188"/>
      <c r="I25" s="188"/>
      <c r="J25" s="153"/>
      <c r="K25" s="153"/>
      <c r="L25" s="153"/>
      <c r="M25" s="153"/>
      <c r="N25" s="153"/>
      <c r="O25" s="153"/>
      <c r="P25" s="153"/>
      <c r="Q25" s="182"/>
    </row>
    <row r="26" spans="2:17">
      <c r="B26" s="205" t="s">
        <v>623</v>
      </c>
      <c r="C26" s="153"/>
      <c r="D26" s="153"/>
      <c r="E26" s="153"/>
      <c r="F26" s="153"/>
      <c r="G26" s="153"/>
      <c r="H26" s="153"/>
      <c r="I26" s="153"/>
      <c r="J26" s="153"/>
      <c r="K26" s="153"/>
      <c r="L26" s="153"/>
      <c r="M26" s="153"/>
      <c r="N26" s="153"/>
      <c r="O26" s="153"/>
      <c r="P26" s="153"/>
      <c r="Q26" s="182"/>
    </row>
    <row r="27" spans="2:17">
      <c r="B27" s="205" t="s">
        <v>624</v>
      </c>
      <c r="C27" s="153"/>
      <c r="D27" s="153"/>
      <c r="E27" s="153"/>
      <c r="F27" s="153"/>
      <c r="G27" s="153"/>
      <c r="H27" s="153"/>
      <c r="I27" s="153"/>
      <c r="J27" s="153"/>
      <c r="K27" s="153"/>
      <c r="L27" s="153"/>
      <c r="M27" s="153"/>
      <c r="N27" s="153"/>
      <c r="O27" s="153"/>
      <c r="P27" s="153"/>
      <c r="Q27" s="182"/>
    </row>
    <row r="28" spans="2:17">
      <c r="B28" s="205" t="s">
        <v>625</v>
      </c>
      <c r="C28" s="153"/>
      <c r="D28" s="153"/>
      <c r="E28" s="153"/>
      <c r="F28" s="153"/>
      <c r="G28" s="153"/>
      <c r="H28" s="153"/>
      <c r="I28" s="153"/>
      <c r="J28" s="153"/>
      <c r="K28" s="153"/>
      <c r="L28" s="153"/>
      <c r="M28" s="153"/>
      <c r="N28" s="153"/>
      <c r="O28" s="153"/>
      <c r="P28" s="153"/>
      <c r="Q28" s="182"/>
    </row>
    <row r="29" spans="2:17">
      <c r="B29" s="154" t="s">
        <v>626</v>
      </c>
      <c r="C29" s="153"/>
      <c r="D29" s="153"/>
      <c r="E29" s="153"/>
      <c r="F29" s="153"/>
      <c r="G29" s="153"/>
      <c r="H29" s="153"/>
      <c r="I29" s="153"/>
      <c r="J29" s="153"/>
      <c r="K29" s="153"/>
      <c r="L29" s="153"/>
      <c r="M29" s="153"/>
      <c r="N29" s="153"/>
      <c r="O29" s="153"/>
      <c r="P29" s="153"/>
      <c r="Q29" s="182"/>
    </row>
    <row r="30" spans="2:17">
      <c r="B30" s="154" t="s">
        <v>627</v>
      </c>
      <c r="C30" s="153"/>
      <c r="D30" s="153"/>
      <c r="E30" s="153"/>
      <c r="F30" s="153"/>
      <c r="G30" s="153"/>
      <c r="H30" s="153"/>
      <c r="I30" s="153"/>
      <c r="J30" s="153"/>
      <c r="K30" s="153"/>
      <c r="L30" s="153"/>
      <c r="M30" s="153"/>
      <c r="N30" s="153"/>
      <c r="O30" s="153"/>
      <c r="P30" s="153"/>
      <c r="Q30" s="182"/>
    </row>
    <row r="31" spans="2:17" ht="15.75" thickBot="1">
      <c r="B31" s="206"/>
      <c r="C31" s="207"/>
      <c r="D31" s="207"/>
      <c r="E31" s="207"/>
      <c r="F31" s="207"/>
      <c r="G31" s="207"/>
      <c r="H31" s="207"/>
      <c r="I31" s="207"/>
      <c r="J31" s="207"/>
      <c r="K31" s="207"/>
      <c r="L31" s="207"/>
      <c r="M31" s="207"/>
      <c r="N31" s="207"/>
      <c r="O31" s="207"/>
      <c r="P31" s="207"/>
      <c r="Q31" s="208"/>
    </row>
  </sheetData>
  <mergeCells count="1">
    <mergeCell ref="B2:Q2"/>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B1:R19"/>
  <sheetViews>
    <sheetView zoomScaleNormal="100" workbookViewId="0">
      <selection activeCell="J6" sqref="J6"/>
    </sheetView>
  </sheetViews>
  <sheetFormatPr baseColWidth="10" defaultColWidth="9.42578125" defaultRowHeight="15"/>
  <cols>
    <col min="1" max="1" width="9.42578125" style="2"/>
    <col min="2" max="2" width="4.42578125" style="2" customWidth="1"/>
    <col min="3" max="3" width="53.5703125" style="2" customWidth="1"/>
    <col min="4" max="9" width="9.42578125" style="2"/>
    <col min="10" max="10" width="14.85546875" style="2" customWidth="1"/>
    <col min="11" max="11" width="6.85546875" style="2" customWidth="1"/>
    <col min="12" max="12" width="10.42578125" style="2" customWidth="1"/>
    <col min="13" max="13" width="6.5703125" style="2" customWidth="1"/>
    <col min="14" max="16384" width="9.42578125" style="2"/>
  </cols>
  <sheetData>
    <row r="1" spans="2:18" ht="15.75" thickBot="1">
      <c r="B1" s="694"/>
      <c r="C1" s="694"/>
      <c r="D1" s="694"/>
      <c r="E1" s="694"/>
      <c r="F1" s="694"/>
      <c r="G1" s="694"/>
      <c r="H1" s="694"/>
      <c r="I1" s="694"/>
      <c r="J1" s="694"/>
      <c r="K1" s="694"/>
      <c r="L1" s="694"/>
      <c r="M1" s="694"/>
      <c r="N1" s="694"/>
      <c r="O1" s="694"/>
      <c r="P1" s="694"/>
      <c r="Q1" s="694"/>
    </row>
    <row r="2" spans="2:18">
      <c r="B2" s="296" t="s">
        <v>628</v>
      </c>
      <c r="C2" s="297"/>
      <c r="D2" s="297"/>
      <c r="E2" s="297"/>
      <c r="F2" s="297"/>
      <c r="G2" s="297"/>
      <c r="H2" s="297"/>
      <c r="I2" s="299"/>
      <c r="J2" s="297"/>
      <c r="K2" s="299"/>
      <c r="L2" s="297"/>
      <c r="M2" s="297"/>
      <c r="N2" s="297"/>
      <c r="O2" s="297"/>
      <c r="P2" s="297"/>
      <c r="Q2" s="297"/>
      <c r="R2" s="298"/>
    </row>
    <row r="3" spans="2:18">
      <c r="B3" s="154"/>
      <c r="C3" s="153"/>
      <c r="D3" s="196"/>
      <c r="E3" s="196"/>
      <c r="F3" s="196"/>
      <c r="G3" s="196"/>
      <c r="H3" s="196"/>
      <c r="I3" s="196"/>
      <c r="J3" s="155" t="s">
        <v>580</v>
      </c>
      <c r="K3" s="155"/>
      <c r="L3" s="153"/>
      <c r="M3" s="153"/>
      <c r="N3" s="159" t="s">
        <v>427</v>
      </c>
      <c r="O3" s="159"/>
      <c r="P3" s="153"/>
      <c r="Q3" s="153"/>
      <c r="R3" s="182"/>
    </row>
    <row r="4" spans="2:18">
      <c r="B4" s="154"/>
      <c r="C4" s="156"/>
      <c r="D4" s="196"/>
      <c r="E4" s="196"/>
      <c r="F4" s="196"/>
      <c r="G4" s="196"/>
      <c r="H4" s="155">
        <v>2012</v>
      </c>
      <c r="I4" s="155">
        <v>2013</v>
      </c>
      <c r="J4" s="155">
        <v>2014</v>
      </c>
      <c r="K4" s="155"/>
      <c r="L4" s="153"/>
      <c r="M4" s="153"/>
      <c r="N4" s="153"/>
      <c r="O4" s="153"/>
      <c r="P4" s="153"/>
      <c r="Q4" s="153"/>
      <c r="R4" s="182"/>
    </row>
    <row r="5" spans="2:18" ht="15.75" thickBot="1">
      <c r="B5" s="154"/>
      <c r="C5" s="156"/>
      <c r="D5" s="196"/>
      <c r="E5" s="196"/>
      <c r="F5" s="196"/>
      <c r="G5" s="196"/>
      <c r="H5" s="156"/>
      <c r="I5" s="156"/>
      <c r="J5" s="156"/>
      <c r="K5" s="156"/>
      <c r="L5" s="153"/>
      <c r="M5" s="153"/>
      <c r="N5" s="153"/>
      <c r="O5" s="153"/>
      <c r="P5" s="153"/>
      <c r="Q5" s="153"/>
      <c r="R5" s="182"/>
    </row>
    <row r="6" spans="2:18" ht="18.75" thickBot="1">
      <c r="B6" s="154"/>
      <c r="C6" s="153" t="s">
        <v>629</v>
      </c>
      <c r="D6" s="196"/>
      <c r="E6" s="196"/>
      <c r="F6" s="196"/>
      <c r="G6" s="196"/>
      <c r="H6" s="164">
        <v>333.50078167043063</v>
      </c>
      <c r="I6" s="164">
        <v>342.90383620962831</v>
      </c>
      <c r="J6" s="1033">
        <f>I6*(1+J16/100)</f>
        <v>352.57200987155869</v>
      </c>
      <c r="K6" s="156"/>
      <c r="L6" s="153"/>
      <c r="M6" s="153"/>
      <c r="N6" s="153" t="s">
        <v>630</v>
      </c>
      <c r="O6" s="153"/>
      <c r="P6" s="153"/>
      <c r="Q6" s="153"/>
      <c r="R6" s="182"/>
    </row>
    <row r="7" spans="2:18">
      <c r="B7" s="154"/>
      <c r="C7" s="153"/>
      <c r="D7" s="196"/>
      <c r="E7" s="196"/>
      <c r="F7" s="196"/>
      <c r="G7" s="196"/>
      <c r="H7" s="153"/>
      <c r="I7" s="168"/>
      <c r="J7" s="153"/>
      <c r="K7" s="153"/>
      <c r="L7" s="153"/>
      <c r="M7" s="153"/>
      <c r="N7" s="153"/>
      <c r="O7" s="153"/>
      <c r="P7" s="153"/>
      <c r="Q7" s="153"/>
      <c r="R7" s="182"/>
    </row>
    <row r="8" spans="2:18" ht="18">
      <c r="B8" s="154"/>
      <c r="C8" s="153" t="s">
        <v>631</v>
      </c>
      <c r="D8" s="196"/>
      <c r="E8" s="196"/>
      <c r="F8" s="196"/>
      <c r="G8" s="196"/>
      <c r="H8" s="187">
        <v>3.2829921555994623</v>
      </c>
      <c r="I8" s="187">
        <v>2.8194999999999748</v>
      </c>
      <c r="J8" s="187">
        <f>(((1+J10/100)*(1+J12/100))-1)*100</f>
        <v>2.8194999999999748</v>
      </c>
      <c r="K8" s="187"/>
      <c r="L8" s="181" t="s">
        <v>632</v>
      </c>
      <c r="M8" s="153"/>
      <c r="N8" s="153" t="s">
        <v>633</v>
      </c>
      <c r="O8" s="153"/>
      <c r="P8" s="153"/>
      <c r="Q8" s="153"/>
      <c r="R8" s="182"/>
    </row>
    <row r="9" spans="2:18">
      <c r="B9" s="154"/>
      <c r="C9" s="153"/>
      <c r="D9" s="196"/>
      <c r="E9" s="196"/>
      <c r="F9" s="196"/>
      <c r="G9" s="196"/>
      <c r="H9" s="153"/>
      <c r="I9" s="168"/>
      <c r="J9" s="153"/>
      <c r="K9" s="153"/>
      <c r="L9" s="181"/>
      <c r="M9" s="153"/>
      <c r="N9" s="153"/>
      <c r="O9" s="153"/>
      <c r="P9" s="153"/>
      <c r="Q9" s="153"/>
      <c r="R9" s="182"/>
    </row>
    <row r="10" spans="2:18">
      <c r="B10" s="154"/>
      <c r="C10" s="153" t="s">
        <v>634</v>
      </c>
      <c r="D10" s="196"/>
      <c r="E10" s="196"/>
      <c r="F10" s="196"/>
      <c r="G10" s="196"/>
      <c r="H10" s="187">
        <v>1.3</v>
      </c>
      <c r="I10" s="187">
        <v>1.3</v>
      </c>
      <c r="J10" s="187">
        <v>1.3</v>
      </c>
      <c r="K10" s="187"/>
      <c r="L10" s="181" t="s">
        <v>635</v>
      </c>
      <c r="M10" s="153"/>
      <c r="N10" s="153" t="s">
        <v>636</v>
      </c>
      <c r="O10" s="153"/>
      <c r="P10" s="153"/>
      <c r="Q10" s="153"/>
      <c r="R10" s="182"/>
    </row>
    <row r="11" spans="2:18">
      <c r="B11" s="154"/>
      <c r="C11" s="153"/>
      <c r="D11" s="196"/>
      <c r="E11" s="196"/>
      <c r="F11" s="196"/>
      <c r="G11" s="196"/>
      <c r="H11" s="153"/>
      <c r="I11" s="153"/>
      <c r="J11" s="153"/>
      <c r="K11" s="153"/>
      <c r="L11" s="181"/>
      <c r="M11" s="153"/>
      <c r="N11" s="153"/>
      <c r="O11" s="153"/>
      <c r="P11" s="153"/>
      <c r="Q11" s="153"/>
      <c r="R11" s="182"/>
    </row>
    <row r="12" spans="2:18" ht="18">
      <c r="B12" s="154"/>
      <c r="C12" s="153" t="s">
        <v>637</v>
      </c>
      <c r="D12" s="196"/>
      <c r="E12" s="196"/>
      <c r="F12" s="196"/>
      <c r="G12" s="196"/>
      <c r="H12" s="187">
        <v>1.9575440825266084</v>
      </c>
      <c r="I12" s="187">
        <v>1.5</v>
      </c>
      <c r="J12" s="187">
        <f>'TC nominal'!I20</f>
        <v>1.5</v>
      </c>
      <c r="K12" s="187"/>
      <c r="L12" s="181" t="s">
        <v>638</v>
      </c>
      <c r="M12" s="153"/>
      <c r="N12" s="153" t="s">
        <v>636</v>
      </c>
      <c r="O12" s="153"/>
      <c r="P12" s="153"/>
      <c r="Q12" s="153"/>
      <c r="R12" s="182"/>
    </row>
    <row r="13" spans="2:18">
      <c r="B13" s="154"/>
      <c r="C13" s="153"/>
      <c r="D13" s="196"/>
      <c r="E13" s="196"/>
      <c r="F13" s="196"/>
      <c r="G13" s="196"/>
      <c r="H13" s="153"/>
      <c r="I13" s="168"/>
      <c r="J13" s="153"/>
      <c r="K13" s="153"/>
      <c r="L13" s="181"/>
      <c r="M13" s="153"/>
      <c r="N13" s="153"/>
      <c r="O13" s="153"/>
      <c r="P13" s="153"/>
      <c r="Q13" s="153"/>
      <c r="R13" s="182"/>
    </row>
    <row r="14" spans="2:18" ht="18">
      <c r="B14" s="154"/>
      <c r="C14" s="153" t="s">
        <v>639</v>
      </c>
      <c r="D14" s="196"/>
      <c r="E14" s="196"/>
      <c r="F14" s="196"/>
      <c r="G14" s="196"/>
      <c r="H14" s="187">
        <v>1</v>
      </c>
      <c r="I14" s="187">
        <v>1</v>
      </c>
      <c r="J14" s="187">
        <v>1</v>
      </c>
      <c r="K14" s="187"/>
      <c r="L14" s="181" t="s">
        <v>640</v>
      </c>
      <c r="M14" s="153"/>
      <c r="N14" s="153" t="s">
        <v>636</v>
      </c>
      <c r="O14" s="153"/>
      <c r="P14" s="153"/>
      <c r="Q14" s="153"/>
      <c r="R14" s="182"/>
    </row>
    <row r="15" spans="2:18">
      <c r="B15" s="154"/>
      <c r="C15" s="153"/>
      <c r="D15" s="196"/>
      <c r="E15" s="196"/>
      <c r="F15" s="196"/>
      <c r="G15" s="196"/>
      <c r="H15" s="153"/>
      <c r="I15" s="168"/>
      <c r="J15" s="153"/>
      <c r="K15" s="153"/>
      <c r="L15" s="181"/>
      <c r="M15" s="153"/>
      <c r="N15" s="153"/>
      <c r="O15" s="153"/>
      <c r="P15" s="153"/>
      <c r="Q15" s="153"/>
      <c r="R15" s="182"/>
    </row>
    <row r="16" spans="2:18" ht="18">
      <c r="B16" s="154"/>
      <c r="C16" s="153" t="s">
        <v>641</v>
      </c>
      <c r="D16" s="196"/>
      <c r="E16" s="196"/>
      <c r="F16" s="196"/>
      <c r="G16" s="196"/>
      <c r="H16" s="187">
        <v>3.2829921555994623</v>
      </c>
      <c r="I16" s="187">
        <v>2.8194999999999748</v>
      </c>
      <c r="J16" s="187">
        <f>J14*J8</f>
        <v>2.8194999999999748</v>
      </c>
      <c r="K16" s="187"/>
      <c r="L16" s="181" t="s">
        <v>642</v>
      </c>
      <c r="M16" s="153"/>
      <c r="N16" s="153" t="s">
        <v>643</v>
      </c>
      <c r="O16" s="153"/>
      <c r="P16" s="153"/>
      <c r="Q16" s="153"/>
      <c r="R16" s="182"/>
    </row>
    <row r="17" spans="2:18">
      <c r="B17" s="154"/>
      <c r="C17" s="153"/>
      <c r="D17" s="153"/>
      <c r="E17" s="153"/>
      <c r="F17" s="153"/>
      <c r="G17" s="153"/>
      <c r="H17" s="153"/>
      <c r="I17" s="153"/>
      <c r="J17" s="153"/>
      <c r="K17" s="153"/>
      <c r="L17" s="153"/>
      <c r="M17" s="153"/>
      <c r="N17" s="153"/>
      <c r="O17" s="153"/>
      <c r="P17" s="153"/>
      <c r="Q17" s="153"/>
      <c r="R17" s="182"/>
    </row>
    <row r="18" spans="2:18">
      <c r="B18" s="154"/>
      <c r="C18" s="153"/>
      <c r="D18" s="153"/>
      <c r="E18" s="153"/>
      <c r="F18" s="153"/>
      <c r="G18" s="153"/>
      <c r="H18" s="153"/>
      <c r="I18" s="153"/>
      <c r="J18" s="153"/>
      <c r="K18" s="153"/>
      <c r="L18" s="153"/>
      <c r="M18" s="153"/>
      <c r="N18" s="153"/>
      <c r="O18" s="153"/>
      <c r="P18" s="153"/>
      <c r="Q18" s="153"/>
      <c r="R18" s="182"/>
    </row>
    <row r="19" spans="2:18" ht="15.75" thickBot="1">
      <c r="B19" s="206"/>
      <c r="C19" s="207"/>
      <c r="D19" s="207"/>
      <c r="E19" s="207"/>
      <c r="F19" s="207"/>
      <c r="G19" s="207"/>
      <c r="H19" s="207"/>
      <c r="I19" s="300"/>
      <c r="J19" s="207"/>
      <c r="K19" s="207"/>
      <c r="L19" s="207"/>
      <c r="M19" s="207"/>
      <c r="N19" s="207"/>
      <c r="O19" s="207"/>
      <c r="P19" s="207"/>
      <c r="Q19" s="207"/>
      <c r="R19" s="208"/>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pageSetUpPr fitToPage="1"/>
  </sheetPr>
  <dimension ref="A1:BC186"/>
  <sheetViews>
    <sheetView topLeftCell="AI151" zoomScaleNormal="100" workbookViewId="0">
      <selection activeCell="BC186" sqref="BC186"/>
    </sheetView>
  </sheetViews>
  <sheetFormatPr baseColWidth="10" defaultColWidth="9.140625" defaultRowHeight="15" outlineLevelRow="1"/>
  <cols>
    <col min="1" max="1" width="11.42578125" style="2" customWidth="1"/>
    <col min="2" max="2" width="2.5703125" style="3" customWidth="1"/>
    <col min="3" max="3" width="61.28515625" style="3" customWidth="1"/>
    <col min="4" max="4" width="13.42578125" style="4" customWidth="1"/>
    <col min="5" max="10" width="9.140625" style="4" customWidth="1"/>
    <col min="11" max="12" width="9.42578125" style="4"/>
    <col min="13" max="13" width="3.42578125" style="4" customWidth="1"/>
    <col min="14" max="14" width="9.42578125" style="4" customWidth="1"/>
    <col min="15" max="15" width="5.85546875" style="4" customWidth="1"/>
    <col min="16" max="18" width="8.42578125" style="4" customWidth="1"/>
    <col min="19" max="19" width="8.5703125" style="4" customWidth="1"/>
    <col min="20" max="20" width="9.42578125" style="2" customWidth="1"/>
    <col min="21" max="32" width="9.140625" style="2" customWidth="1"/>
    <col min="33" max="16384" width="9.140625" style="2"/>
  </cols>
  <sheetData>
    <row r="1" spans="2:19" ht="15.75" thickBot="1">
      <c r="M1" s="1086"/>
    </row>
    <row r="2" spans="2:19" s="1" customFormat="1" ht="35.1" customHeight="1">
      <c r="B2" s="1084"/>
      <c r="C2" s="1085" t="s">
        <v>644</v>
      </c>
      <c r="D2" s="1085"/>
      <c r="E2" s="1085"/>
      <c r="F2" s="1085"/>
      <c r="G2" s="1085"/>
      <c r="H2" s="1085"/>
      <c r="I2" s="1085"/>
      <c r="J2" s="1085"/>
      <c r="K2" s="663"/>
      <c r="L2" s="1085"/>
      <c r="M2" s="15"/>
      <c r="N2" s="406"/>
      <c r="O2" s="406"/>
      <c r="P2" s="595"/>
      <c r="Q2" s="713"/>
      <c r="R2" s="713"/>
      <c r="S2" s="714"/>
    </row>
    <row r="3" spans="2:19" s="1" customFormat="1" ht="35.1" customHeight="1">
      <c r="B3" s="14"/>
      <c r="C3" s="16"/>
      <c r="D3" s="351">
        <v>2006</v>
      </c>
      <c r="E3" s="351">
        <v>2007</v>
      </c>
      <c r="F3" s="351">
        <v>2008</v>
      </c>
      <c r="G3" s="351">
        <v>2009</v>
      </c>
      <c r="H3" s="351">
        <v>2010</v>
      </c>
      <c r="I3" s="351">
        <v>2011</v>
      </c>
      <c r="J3" s="351">
        <v>2012</v>
      </c>
      <c r="K3" s="351">
        <v>2013</v>
      </c>
      <c r="L3" s="351">
        <v>2014</v>
      </c>
      <c r="M3" s="15"/>
      <c r="N3" s="407"/>
      <c r="O3" s="407"/>
      <c r="P3" s="704">
        <v>2011</v>
      </c>
      <c r="Q3" s="351">
        <v>2012</v>
      </c>
      <c r="R3" s="351">
        <v>2013</v>
      </c>
      <c r="S3" s="15">
        <v>2014</v>
      </c>
    </row>
    <row r="4" spans="2:19" s="1" customFormat="1" ht="35.1" customHeight="1" thickBot="1">
      <c r="B4" s="109" t="s">
        <v>225</v>
      </c>
      <c r="C4" s="110"/>
      <c r="D4" s="110"/>
      <c r="E4" s="110"/>
      <c r="F4" s="110"/>
      <c r="G4" s="110"/>
      <c r="H4" s="110"/>
      <c r="I4" s="110"/>
      <c r="J4" s="110"/>
      <c r="K4" s="110"/>
      <c r="L4" s="110"/>
      <c r="M4" s="15"/>
      <c r="N4" s="597"/>
      <c r="O4" s="597"/>
      <c r="P4" s="109"/>
      <c r="Q4" s="705" t="s">
        <v>245</v>
      </c>
      <c r="R4" s="705"/>
      <c r="S4" s="111"/>
    </row>
    <row r="5" spans="2:19" s="1" customFormat="1" ht="15" customHeight="1" outlineLevel="1" thickBot="1">
      <c r="B5" s="30"/>
      <c r="C5" s="23" t="s">
        <v>57</v>
      </c>
      <c r="D5" s="24">
        <v>1638.3525999999999</v>
      </c>
      <c r="E5" s="24">
        <v>2104.7018099999996</v>
      </c>
      <c r="F5" s="24">
        <v>2490.0306000000005</v>
      </c>
      <c r="G5" s="24">
        <v>2363.2648999999997</v>
      </c>
      <c r="H5" s="24">
        <v>2730.1668000000004</v>
      </c>
      <c r="I5" s="24">
        <v>3023.8538999999992</v>
      </c>
      <c r="J5" s="24">
        <v>3271.5261000000005</v>
      </c>
      <c r="K5" s="24">
        <v>3625.6334235749855</v>
      </c>
      <c r="L5" s="1115">
        <f>L6+L11+L12+L13</f>
        <v>4081.6230379733606</v>
      </c>
      <c r="M5" s="32"/>
      <c r="P5" s="706">
        <f>I5/PIB_Nominal!I$6</f>
        <v>0.1556453253041819</v>
      </c>
      <c r="Q5" s="264">
        <f>J5/PIB_Nominal!J$6</f>
        <v>0.15462876438605666</v>
      </c>
      <c r="R5" s="264">
        <f>K5/PIB_Nominal!K$6</f>
        <v>0.15332846646390905</v>
      </c>
      <c r="S5" s="707">
        <f>L5/PIB_Nominal!L$6</f>
        <v>0.1528367881525218</v>
      </c>
    </row>
    <row r="6" spans="2:19" s="1" customFormat="1" ht="15" customHeight="1" outlineLevel="1" thickBot="1">
      <c r="B6" s="30"/>
      <c r="C6" s="18" t="s">
        <v>645</v>
      </c>
      <c r="D6" s="24">
        <v>1577.7329999999999</v>
      </c>
      <c r="E6" s="24">
        <v>2028.9422999999997</v>
      </c>
      <c r="F6" s="24">
        <v>2408.5786000000003</v>
      </c>
      <c r="G6" s="24">
        <v>2262.2892999999999</v>
      </c>
      <c r="H6" s="24">
        <v>2480.4111000000003</v>
      </c>
      <c r="I6" s="24">
        <v>2768.9007999999994</v>
      </c>
      <c r="J6" s="24">
        <v>3007.0638000000004</v>
      </c>
      <c r="K6" s="24">
        <v>3330.0604188707821</v>
      </c>
      <c r="L6" s="698">
        <f>SUM(L7:L10)</f>
        <v>3747.8058788624448</v>
      </c>
      <c r="M6" s="32"/>
      <c r="P6" s="706">
        <f>I6/PIB_Nominal!I$6</f>
        <v>0.14252225140606481</v>
      </c>
      <c r="Q6" s="264">
        <f>J6/PIB_Nominal!J$6</f>
        <v>0.14212894704524601</v>
      </c>
      <c r="R6" s="264">
        <f>K6/PIB_Nominal!K$6</f>
        <v>0.14082864912309839</v>
      </c>
      <c r="S6" s="707">
        <f>L6/PIB_Nominal!L$6</f>
        <v>0.14033697081171112</v>
      </c>
    </row>
    <row r="7" spans="2:19" ht="15.75" outlineLevel="1" thickBot="1">
      <c r="B7" s="6"/>
      <c r="C7" s="19" t="s">
        <v>646</v>
      </c>
      <c r="D7" s="24">
        <v>394.09500000000003</v>
      </c>
      <c r="E7" s="24">
        <v>531.55179999999996</v>
      </c>
      <c r="F7" s="24">
        <v>689.22469999999998</v>
      </c>
      <c r="G7" s="24">
        <v>687.4203</v>
      </c>
      <c r="H7" s="24">
        <v>752.17160000000013</v>
      </c>
      <c r="I7" s="24">
        <v>832.20359999999994</v>
      </c>
      <c r="J7" s="24">
        <v>891.42389999999989</v>
      </c>
      <c r="K7" s="24">
        <v>983.3660912347176</v>
      </c>
      <c r="L7" s="699">
        <f>Gob_GTR_Proy!J57</f>
        <v>1094.9239123568013</v>
      </c>
      <c r="M7" s="8"/>
      <c r="N7" s="695"/>
      <c r="O7" s="695"/>
      <c r="P7" s="706">
        <f>I7/PIB_Nominal!I$6</f>
        <v>4.2835601297176194E-2</v>
      </c>
      <c r="Q7" s="264">
        <f>J7/PIB_Nominal!J$6</f>
        <v>4.2133173322749802E-2</v>
      </c>
      <c r="R7" s="264">
        <f>K7/PIB_Nominal!K$6</f>
        <v>4.1586668349100776E-2</v>
      </c>
      <c r="S7" s="707">
        <f>L7/PIB_Nominal!L$6</f>
        <v>4.0999536821288145E-2</v>
      </c>
    </row>
    <row r="8" spans="2:19" ht="15.75" outlineLevel="1" thickBot="1">
      <c r="B8" s="6"/>
      <c r="C8" s="19" t="s">
        <v>647</v>
      </c>
      <c r="D8" s="24">
        <v>324.27189999999996</v>
      </c>
      <c r="E8" s="24">
        <v>407.09989999999999</v>
      </c>
      <c r="F8" s="24">
        <v>465.05100000000004</v>
      </c>
      <c r="G8" s="24">
        <v>476.29859999999996</v>
      </c>
      <c r="H8" s="24">
        <v>511.60519999999991</v>
      </c>
      <c r="I8" s="24">
        <v>547.70839999999998</v>
      </c>
      <c r="J8" s="24">
        <v>610.79600000000005</v>
      </c>
      <c r="K8" s="24">
        <v>672.89058488027285</v>
      </c>
      <c r="L8" s="698">
        <f>Gob_GTR_Proy!J58</f>
        <v>746.76439822036355</v>
      </c>
      <c r="M8" s="8"/>
      <c r="N8" s="695"/>
      <c r="O8" s="695"/>
      <c r="P8" s="706">
        <f>I8/PIB_Nominal!I$6</f>
        <v>2.8191921603696858E-2</v>
      </c>
      <c r="Q8" s="264">
        <f>J8/PIB_Nominal!J$6</f>
        <v>2.8869288486479093E-2</v>
      </c>
      <c r="R8" s="264">
        <f>K8/PIB_Nominal!K$6</f>
        <v>2.8456622450253963E-2</v>
      </c>
      <c r="S8" s="707">
        <f>L8/PIB_Nominal!L$6</f>
        <v>2.7962668543570688E-2</v>
      </c>
    </row>
    <row r="9" spans="2:19" ht="15.75" outlineLevel="1" thickBot="1">
      <c r="B9" s="6"/>
      <c r="C9" s="19" t="s">
        <v>648</v>
      </c>
      <c r="D9" s="24">
        <v>520.99950000000001</v>
      </c>
      <c r="E9" s="24">
        <v>681.40170000000001</v>
      </c>
      <c r="F9" s="24">
        <v>797.42100000000016</v>
      </c>
      <c r="G9" s="24">
        <v>593.6164</v>
      </c>
      <c r="H9" s="24">
        <v>686.66150000000016</v>
      </c>
      <c r="I9" s="24">
        <v>803.47339999999997</v>
      </c>
      <c r="J9" s="24">
        <v>856.21159999999998</v>
      </c>
      <c r="K9" s="24">
        <v>957.70308269862096</v>
      </c>
      <c r="L9" s="699">
        <f>Gob_GTR_Proy!J59</f>
        <v>1108.0893757314066</v>
      </c>
      <c r="M9" s="8"/>
      <c r="N9" s="695"/>
      <c r="O9" s="695"/>
      <c r="P9" s="706">
        <f>I9/PIB_Nominal!I$6</f>
        <v>4.1356786026023641E-2</v>
      </c>
      <c r="Q9" s="264">
        <f>J9/PIB_Nominal!J$6</f>
        <v>4.0468863066997561E-2</v>
      </c>
      <c r="R9" s="264">
        <f>K9/PIB_Nominal!K$6</f>
        <v>4.0501376681690557E-2</v>
      </c>
      <c r="S9" s="707">
        <f>L9/PIB_Nominal!L$6</f>
        <v>4.1492518931099398E-2</v>
      </c>
    </row>
    <row r="10" spans="2:19" ht="15.75" outlineLevel="1" thickBot="1">
      <c r="B10" s="6"/>
      <c r="C10" s="19" t="s">
        <v>649</v>
      </c>
      <c r="D10" s="24">
        <v>338.36660000000006</v>
      </c>
      <c r="E10" s="24">
        <v>408.88889999999998</v>
      </c>
      <c r="F10" s="24">
        <v>456.88190000000003</v>
      </c>
      <c r="G10" s="24">
        <v>504.95400000000006</v>
      </c>
      <c r="H10" s="24">
        <v>529.97280000000001</v>
      </c>
      <c r="I10" s="24">
        <v>585.5154</v>
      </c>
      <c r="J10" s="24">
        <v>648.6323000000001</v>
      </c>
      <c r="K10" s="24">
        <v>716.10066005717044</v>
      </c>
      <c r="L10" s="698">
        <f>Gob_GTR_Proy!J60</f>
        <v>798.02819255387362</v>
      </c>
      <c r="M10" s="8"/>
      <c r="N10" s="695"/>
      <c r="O10" s="695"/>
      <c r="P10" s="706">
        <f>I10/PIB_Nominal!I$6</f>
        <v>3.0137942479168126E-2</v>
      </c>
      <c r="Q10" s="264">
        <f>J10/PIB_Nominal!J$6</f>
        <v>3.0657622169019533E-2</v>
      </c>
      <c r="R10" s="264">
        <f>K10/PIB_Nominal!K$6</f>
        <v>3.0283981642053103E-2</v>
      </c>
      <c r="S10" s="707">
        <f>L10/PIB_Nominal!L$6</f>
        <v>2.9882246515752907E-2</v>
      </c>
    </row>
    <row r="11" spans="2:19" ht="15.75" outlineLevel="1" thickBot="1">
      <c r="B11" s="6"/>
      <c r="C11" s="18" t="s">
        <v>650</v>
      </c>
      <c r="D11" s="24">
        <v>33.320699999999995</v>
      </c>
      <c r="E11" s="24">
        <v>37.946399999999997</v>
      </c>
      <c r="F11" s="24">
        <v>43.731400000000001</v>
      </c>
      <c r="G11" s="24">
        <v>54.356299999999997</v>
      </c>
      <c r="H11" s="24">
        <v>61.241800000000012</v>
      </c>
      <c r="I11" s="24">
        <v>66.770200000000003</v>
      </c>
      <c r="J11" s="24">
        <v>74.084000000000003</v>
      </c>
      <c r="K11" s="24">
        <v>82.799062401356252</v>
      </c>
      <c r="L11" s="698">
        <f>R11*'Cuadro PIB'!L$28</f>
        <v>93.512422812525855</v>
      </c>
      <c r="M11" s="8"/>
      <c r="N11" s="695"/>
      <c r="O11" s="695"/>
      <c r="P11" s="706">
        <f>I11/PIB_Nominal!I$6</f>
        <v>3.4368292395427205E-3</v>
      </c>
      <c r="Q11" s="264">
        <f>J11/PIB_Nominal!J$6</f>
        <v>3.5015821456465287E-3</v>
      </c>
      <c r="R11" s="264">
        <f>K11/PIB_Nominal!K$6</f>
        <v>3.5015821456465283E-3</v>
      </c>
      <c r="S11" s="707">
        <f>L11/PIB_Nominal!L$6</f>
        <v>3.5015821456465279E-3</v>
      </c>
    </row>
    <row r="12" spans="2:19" ht="15.75" outlineLevel="1" thickBot="1">
      <c r="B12" s="6"/>
      <c r="C12" s="18" t="s">
        <v>651</v>
      </c>
      <c r="D12" s="24">
        <v>16.281299999999998</v>
      </c>
      <c r="E12" s="24">
        <v>18.180010000000003</v>
      </c>
      <c r="F12" s="24">
        <v>25.925199999999997</v>
      </c>
      <c r="G12" s="24">
        <v>29.271999999999998</v>
      </c>
      <c r="H12" s="24">
        <v>161.31799999999998</v>
      </c>
      <c r="I12" s="24">
        <v>165.34639999999999</v>
      </c>
      <c r="J12" s="24">
        <v>165.7465</v>
      </c>
      <c r="K12" s="24">
        <v>185.24451698486038</v>
      </c>
      <c r="L12" s="698">
        <f>R12*'Cuadro PIB'!L$28</f>
        <v>209.21328205410504</v>
      </c>
      <c r="M12" s="8"/>
      <c r="N12" s="695"/>
      <c r="O12" s="695"/>
      <c r="P12" s="706">
        <f>I12/PIB_Nominal!I$6</f>
        <v>8.5107928712678162E-3</v>
      </c>
      <c r="Q12" s="264">
        <f>J12/PIB_Nominal!J$6</f>
        <v>7.8340125412154089E-3</v>
      </c>
      <c r="R12" s="264">
        <f>K12/PIB_Nominal!K$6</f>
        <v>7.8340125412154089E-3</v>
      </c>
      <c r="S12" s="707">
        <f>L12/PIB_Nominal!L$6</f>
        <v>7.8340125412154071E-3</v>
      </c>
    </row>
    <row r="13" spans="2:19" ht="15.75" outlineLevel="1" thickBot="1">
      <c r="B13" s="6"/>
      <c r="C13" s="18" t="s">
        <v>652</v>
      </c>
      <c r="D13" s="24">
        <v>11.0176</v>
      </c>
      <c r="E13" s="24">
        <v>19.633100000000002</v>
      </c>
      <c r="F13" s="24">
        <v>11.795399999999997</v>
      </c>
      <c r="G13" s="24">
        <v>17.347300000000001</v>
      </c>
      <c r="H13" s="24">
        <v>27.195900000000002</v>
      </c>
      <c r="I13" s="24">
        <v>22.836500000000001</v>
      </c>
      <c r="J13" s="24">
        <v>24.631799999999998</v>
      </c>
      <c r="K13" s="24">
        <v>27.529425317986703</v>
      </c>
      <c r="L13" s="698">
        <f>R13*'Cuadro PIB'!L$28</f>
        <v>31.091454244284517</v>
      </c>
      <c r="M13" s="8"/>
      <c r="N13" s="695"/>
      <c r="O13" s="695"/>
      <c r="P13" s="706">
        <f>I13/PIB_Nominal!I$6</f>
        <v>1.1754517873065729E-3</v>
      </c>
      <c r="Q13" s="264">
        <f>J13/PIB_Nominal!J$6</f>
        <v>1.1642226539487089E-3</v>
      </c>
      <c r="R13" s="264">
        <f>K13/PIB_Nominal!K$6</f>
        <v>1.1642226539487089E-3</v>
      </c>
      <c r="S13" s="707">
        <f>L13/PIB_Nominal!L$6</f>
        <v>1.1642226539487087E-3</v>
      </c>
    </row>
    <row r="14" spans="2:19" ht="15.75" thickBot="1">
      <c r="B14" s="6"/>
      <c r="C14" s="29"/>
      <c r="D14" s="24"/>
      <c r="E14" s="24"/>
      <c r="F14" s="24"/>
      <c r="G14" s="24"/>
      <c r="H14" s="24"/>
      <c r="I14" s="24"/>
      <c r="J14" s="24"/>
      <c r="K14" s="24"/>
      <c r="L14" s="103"/>
      <c r="M14" s="8"/>
      <c r="N14" s="695"/>
      <c r="O14" s="695"/>
      <c r="P14" s="706"/>
      <c r="Q14" s="264"/>
      <c r="R14" s="264"/>
      <c r="S14" s="707"/>
    </row>
    <row r="15" spans="2:19" ht="15.75" thickBot="1">
      <c r="B15" s="6"/>
      <c r="C15" s="23" t="s">
        <v>653</v>
      </c>
      <c r="D15" s="24">
        <v>1744.1125000000002</v>
      </c>
      <c r="E15" s="24">
        <v>1998.9584</v>
      </c>
      <c r="F15" s="24">
        <v>2343.0758199999996</v>
      </c>
      <c r="G15" s="24">
        <v>2865.1863000000003</v>
      </c>
      <c r="H15" s="24">
        <v>3669.9965000000002</v>
      </c>
      <c r="I15" s="24">
        <v>3810.7387000000003</v>
      </c>
      <c r="J15" s="24">
        <v>4235.2044999999998</v>
      </c>
      <c r="K15" s="24">
        <v>5474.6182343992159</v>
      </c>
      <c r="L15" s="396">
        <f t="shared" ref="L15" si="0">L16+L17+L18+L19+L22+L23+L24+L25</f>
        <v>7400.5623431694139</v>
      </c>
      <c r="M15" s="8"/>
      <c r="N15" s="695"/>
      <c r="O15" s="695"/>
      <c r="P15" s="706">
        <f>I15/PIB_Nominal!I$6</f>
        <v>0.19614825458688182</v>
      </c>
      <c r="Q15" s="264">
        <f>J15/PIB_Nominal!J$6</f>
        <v>0.20017704849038703</v>
      </c>
      <c r="R15" s="264">
        <f>K15/PIB_Nominal!K$6</f>
        <v>0.23152225288349657</v>
      </c>
      <c r="S15" s="707">
        <f>L15/PIB_Nominal!L$6</f>
        <v>0.27711480666625349</v>
      </c>
    </row>
    <row r="16" spans="2:19" ht="15.75" thickBot="1">
      <c r="B16" s="6"/>
      <c r="C16" s="18" t="s">
        <v>654</v>
      </c>
      <c r="D16" s="7">
        <v>534.61830000000009</v>
      </c>
      <c r="E16" s="7">
        <v>600.6902</v>
      </c>
      <c r="F16" s="7">
        <v>720.71000000000015</v>
      </c>
      <c r="G16" s="7">
        <v>936.85670000000005</v>
      </c>
      <c r="H16" s="7">
        <v>1133.809</v>
      </c>
      <c r="I16" s="7">
        <v>1268.1950999999999</v>
      </c>
      <c r="J16" s="7">
        <v>1380.0200000000002</v>
      </c>
      <c r="K16" s="7">
        <v>2010.5530828215228</v>
      </c>
      <c r="L16" s="398">
        <f>'Hoja-Gob_Exp_Proy.'!I11</f>
        <v>2590.2094388203341</v>
      </c>
      <c r="M16" s="8"/>
      <c r="N16" s="695"/>
      <c r="O16" s="695"/>
      <c r="P16" s="706">
        <f>I16/PIB_Nominal!I$6</f>
        <v>6.5277174564772958E-2</v>
      </c>
      <c r="Q16" s="264">
        <f>J16/PIB_Nominal!J$6</f>
        <v>6.5226680425397157E-2</v>
      </c>
      <c r="R16" s="264">
        <f>K16/PIB_Nominal!K$6</f>
        <v>8.502652775893163E-2</v>
      </c>
      <c r="S16" s="707">
        <f>L16/PIB_Nominal!L$6</f>
        <v>9.6990654842101939E-2</v>
      </c>
    </row>
    <row r="17" spans="1:54" ht="15.75" thickBot="1">
      <c r="B17" s="6"/>
      <c r="C17" s="18" t="s">
        <v>655</v>
      </c>
      <c r="D17" s="7">
        <v>56.310100000000006</v>
      </c>
      <c r="E17" s="7">
        <v>72.614899999999992</v>
      </c>
      <c r="F17" s="7">
        <v>87.62769999999999</v>
      </c>
      <c r="G17" s="7">
        <v>106.3593</v>
      </c>
      <c r="H17" s="7">
        <v>120.67569999999998</v>
      </c>
      <c r="I17" s="7">
        <v>135.63149999999999</v>
      </c>
      <c r="J17" s="7">
        <v>142.9392</v>
      </c>
      <c r="K17" s="7">
        <v>158.62465594631098</v>
      </c>
      <c r="L17" s="397">
        <f>'Hoja-Gob_Exp_Proy.'!I12</f>
        <v>204.35724108570369</v>
      </c>
      <c r="M17" s="8"/>
      <c r="N17" s="695"/>
      <c r="O17" s="695"/>
      <c r="P17" s="706">
        <f>I17/PIB_Nominal!I$6</f>
        <v>6.9812926275949214E-3</v>
      </c>
      <c r="Q17" s="264">
        <f>J17/PIB_Nominal!J$6</f>
        <v>6.7560249262053652E-3</v>
      </c>
      <c r="R17" s="264">
        <f>K17/PIB_Nominal!K$6</f>
        <v>6.70825546826274E-3</v>
      </c>
      <c r="S17" s="707">
        <f>L17/PIB_Nominal!L$6</f>
        <v>7.6521775952043142E-3</v>
      </c>
    </row>
    <row r="18" spans="1:54" ht="15.75" thickBot="1">
      <c r="B18" s="6"/>
      <c r="C18" s="18" t="s">
        <v>656</v>
      </c>
      <c r="D18" s="7">
        <v>10</v>
      </c>
      <c r="E18" s="7">
        <v>12</v>
      </c>
      <c r="F18" s="7">
        <v>9</v>
      </c>
      <c r="G18" s="7">
        <v>11</v>
      </c>
      <c r="H18" s="7">
        <v>10</v>
      </c>
      <c r="I18" s="7">
        <v>13</v>
      </c>
      <c r="J18" s="7">
        <v>12</v>
      </c>
      <c r="K18" s="7">
        <v>13.316821916981009</v>
      </c>
      <c r="L18" s="398">
        <f>'Hoja-Gob_Exp_Proy.'!I13</f>
        <v>17.156153756481388</v>
      </c>
      <c r="M18" s="8"/>
      <c r="N18" s="695"/>
      <c r="O18" s="695"/>
      <c r="P18" s="706">
        <f>I18/PIB_Nominal!I$6</f>
        <v>6.6914252337203371E-4</v>
      </c>
      <c r="Q18" s="264">
        <f>J18/PIB_Nominal!J$6</f>
        <v>5.6718030543380946E-4</v>
      </c>
      <c r="R18" s="264">
        <f>K18/PIB_Nominal!K$6</f>
        <v>5.6316997450071697E-4</v>
      </c>
      <c r="S18" s="707">
        <f>L18/PIB_Nominal!L$6</f>
        <v>6.424139154441313E-4</v>
      </c>
    </row>
    <row r="19" spans="1:54" ht="15.75" thickBot="1">
      <c r="B19" s="6"/>
      <c r="C19" s="18" t="s">
        <v>657</v>
      </c>
      <c r="D19" s="7">
        <v>436.70209999999997</v>
      </c>
      <c r="E19" s="7">
        <v>419.64229999999998</v>
      </c>
      <c r="F19" s="7">
        <v>340.08580000000001</v>
      </c>
      <c r="G19" s="7">
        <v>360.10669999999999</v>
      </c>
      <c r="H19" s="7">
        <v>401.54110000000009</v>
      </c>
      <c r="I19" s="7">
        <v>449.37810000000007</v>
      </c>
      <c r="J19" s="7">
        <v>471.5865</v>
      </c>
      <c r="K19" s="7">
        <v>818.90264427168449</v>
      </c>
      <c r="L19" s="397">
        <f>L20+L21</f>
        <v>1402.5717558789522</v>
      </c>
      <c r="M19" s="8"/>
      <c r="N19" s="695"/>
      <c r="O19" s="695"/>
      <c r="P19" s="706">
        <f>I19/PIB_Nominal!I$6</f>
        <v>2.3130615060163857E-2</v>
      </c>
      <c r="Q19" s="264">
        <f>J19/PIB_Nominal!J$6</f>
        <v>2.2289547925705099E-2</v>
      </c>
      <c r="R19" s="264">
        <f>K19/PIB_Nominal!K$6</f>
        <v>3.463148971790158E-2</v>
      </c>
      <c r="S19" s="707">
        <f>L19/PIB_Nominal!L$6</f>
        <v>5.251944148875147E-2</v>
      </c>
    </row>
    <row r="20" spans="1:54" ht="15.75" thickBot="1">
      <c r="B20" s="6"/>
      <c r="C20" s="19" t="s">
        <v>658</v>
      </c>
      <c r="D20" s="24">
        <v>349.45429999999999</v>
      </c>
      <c r="E20" s="24">
        <v>331.66379999999998</v>
      </c>
      <c r="F20" s="24">
        <v>255.3287</v>
      </c>
      <c r="G20" s="24">
        <v>280.63900000000001</v>
      </c>
      <c r="H20" s="24">
        <v>336.63880000000006</v>
      </c>
      <c r="I20" s="24">
        <v>390.87650000000008</v>
      </c>
      <c r="J20" s="24">
        <v>424.5849</v>
      </c>
      <c r="K20" s="7">
        <v>762.44565812290705</v>
      </c>
      <c r="L20" s="398">
        <f>'Hoja-Gob_Exp_Proy.'!I25</f>
        <v>1330.5556409034207</v>
      </c>
      <c r="M20" s="8"/>
      <c r="N20" s="695"/>
      <c r="O20" s="695"/>
      <c r="P20" s="706">
        <f>I20/PIB_Nominal!I$6</f>
        <v>2.0119391348986829E-2</v>
      </c>
      <c r="Q20" s="264">
        <f>J20/PIB_Nominal!J$6</f>
        <v>2.0068016105381954E-2</v>
      </c>
      <c r="R20" s="264">
        <f>K20/PIB_Nominal!K$6</f>
        <v>3.2243917093741838E-2</v>
      </c>
      <c r="S20" s="707">
        <f>L20/PIB_Nominal!L$6</f>
        <v>4.9822790767780407E-2</v>
      </c>
    </row>
    <row r="21" spans="1:54" ht="15.75" thickBot="1">
      <c r="B21" s="6"/>
      <c r="C21" s="19" t="s">
        <v>659</v>
      </c>
      <c r="D21" s="7">
        <v>87.247799999999984</v>
      </c>
      <c r="E21" s="7">
        <v>87.978499999999983</v>
      </c>
      <c r="F21" s="7">
        <v>84.757099999999994</v>
      </c>
      <c r="G21" s="7">
        <v>79.467699999999994</v>
      </c>
      <c r="H21" s="7">
        <v>64.902300000000011</v>
      </c>
      <c r="I21" s="7">
        <v>58.501599999999996</v>
      </c>
      <c r="J21" s="7">
        <v>47.001599999999996</v>
      </c>
      <c r="K21" s="7">
        <v>56.456986148777396</v>
      </c>
      <c r="L21" s="397">
        <f>'Hoja-Gob_Exp_Proy.'!I16</f>
        <v>72.016114975531636</v>
      </c>
      <c r="M21" s="8"/>
      <c r="N21" s="695"/>
      <c r="O21" s="695"/>
      <c r="P21" s="706">
        <f>I21/PIB_Nominal!I$6</f>
        <v>3.0112237111770278E-3</v>
      </c>
      <c r="Q21" s="264">
        <f>J21/PIB_Nominal!J$6</f>
        <v>2.221531820323145E-3</v>
      </c>
      <c r="R21" s="264">
        <f>K21/PIB_Nominal!K$6</f>
        <v>2.387572624159741E-3</v>
      </c>
      <c r="S21" s="707">
        <f>L21/PIB_Nominal!L$6</f>
        <v>2.6966507209710672E-3</v>
      </c>
    </row>
    <row r="22" spans="1:54" ht="15.75" thickBot="1">
      <c r="B22" s="6"/>
      <c r="C22" s="214" t="s">
        <v>660</v>
      </c>
      <c r="D22" s="7">
        <v>590.07680000000005</v>
      </c>
      <c r="E22" s="7">
        <v>777.44709999999998</v>
      </c>
      <c r="F22" s="7">
        <v>1042.2689</v>
      </c>
      <c r="G22" s="7">
        <v>1246.8462000000002</v>
      </c>
      <c r="H22" s="7">
        <v>1758.4533000000001</v>
      </c>
      <c r="I22" s="7">
        <v>1669.5427000000002</v>
      </c>
      <c r="J22" s="7">
        <v>1946.3238000000001</v>
      </c>
      <c r="K22" s="7">
        <v>2159.903953115147</v>
      </c>
      <c r="L22" s="398">
        <f>'Hoja-Gob_Exp_Proy.'!I28</f>
        <v>2782.6191977249277</v>
      </c>
      <c r="M22" s="8"/>
      <c r="N22" s="695"/>
      <c r="O22" s="695"/>
      <c r="P22" s="706">
        <f>I22/PIB_Nominal!I$6</f>
        <v>8.5935539627335258E-2</v>
      </c>
      <c r="Q22" s="264">
        <f>J22/PIB_Nominal!J$6</f>
        <v>9.1993043946424408E-2</v>
      </c>
      <c r="R22" s="264">
        <f>K22/PIB_Nominal!K$6</f>
        <v>9.1342593734678221E-2</v>
      </c>
      <c r="S22" s="707">
        <f>L22/PIB_Nominal!L$6</f>
        <v>0.10419545775667503</v>
      </c>
    </row>
    <row r="23" spans="1:54" ht="15.75" thickBot="1">
      <c r="B23" s="6"/>
      <c r="C23" s="214" t="s">
        <v>651</v>
      </c>
      <c r="D23" s="7">
        <v>15.859900000000001</v>
      </c>
      <c r="E23" s="7">
        <v>3.7771999999999997</v>
      </c>
      <c r="F23" s="7">
        <v>7.5813199999999998</v>
      </c>
      <c r="G23" s="7">
        <v>26.0885</v>
      </c>
      <c r="H23" s="7">
        <v>30.168299999999999</v>
      </c>
      <c r="I23" s="7">
        <v>29.588799999999999</v>
      </c>
      <c r="J23" s="7">
        <v>15.3073</v>
      </c>
      <c r="K23" s="7">
        <v>16.98704901081695</v>
      </c>
      <c r="L23" s="397">
        <f>'Hoja-Gob_Exp_Proy.'!I29</f>
        <v>21.884532699715631</v>
      </c>
      <c r="M23" s="8"/>
      <c r="N23" s="695"/>
      <c r="O23" s="695"/>
      <c r="P23" s="706">
        <f>I23/PIB_Nominal!I$6</f>
        <v>1.5230095611961868E-3</v>
      </c>
      <c r="Q23" s="264">
        <f>J23/PIB_Nominal!J$6</f>
        <v>7.2349992411391262E-4</v>
      </c>
      <c r="R23" s="264">
        <f>K23/PIB_Nominal!K$6</f>
        <v>7.1838431255623542E-4</v>
      </c>
      <c r="S23" s="707">
        <f>L23/PIB_Nominal!L$6</f>
        <v>8.1946854398982937E-4</v>
      </c>
    </row>
    <row r="24" spans="1:54" ht="15.75" thickBot="1">
      <c r="B24" s="6"/>
      <c r="C24" s="18" t="s">
        <v>661</v>
      </c>
      <c r="D24" s="7">
        <v>100.5453</v>
      </c>
      <c r="E24" s="7">
        <v>112.78670000000001</v>
      </c>
      <c r="F24" s="7">
        <v>135.8021</v>
      </c>
      <c r="G24" s="7">
        <v>177.9289</v>
      </c>
      <c r="H24" s="7">
        <v>215.34909999999996</v>
      </c>
      <c r="I24" s="7">
        <v>245.40250000000003</v>
      </c>
      <c r="J24" s="7">
        <v>267.02770000000004</v>
      </c>
      <c r="K24" s="7">
        <v>296.33002731675253</v>
      </c>
      <c r="L24" s="398">
        <f>'Hoja-Gob_Exp_Proy.'!I30</f>
        <v>381.76402320329885</v>
      </c>
      <c r="M24" s="8"/>
      <c r="N24" s="695"/>
      <c r="O24" s="695"/>
      <c r="P24" s="706">
        <f>I24/PIB_Nominal!I$6</f>
        <v>1.2631480622446577E-2</v>
      </c>
      <c r="Q24" s="264">
        <f>J24/PIB_Nominal!J$6</f>
        <v>1.2621071037107306E-2</v>
      </c>
      <c r="R24" s="264">
        <f>K24/PIB_Nominal!K$6</f>
        <v>1.2531831916665428E-2</v>
      </c>
      <c r="S24" s="707">
        <f>L24/PIB_Nominal!L$6</f>
        <v>1.4295192524086741E-2</v>
      </c>
    </row>
    <row r="25" spans="1:54" ht="15.75" thickBot="1">
      <c r="B25" s="5"/>
      <c r="C25" s="18" t="s">
        <v>662</v>
      </c>
      <c r="D25" s="7">
        <v>0</v>
      </c>
      <c r="E25" s="7">
        <v>0</v>
      </c>
      <c r="F25" s="7">
        <v>0</v>
      </c>
      <c r="G25" s="7">
        <v>0</v>
      </c>
      <c r="H25" s="7">
        <v>0</v>
      </c>
      <c r="I25" s="7">
        <v>0</v>
      </c>
      <c r="J25" s="7">
        <v>0</v>
      </c>
      <c r="K25" s="7">
        <v>0</v>
      </c>
      <c r="L25" s="420">
        <f>'Hoja-Gob_Exp_Proy.'!I31</f>
        <v>0</v>
      </c>
      <c r="M25" s="8"/>
      <c r="N25" s="695"/>
      <c r="O25" s="695"/>
      <c r="P25" s="706">
        <f>I25/PIB_Nominal!I$6</f>
        <v>0</v>
      </c>
      <c r="Q25" s="264">
        <f>J25/PIB_Nominal!J$6</f>
        <v>0</v>
      </c>
      <c r="R25" s="264">
        <f>K25/PIB_Nominal!K$6</f>
        <v>0</v>
      </c>
      <c r="S25" s="707">
        <f>L25/PIB_Nominal!L$6</f>
        <v>0</v>
      </c>
    </row>
    <row r="26" spans="1:54" s="1" customFormat="1" ht="15" customHeight="1" thickBot="1">
      <c r="B26" s="30"/>
      <c r="C26" s="29"/>
      <c r="D26" s="25"/>
      <c r="E26" s="25"/>
      <c r="F26" s="25"/>
      <c r="G26" s="25"/>
      <c r="H26" s="25"/>
      <c r="I26" s="25"/>
      <c r="J26" s="25"/>
      <c r="K26" s="24"/>
      <c r="L26" s="7"/>
      <c r="M26" s="32"/>
      <c r="P26" s="706"/>
      <c r="Q26" s="264"/>
      <c r="R26" s="264" t="s">
        <v>410</v>
      </c>
      <c r="S26" s="707"/>
    </row>
    <row r="27" spans="1:54" ht="15.75" thickBot="1">
      <c r="B27" s="5"/>
      <c r="C27" s="21" t="s">
        <v>663</v>
      </c>
      <c r="D27" s="7">
        <v>-105.75990000000024</v>
      </c>
      <c r="E27" s="7">
        <v>105.74340999999959</v>
      </c>
      <c r="F27" s="7">
        <v>146.95478000000094</v>
      </c>
      <c r="G27" s="7">
        <v>-501.92140000000063</v>
      </c>
      <c r="H27" s="7">
        <v>-939.82969999999978</v>
      </c>
      <c r="I27" s="7">
        <v>-786.88480000000118</v>
      </c>
      <c r="J27" s="7">
        <v>-963.67839999999933</v>
      </c>
      <c r="K27" s="7">
        <v>-1848.9848108242304</v>
      </c>
      <c r="L27" s="398">
        <f>L5-L15</f>
        <v>-3318.9393051960533</v>
      </c>
      <c r="M27" s="8"/>
      <c r="N27" s="221">
        <f>'Hoja-Gob_Exp_Proy.'!I33</f>
        <v>-3318.9393051960533</v>
      </c>
      <c r="O27" s="695"/>
      <c r="P27" s="706">
        <f>I27/PIB_Nominal!I$6</f>
        <v>-4.0502929282699912E-2</v>
      </c>
      <c r="Q27" s="264">
        <f>J27/PIB_Nominal!J$6</f>
        <v>-4.5548284104330372E-2</v>
      </c>
      <c r="R27" s="264">
        <f>K27/PIB_Nominal!K$6</f>
        <v>-7.8193786419587505E-2</v>
      </c>
      <c r="S27" s="707">
        <f>L27/PIB_Nominal!L$6</f>
        <v>-0.12427801851373169</v>
      </c>
    </row>
    <row r="28" spans="1:54">
      <c r="B28" s="5"/>
      <c r="C28" s="21"/>
      <c r="D28" s="7"/>
      <c r="E28" s="7"/>
      <c r="F28" s="7"/>
      <c r="G28" s="7"/>
      <c r="H28" s="7"/>
      <c r="I28" s="7"/>
      <c r="J28" s="7"/>
      <c r="K28" s="7"/>
      <c r="L28" s="696"/>
      <c r="M28" s="8"/>
      <c r="N28" s="221"/>
      <c r="O28" s="695"/>
      <c r="P28" s="708"/>
      <c r="Q28" s="7"/>
      <c r="R28" s="7" t="s">
        <v>410</v>
      </c>
      <c r="S28" s="8"/>
    </row>
    <row r="29" spans="1:54">
      <c r="B29" s="5"/>
      <c r="C29" s="21" t="s">
        <v>664</v>
      </c>
      <c r="D29" s="7">
        <v>15.297899999999998</v>
      </c>
      <c r="E29" s="7">
        <v>28.174199999999999</v>
      </c>
      <c r="F29" s="7">
        <v>52.451399999999992</v>
      </c>
      <c r="G29" s="7">
        <v>71.119600000000005</v>
      </c>
      <c r="H29" s="7">
        <v>54.3857</v>
      </c>
      <c r="I29" s="7">
        <v>59.055800000000005</v>
      </c>
      <c r="J29" s="7">
        <v>39.501100000000008</v>
      </c>
      <c r="K29" s="7">
        <v>30.852498839947121</v>
      </c>
      <c r="L29" s="696">
        <f>L30-L31-L33</f>
        <v>32.729353720947117</v>
      </c>
      <c r="M29" s="8"/>
      <c r="N29" s="2"/>
      <c r="O29" s="695"/>
      <c r="P29" s="706">
        <f>I29/PIB_Nominal!I$6</f>
        <v>3.0397497716733962E-3</v>
      </c>
      <c r="Q29" s="264">
        <f>J29/PIB_Nominal!J$6</f>
        <v>1.867020496914288E-3</v>
      </c>
      <c r="R29" s="264">
        <f>K29/PIB_Nominal!K$6</f>
        <v>1.3047558263747862E-3</v>
      </c>
      <c r="S29" s="707">
        <f>L29/PIB_Nominal!L$6</f>
        <v>1.2255539657824699E-3</v>
      </c>
    </row>
    <row r="30" spans="1:54">
      <c r="B30" s="5"/>
      <c r="C30" s="18" t="s">
        <v>665</v>
      </c>
      <c r="D30" s="7">
        <v>60.297899999999998</v>
      </c>
      <c r="E30" s="7">
        <v>57.174199999999999</v>
      </c>
      <c r="F30" s="7">
        <v>65.451399999999992</v>
      </c>
      <c r="G30" s="7">
        <v>87.119600000000005</v>
      </c>
      <c r="H30" s="7">
        <v>68.3857</v>
      </c>
      <c r="I30" s="7">
        <v>72.055800000000005</v>
      </c>
      <c r="J30" s="7">
        <v>86.501100000000008</v>
      </c>
      <c r="K30" s="7">
        <v>44.16932075692813</v>
      </c>
      <c r="L30" s="696">
        <f>'Hoja-Gob_Exp_Proy.'!I35</f>
        <v>49.885507477428504</v>
      </c>
      <c r="M30" s="8"/>
      <c r="N30" s="221">
        <f>'Hoja-Gob_Exp_Proy.'!I35</f>
        <v>49.885507477428504</v>
      </c>
      <c r="O30" s="695"/>
      <c r="P30" s="706">
        <f>I30/PIB_Nominal!I$6</f>
        <v>3.7088922950454296E-3</v>
      </c>
      <c r="Q30" s="264">
        <f>J30/PIB_Nominal!J$6</f>
        <v>4.088476693196709E-3</v>
      </c>
      <c r="R30" s="264">
        <f>K30/PIB_Nominal!K$6</f>
        <v>1.8679258008755032E-3</v>
      </c>
      <c r="S30" s="707">
        <f>L30/PIB_Nominal!L$6</f>
        <v>1.8679678812266013E-3</v>
      </c>
    </row>
    <row r="31" spans="1:54" s="248" customFormat="1">
      <c r="A31" s="2"/>
      <c r="B31" s="5"/>
      <c r="C31" s="18" t="s">
        <v>666</v>
      </c>
      <c r="D31" s="7">
        <v>35</v>
      </c>
      <c r="E31" s="7">
        <v>17</v>
      </c>
      <c r="F31" s="7">
        <v>4</v>
      </c>
      <c r="G31" s="7">
        <v>5</v>
      </c>
      <c r="H31" s="7">
        <v>4</v>
      </c>
      <c r="I31" s="7">
        <v>0</v>
      </c>
      <c r="J31" s="7">
        <v>35</v>
      </c>
      <c r="K31" s="7">
        <v>0</v>
      </c>
      <c r="L31" s="696">
        <v>0</v>
      </c>
      <c r="M31" s="8"/>
      <c r="N31" s="221"/>
      <c r="O31" s="695"/>
      <c r="P31" s="706">
        <f>I31/PIB_Nominal!I$6</f>
        <v>0</v>
      </c>
      <c r="Q31" s="264">
        <f>J31/PIB_Nominal!J$6</f>
        <v>1.654275890848611E-3</v>
      </c>
      <c r="R31" s="264">
        <f>K31/PIB_Nominal!K$6</f>
        <v>0</v>
      </c>
      <c r="S31" s="707">
        <f>L31/PIB_Nominal!L$6</f>
        <v>0</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row>
    <row r="32" spans="1:54" s="248" customFormat="1">
      <c r="A32" s="2"/>
      <c r="B32" s="5"/>
      <c r="C32" s="19" t="s">
        <v>667</v>
      </c>
      <c r="D32" s="7">
        <v>29</v>
      </c>
      <c r="E32" s="7">
        <v>13</v>
      </c>
      <c r="F32" s="7">
        <v>0</v>
      </c>
      <c r="G32" s="7">
        <v>0</v>
      </c>
      <c r="H32" s="7">
        <v>0</v>
      </c>
      <c r="I32" s="7">
        <v>0</v>
      </c>
      <c r="J32" s="7">
        <v>27</v>
      </c>
      <c r="K32" s="7">
        <v>0</v>
      </c>
      <c r="L32" s="696">
        <v>0</v>
      </c>
      <c r="M32" s="8"/>
      <c r="N32" s="221"/>
      <c r="O32" s="695"/>
      <c r="P32" s="706">
        <f>I32/PIB_Nominal!I$6</f>
        <v>0</v>
      </c>
      <c r="Q32" s="264">
        <f>J32/PIB_Nominal!J$6</f>
        <v>1.2761556872260714E-3</v>
      </c>
      <c r="R32" s="264">
        <f>K32/PIB_Nominal!K$6</f>
        <v>0</v>
      </c>
      <c r="S32" s="707">
        <f>L32/PIB_Nominal!L$6</f>
        <v>0</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ht="15.75" thickBot="1">
      <c r="B33" s="5"/>
      <c r="C33" s="18" t="s">
        <v>656</v>
      </c>
      <c r="D33" s="7">
        <v>10</v>
      </c>
      <c r="E33" s="7">
        <v>12</v>
      </c>
      <c r="F33" s="7">
        <v>9</v>
      </c>
      <c r="G33" s="7">
        <v>11</v>
      </c>
      <c r="H33" s="7">
        <v>10</v>
      </c>
      <c r="I33" s="7">
        <v>13</v>
      </c>
      <c r="J33" s="7">
        <v>12</v>
      </c>
      <c r="K33" s="7">
        <v>13.316821916981009</v>
      </c>
      <c r="L33" s="696">
        <f>L18</f>
        <v>17.156153756481388</v>
      </c>
      <c r="M33" s="8"/>
      <c r="N33" s="221"/>
      <c r="O33" s="695"/>
      <c r="P33" s="709">
        <f>I33/PIB_Nominal!I$6</f>
        <v>6.6914252337203371E-4</v>
      </c>
      <c r="Q33" s="710">
        <f>J33/PIB_Nominal!J$6</f>
        <v>5.6718030543380946E-4</v>
      </c>
      <c r="R33" s="710">
        <f>K33/PIB_Nominal!K$6</f>
        <v>5.6316997450071697E-4</v>
      </c>
      <c r="S33" s="711">
        <f>L33/PIB_Nominal!L$6</f>
        <v>6.424139154441313E-4</v>
      </c>
    </row>
    <row r="34" spans="1:54" ht="15.75" thickBot="1">
      <c r="B34" s="5"/>
      <c r="C34" s="18"/>
      <c r="D34" s="7"/>
      <c r="E34" s="7"/>
      <c r="F34" s="7"/>
      <c r="G34" s="7"/>
      <c r="H34" s="7"/>
      <c r="I34" s="7"/>
      <c r="J34" s="7"/>
      <c r="K34" s="7"/>
      <c r="L34" s="696"/>
      <c r="M34" s="8"/>
      <c r="N34" s="221"/>
      <c r="O34" s="695"/>
      <c r="P34" s="695"/>
      <c r="Q34" s="695"/>
      <c r="R34" s="695"/>
      <c r="S34" s="695"/>
    </row>
    <row r="35" spans="1:54" ht="15.75" thickBot="1">
      <c r="B35" s="5"/>
      <c r="C35" s="23" t="s">
        <v>668</v>
      </c>
      <c r="D35" s="7">
        <v>-121.05780000000024</v>
      </c>
      <c r="E35" s="7">
        <v>77.5692099999996</v>
      </c>
      <c r="F35" s="7">
        <v>94.503380000000945</v>
      </c>
      <c r="G35" s="7">
        <v>-573.04100000000062</v>
      </c>
      <c r="H35" s="7">
        <v>-994.21539999999936</v>
      </c>
      <c r="I35" s="7">
        <v>-845.94060000000115</v>
      </c>
      <c r="J35" s="7">
        <v>-1003.1794999999993</v>
      </c>
      <c r="K35" s="7">
        <v>-1879.8373096641776</v>
      </c>
      <c r="L35" s="398">
        <f>L36-L43</f>
        <v>-3351.6686589170004</v>
      </c>
      <c r="M35" s="8"/>
      <c r="N35" s="221">
        <f>'Hoja-Gob_Exp_Proy.'!I37</f>
        <v>3351.6686589170004</v>
      </c>
      <c r="O35" s="695"/>
      <c r="P35" s="695"/>
      <c r="Q35" s="695"/>
      <c r="R35" s="695"/>
      <c r="S35" s="695"/>
    </row>
    <row r="36" spans="1:54" ht="15.75" thickBot="1">
      <c r="B36" s="5"/>
      <c r="C36" s="18" t="s">
        <v>669</v>
      </c>
      <c r="D36" s="7">
        <v>-295</v>
      </c>
      <c r="E36" s="7">
        <v>-268</v>
      </c>
      <c r="F36" s="7">
        <v>91.904699999999991</v>
      </c>
      <c r="G36" s="7">
        <v>40</v>
      </c>
      <c r="H36" s="7">
        <v>-10</v>
      </c>
      <c r="I36" s="7">
        <v>-34</v>
      </c>
      <c r="J36" s="7">
        <v>-126</v>
      </c>
      <c r="K36" s="7">
        <v>0</v>
      </c>
      <c r="L36" s="398">
        <f>L37+L42</f>
        <v>0</v>
      </c>
      <c r="M36" s="8"/>
      <c r="N36" s="221"/>
      <c r="O36" s="695"/>
      <c r="P36" s="695"/>
      <c r="Q36" s="695"/>
      <c r="R36" s="695"/>
      <c r="S36" s="695"/>
    </row>
    <row r="37" spans="1:54">
      <c r="B37" s="5"/>
      <c r="C37" s="19" t="s">
        <v>670</v>
      </c>
      <c r="D37" s="7">
        <v>-297</v>
      </c>
      <c r="E37" s="7">
        <v>-265</v>
      </c>
      <c r="F37" s="7">
        <v>86.904699999999991</v>
      </c>
      <c r="G37" s="7">
        <v>39</v>
      </c>
      <c r="H37" s="7">
        <v>-12</v>
      </c>
      <c r="I37" s="7">
        <v>-30</v>
      </c>
      <c r="J37" s="7">
        <v>-132</v>
      </c>
      <c r="K37" s="7">
        <v>0</v>
      </c>
      <c r="L37" s="7">
        <v>0</v>
      </c>
      <c r="M37" s="8"/>
      <c r="N37" s="221"/>
      <c r="O37" s="695"/>
      <c r="P37" s="695"/>
      <c r="Q37" s="695"/>
      <c r="R37" s="695"/>
      <c r="S37" s="695"/>
    </row>
    <row r="38" spans="1:54">
      <c r="B38" s="5"/>
      <c r="C38" s="27" t="s">
        <v>671</v>
      </c>
      <c r="D38" s="7">
        <v>-10</v>
      </c>
      <c r="E38" s="7">
        <v>-2</v>
      </c>
      <c r="F38" s="7">
        <v>5</v>
      </c>
      <c r="G38" s="7">
        <v>2</v>
      </c>
      <c r="H38" s="7">
        <v>-25</v>
      </c>
      <c r="I38" s="7">
        <v>-30</v>
      </c>
      <c r="J38" s="7">
        <v>-47</v>
      </c>
      <c r="K38" s="7">
        <v>0</v>
      </c>
      <c r="L38" s="7">
        <v>0</v>
      </c>
      <c r="M38" s="8"/>
      <c r="N38" s="221"/>
      <c r="O38" s="695"/>
      <c r="P38" s="695"/>
      <c r="Q38" s="695"/>
      <c r="R38" s="695"/>
      <c r="S38" s="695"/>
      <c r="T38" s="250"/>
    </row>
    <row r="39" spans="1:54" s="248" customFormat="1">
      <c r="A39" s="2"/>
      <c r="B39" s="5"/>
      <c r="C39" s="27" t="s">
        <v>672</v>
      </c>
      <c r="D39" s="7">
        <v>-287</v>
      </c>
      <c r="E39" s="7">
        <v>-263</v>
      </c>
      <c r="F39" s="7">
        <v>81.904699999999991</v>
      </c>
      <c r="G39" s="7">
        <v>37</v>
      </c>
      <c r="H39" s="7">
        <v>13</v>
      </c>
      <c r="I39" s="7">
        <v>0</v>
      </c>
      <c r="J39" s="7">
        <v>-85</v>
      </c>
      <c r="K39" s="7">
        <v>0</v>
      </c>
      <c r="L39" s="7">
        <v>0</v>
      </c>
      <c r="M39" s="8"/>
      <c r="N39" s="221"/>
      <c r="O39" s="695"/>
      <c r="P39" s="695"/>
      <c r="Q39" s="695"/>
      <c r="R39" s="695"/>
      <c r="S39" s="695"/>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s="248" customFormat="1">
      <c r="A40" s="2"/>
      <c r="B40" s="5"/>
      <c r="C40" s="209" t="s">
        <v>673</v>
      </c>
      <c r="D40" s="7">
        <v>322</v>
      </c>
      <c r="E40" s="7">
        <v>310</v>
      </c>
      <c r="F40" s="7">
        <v>0</v>
      </c>
      <c r="G40" s="7">
        <v>0</v>
      </c>
      <c r="H40" s="7">
        <v>43</v>
      </c>
      <c r="I40" s="7">
        <v>61</v>
      </c>
      <c r="J40" s="7">
        <v>160</v>
      </c>
      <c r="K40" s="7">
        <v>0</v>
      </c>
      <c r="L40" s="7">
        <v>0</v>
      </c>
      <c r="M40" s="8"/>
      <c r="N40" s="221"/>
      <c r="O40" s="695"/>
      <c r="P40" s="695"/>
      <c r="Q40" s="695"/>
      <c r="R40" s="695"/>
      <c r="S40" s="695"/>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s="248" customFormat="1">
      <c r="A41" s="2"/>
      <c r="B41" s="5"/>
      <c r="C41" s="209" t="s">
        <v>674</v>
      </c>
      <c r="D41" s="7">
        <v>27</v>
      </c>
      <c r="E41" s="7">
        <v>35</v>
      </c>
      <c r="F41" s="7">
        <v>9</v>
      </c>
      <c r="G41" s="7">
        <v>13</v>
      </c>
      <c r="H41" s="7">
        <v>37</v>
      </c>
      <c r="I41" s="7">
        <v>43</v>
      </c>
      <c r="J41" s="7">
        <v>51</v>
      </c>
      <c r="K41" s="7">
        <v>0</v>
      </c>
      <c r="L41" s="7">
        <v>0</v>
      </c>
      <c r="M41" s="8"/>
      <c r="N41" s="221"/>
      <c r="O41" s="695"/>
      <c r="P41" s="695"/>
      <c r="Q41" s="695"/>
      <c r="R41" s="695"/>
      <c r="S41" s="695"/>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ht="15.75" thickBot="1">
      <c r="B42" s="5"/>
      <c r="C42" s="19" t="s">
        <v>675</v>
      </c>
      <c r="D42" s="7">
        <v>2</v>
      </c>
      <c r="E42" s="7">
        <v>-3</v>
      </c>
      <c r="F42" s="7">
        <v>5</v>
      </c>
      <c r="G42" s="7">
        <v>1</v>
      </c>
      <c r="H42" s="7">
        <v>2</v>
      </c>
      <c r="I42" s="7">
        <v>-4</v>
      </c>
      <c r="J42" s="7">
        <v>6</v>
      </c>
      <c r="K42" s="7">
        <v>0</v>
      </c>
      <c r="L42" s="7">
        <v>0</v>
      </c>
      <c r="M42" s="8"/>
      <c r="N42" s="221"/>
      <c r="O42" s="695"/>
      <c r="P42" s="695"/>
      <c r="Q42" s="695"/>
      <c r="R42" s="695"/>
      <c r="S42" s="695"/>
    </row>
    <row r="43" spans="1:54" ht="15.75" thickBot="1">
      <c r="B43" s="5"/>
      <c r="C43" s="18" t="s">
        <v>328</v>
      </c>
      <c r="D43" s="7">
        <v>-173.94219999999976</v>
      </c>
      <c r="E43" s="7">
        <v>-345.5692099999996</v>
      </c>
      <c r="F43" s="7">
        <v>-2.5986800000009538</v>
      </c>
      <c r="G43" s="7">
        <v>613.04100000000062</v>
      </c>
      <c r="H43" s="7">
        <v>984.21539999999936</v>
      </c>
      <c r="I43" s="7">
        <v>811.94060000000115</v>
      </c>
      <c r="J43" s="7">
        <v>877.17949999999928</v>
      </c>
      <c r="K43" s="7">
        <v>1879.8373096641776</v>
      </c>
      <c r="L43" s="398">
        <f>L44+L47</f>
        <v>3351.6686589170004</v>
      </c>
      <c r="M43" s="8"/>
      <c r="N43" s="221"/>
      <c r="O43" s="695"/>
      <c r="P43" s="695"/>
      <c r="Q43" s="695"/>
      <c r="R43" s="695"/>
      <c r="S43" s="695"/>
    </row>
    <row r="44" spans="1:54" ht="15.75" thickBot="1">
      <c r="B44" s="5"/>
      <c r="C44" s="19" t="s">
        <v>670</v>
      </c>
      <c r="D44" s="7">
        <v>-185.30285749999976</v>
      </c>
      <c r="E44" s="7">
        <v>-415.48144249999956</v>
      </c>
      <c r="F44" s="7">
        <v>47.345084999999031</v>
      </c>
      <c r="G44" s="7">
        <v>577.97632900000053</v>
      </c>
      <c r="H44" s="7">
        <v>764.48166499999934</v>
      </c>
      <c r="I44" s="7">
        <v>940.41711500000133</v>
      </c>
      <c r="J44" s="7">
        <v>592.23031093406746</v>
      </c>
      <c r="K44" s="7">
        <v>1594.8881205982457</v>
      </c>
      <c r="L44" s="7">
        <f>-L27+L29-L47</f>
        <v>3051.6686589170004</v>
      </c>
      <c r="M44" s="8"/>
      <c r="N44" s="221">
        <f>'Hoja-Gob_Exp_Proy.'!I39</f>
        <v>3051.6686589170004</v>
      </c>
      <c r="O44" s="695"/>
      <c r="Q44" s="695"/>
      <c r="R44" s="695"/>
      <c r="S44" s="695"/>
    </row>
    <row r="45" spans="1:54" ht="15.75" thickBot="1">
      <c r="B45" s="5"/>
      <c r="C45" s="27" t="s">
        <v>676</v>
      </c>
      <c r="D45" s="7">
        <v>-131.39650726686148</v>
      </c>
      <c r="E45" s="7">
        <v>-218.43844686443282</v>
      </c>
      <c r="F45" s="7">
        <v>33.138081220213053</v>
      </c>
      <c r="G45" s="7">
        <v>260.60918129403541</v>
      </c>
      <c r="H45" s="7">
        <v>-1.7695620577858335</v>
      </c>
      <c r="I45" s="7">
        <v>196.73287385316496</v>
      </c>
      <c r="J45" s="7">
        <v>177.66909328022024</v>
      </c>
      <c r="K45" s="7">
        <v>478.4664361794737</v>
      </c>
      <c r="L45" s="398">
        <f>0.3*L44</f>
        <v>915.50059767510004</v>
      </c>
      <c r="M45" s="8"/>
      <c r="N45" s="695"/>
      <c r="O45" s="695"/>
      <c r="Q45" s="695"/>
      <c r="R45" s="695"/>
      <c r="S45" s="695"/>
      <c r="T45" s="712"/>
    </row>
    <row r="46" spans="1:54" ht="15.75" thickBot="1">
      <c r="B46" s="5"/>
      <c r="C46" s="27" t="s">
        <v>677</v>
      </c>
      <c r="D46" s="7">
        <v>-53.906350233138284</v>
      </c>
      <c r="E46" s="7">
        <v>-197.04299563556674</v>
      </c>
      <c r="F46" s="7">
        <v>14.207003779785978</v>
      </c>
      <c r="G46" s="7">
        <v>317.36714770596512</v>
      </c>
      <c r="H46" s="7">
        <v>766.25122705778517</v>
      </c>
      <c r="I46" s="7">
        <v>743.68424114683637</v>
      </c>
      <c r="J46" s="7">
        <v>414.56121765384722</v>
      </c>
      <c r="K46" s="7">
        <v>1116.421684418772</v>
      </c>
      <c r="L46" s="7">
        <f>L44-L45</f>
        <v>2136.1680612419004</v>
      </c>
      <c r="M46" s="8"/>
      <c r="N46" s="695"/>
      <c r="O46" s="695"/>
      <c r="Q46" s="695"/>
      <c r="R46" s="695"/>
      <c r="S46" s="695"/>
      <c r="T46" s="712"/>
    </row>
    <row r="47" spans="1:54" ht="15.75" thickBot="1">
      <c r="B47" s="5"/>
      <c r="C47" s="19" t="s">
        <v>675</v>
      </c>
      <c r="D47" s="7">
        <v>11.360657500000002</v>
      </c>
      <c r="E47" s="7">
        <v>69.912232499999959</v>
      </c>
      <c r="F47" s="7">
        <v>-49.943764999999985</v>
      </c>
      <c r="G47" s="7">
        <v>35.064671000000089</v>
      </c>
      <c r="H47" s="7">
        <v>219.73373500000002</v>
      </c>
      <c r="I47" s="7">
        <v>-128.47651500000018</v>
      </c>
      <c r="J47" s="7">
        <v>284.94918906593182</v>
      </c>
      <c r="K47" s="7">
        <v>284.94918906593182</v>
      </c>
      <c r="L47" s="398">
        <v>300</v>
      </c>
      <c r="M47" s="8"/>
      <c r="N47" s="695"/>
      <c r="O47" s="695"/>
      <c r="Q47" s="695"/>
      <c r="R47" s="695"/>
      <c r="S47" s="695"/>
    </row>
    <row r="48" spans="1:54">
      <c r="B48" s="5"/>
      <c r="C48" s="18"/>
      <c r="D48" s="7"/>
      <c r="E48" s="7"/>
      <c r="F48" s="7"/>
      <c r="G48" s="7"/>
      <c r="H48" s="7"/>
      <c r="I48" s="7"/>
      <c r="J48" s="7"/>
      <c r="K48" s="7"/>
      <c r="L48" s="7"/>
      <c r="M48" s="8"/>
      <c r="N48" s="695"/>
      <c r="O48" s="695"/>
      <c r="P48" s="695"/>
      <c r="Q48" s="695"/>
      <c r="R48" s="695"/>
      <c r="S48" s="695"/>
    </row>
    <row r="49" spans="1:54" ht="15.75" thickBot="1">
      <c r="B49" s="5"/>
      <c r="C49" s="21" t="s">
        <v>678</v>
      </c>
      <c r="D49" s="7"/>
      <c r="E49" s="7"/>
      <c r="F49" s="7"/>
      <c r="G49" s="7"/>
      <c r="H49" s="7"/>
      <c r="I49" s="7"/>
      <c r="J49" s="7"/>
      <c r="K49" s="7"/>
      <c r="L49" s="7"/>
      <c r="M49" s="8"/>
      <c r="N49" s="695"/>
      <c r="O49" s="695"/>
      <c r="P49" s="695"/>
      <c r="Q49" s="695"/>
      <c r="R49" s="695"/>
      <c r="S49" s="695"/>
    </row>
    <row r="50" spans="1:54" ht="15.75" thickBot="1">
      <c r="B50" s="5"/>
      <c r="C50" s="18" t="s">
        <v>679</v>
      </c>
      <c r="D50" s="7">
        <v>1307.4104000000002</v>
      </c>
      <c r="E50" s="7">
        <v>1579.3161</v>
      </c>
      <c r="F50" s="7">
        <v>2002.9900199999995</v>
      </c>
      <c r="G50" s="7">
        <v>2505.0796000000005</v>
      </c>
      <c r="H50" s="7">
        <v>3268.4554000000003</v>
      </c>
      <c r="I50" s="7">
        <v>3361.3606000000004</v>
      </c>
      <c r="J50" s="7">
        <v>3763.6179999999999</v>
      </c>
      <c r="K50" s="7">
        <v>4655.715590127531</v>
      </c>
      <c r="L50" s="396">
        <f>L15-L19</f>
        <v>5997.9905872904619</v>
      </c>
      <c r="M50" s="8"/>
      <c r="N50" s="356"/>
      <c r="O50" s="356"/>
      <c r="P50" s="695"/>
      <c r="Q50" s="695"/>
      <c r="R50" s="695"/>
      <c r="S50" s="695"/>
    </row>
    <row r="51" spans="1:54" ht="15.75" thickBot="1">
      <c r="B51" s="5"/>
      <c r="C51" s="18" t="s">
        <v>680</v>
      </c>
      <c r="D51" s="7">
        <v>330.94219999999973</v>
      </c>
      <c r="E51" s="7">
        <v>525.38570999999956</v>
      </c>
      <c r="F51" s="7">
        <v>487.04058000000094</v>
      </c>
      <c r="G51" s="7">
        <v>-141.81470000000064</v>
      </c>
      <c r="H51" s="7">
        <v>-538.28859999999963</v>
      </c>
      <c r="I51" s="7">
        <v>-337.5067000000011</v>
      </c>
      <c r="J51" s="7">
        <v>-492.09189999999933</v>
      </c>
      <c r="K51" s="7">
        <v>-1030.0821665525459</v>
      </c>
      <c r="L51" s="398">
        <f>L27+L19</f>
        <v>-1916.3675493171011</v>
      </c>
      <c r="M51" s="8"/>
      <c r="N51" s="695"/>
      <c r="O51" s="695"/>
      <c r="P51" s="695"/>
      <c r="Q51" s="695"/>
      <c r="R51" s="695"/>
      <c r="S51" s="695"/>
    </row>
    <row r="52" spans="1:54" ht="15.75" thickBot="1">
      <c r="B52" s="5"/>
      <c r="C52" s="18" t="s">
        <v>681</v>
      </c>
      <c r="D52" s="7">
        <v>-499.05780000000027</v>
      </c>
      <c r="E52" s="7">
        <v>-280.4307900000004</v>
      </c>
      <c r="F52" s="7">
        <v>85.503380000000945</v>
      </c>
      <c r="G52" s="7">
        <v>-586.04100000000062</v>
      </c>
      <c r="H52" s="7">
        <v>-1074.2153999999994</v>
      </c>
      <c r="I52" s="7">
        <v>-949.94060000000115</v>
      </c>
      <c r="J52" s="7">
        <v>-1241.1794999999993</v>
      </c>
      <c r="K52" s="7">
        <v>-1879.8373096641776</v>
      </c>
      <c r="L52" s="397">
        <f>L35-L32-L40-L41</f>
        <v>-3351.6686589170004</v>
      </c>
      <c r="M52" s="8"/>
      <c r="N52" s="695"/>
      <c r="O52" s="695"/>
      <c r="P52" s="695"/>
      <c r="Q52" s="695"/>
      <c r="R52" s="695"/>
      <c r="S52" s="695"/>
    </row>
    <row r="53" spans="1:54" ht="15.75" thickBot="1">
      <c r="B53" s="5"/>
      <c r="C53" s="18" t="s">
        <v>682</v>
      </c>
      <c r="D53" s="7">
        <v>-62.355700000000297</v>
      </c>
      <c r="E53" s="7">
        <v>139.21150999999958</v>
      </c>
      <c r="F53" s="7">
        <v>425.58918000000097</v>
      </c>
      <c r="G53" s="7">
        <v>-225.93430000000063</v>
      </c>
      <c r="H53" s="7">
        <v>-672.67429999999922</v>
      </c>
      <c r="I53" s="7">
        <v>-500.56250000000108</v>
      </c>
      <c r="J53" s="7">
        <v>-769.59299999999928</v>
      </c>
      <c r="K53" s="7">
        <v>-1060.9346653924931</v>
      </c>
      <c r="L53" s="398">
        <f>L52+L19</f>
        <v>-1949.0969030380481</v>
      </c>
      <c r="M53" s="8"/>
      <c r="N53" s="695"/>
      <c r="O53" s="695"/>
      <c r="P53" s="695"/>
      <c r="Q53" s="695"/>
      <c r="R53" s="695"/>
      <c r="S53" s="695"/>
    </row>
    <row r="54" spans="1:54">
      <c r="B54" s="5"/>
      <c r="C54" s="18"/>
      <c r="D54" s="7"/>
      <c r="E54" s="7"/>
      <c r="F54" s="7"/>
      <c r="G54" s="7"/>
      <c r="H54" s="7"/>
      <c r="I54" s="7"/>
      <c r="J54" s="7"/>
      <c r="K54" s="7"/>
      <c r="L54" s="7"/>
      <c r="M54" s="8"/>
      <c r="N54" s="695"/>
      <c r="O54" s="695"/>
      <c r="P54" s="695"/>
      <c r="Q54" s="695"/>
      <c r="R54" s="695"/>
      <c r="S54" s="695"/>
    </row>
    <row r="55" spans="1:54">
      <c r="B55" s="5"/>
      <c r="C55" s="21" t="s">
        <v>683</v>
      </c>
      <c r="D55" s="7"/>
      <c r="E55" s="7"/>
      <c r="F55" s="7"/>
      <c r="G55" s="7"/>
      <c r="H55" s="7"/>
      <c r="I55" s="7"/>
      <c r="J55" s="7"/>
      <c r="K55" s="7"/>
      <c r="L55" s="7"/>
      <c r="M55" s="8"/>
      <c r="N55" s="695"/>
      <c r="O55" s="695"/>
      <c r="P55" s="695"/>
      <c r="Q55" s="695"/>
      <c r="R55" s="695"/>
      <c r="S55" s="695"/>
    </row>
    <row r="56" spans="1:54">
      <c r="B56" s="5"/>
      <c r="C56" s="18" t="s">
        <v>684</v>
      </c>
      <c r="D56" s="7"/>
      <c r="E56" s="7"/>
      <c r="F56" s="7"/>
      <c r="G56" s="7"/>
      <c r="H56" s="7"/>
      <c r="I56" s="7"/>
      <c r="J56" s="7"/>
      <c r="K56" s="7"/>
      <c r="L56" s="7"/>
      <c r="M56" s="8"/>
      <c r="N56" s="695"/>
      <c r="O56" s="695"/>
      <c r="P56" s="695"/>
      <c r="Q56" s="695"/>
      <c r="R56" s="695"/>
      <c r="S56" s="695"/>
    </row>
    <row r="57" spans="1:54">
      <c r="B57" s="5"/>
      <c r="C57" s="18" t="s">
        <v>685</v>
      </c>
      <c r="D57" s="7"/>
      <c r="E57" s="7"/>
      <c r="F57" s="7"/>
      <c r="G57" s="7"/>
      <c r="H57" s="7"/>
      <c r="I57" s="7"/>
      <c r="J57" s="7"/>
      <c r="K57" s="7"/>
      <c r="L57" s="7"/>
      <c r="M57" s="8"/>
      <c r="N57" s="695"/>
      <c r="O57" s="695"/>
      <c r="P57" s="695"/>
      <c r="Q57" s="695"/>
      <c r="R57" s="695"/>
      <c r="S57" s="695"/>
    </row>
    <row r="58" spans="1:54">
      <c r="B58" s="5"/>
      <c r="C58" s="246"/>
      <c r="D58" s="7"/>
      <c r="E58" s="7"/>
      <c r="F58" s="7"/>
      <c r="G58" s="7"/>
      <c r="H58" s="7"/>
      <c r="I58" s="7"/>
      <c r="J58" s="7"/>
      <c r="K58" s="7"/>
      <c r="L58" s="247"/>
      <c r="M58" s="8"/>
      <c r="N58" s="695"/>
      <c r="O58" s="695"/>
      <c r="P58" s="695"/>
      <c r="Q58" s="695"/>
      <c r="R58" s="695"/>
      <c r="S58" s="695"/>
    </row>
    <row r="59" spans="1:54">
      <c r="B59" s="5"/>
      <c r="C59" s="246" t="s">
        <v>594</v>
      </c>
      <c r="D59" s="7"/>
      <c r="E59" s="7"/>
      <c r="F59" s="7"/>
      <c r="G59" s="7"/>
      <c r="H59" s="7"/>
      <c r="I59" s="7"/>
      <c r="J59" s="7"/>
      <c r="K59" s="7"/>
      <c r="L59" s="247"/>
      <c r="M59" s="8"/>
      <c r="N59" s="695"/>
      <c r="O59" s="695"/>
      <c r="P59" s="695"/>
      <c r="Q59" s="695"/>
      <c r="R59" s="695"/>
      <c r="S59" s="695"/>
    </row>
    <row r="60" spans="1:54">
      <c r="B60" s="5"/>
      <c r="C60" s="246" t="s">
        <v>686</v>
      </c>
      <c r="D60" s="13">
        <f>100*(D11/PIB_Nominal!D6)</f>
        <v>0.30389288080282273</v>
      </c>
      <c r="E60" s="13">
        <f>100*(E11/PIB_Nominal!E6)</f>
        <v>0.29287941349720031</v>
      </c>
      <c r="F60" s="13">
        <f>100*(F11/PIB_Nominal!F6)</f>
        <v>0.29674186246588308</v>
      </c>
      <c r="G60" s="13">
        <f>100*(G11/PIB_Nominal!G6)</f>
        <v>0.34518491662663969</v>
      </c>
      <c r="H60" s="13">
        <f>100*(H11/PIB_Nominal!H6)</f>
        <v>0.34739083020435241</v>
      </c>
      <c r="I60" s="13">
        <f>100*(I11/PIB_Nominal!I6)</f>
        <v>0.34368292395427202</v>
      </c>
      <c r="J60" s="13">
        <f>100*(J11/PIB_Nominal!J6)</f>
        <v>0.35015821456465285</v>
      </c>
      <c r="K60" s="13">
        <f t="shared" ref="K60:L62" si="1">J60</f>
        <v>0.35015821456465285</v>
      </c>
      <c r="L60" s="871">
        <f t="shared" si="1"/>
        <v>0.35015821456465285</v>
      </c>
      <c r="M60" s="8"/>
      <c r="N60" s="695"/>
      <c r="O60" s="695"/>
      <c r="P60" s="695"/>
      <c r="Q60" s="695"/>
      <c r="R60" s="695"/>
      <c r="S60" s="695"/>
    </row>
    <row r="61" spans="1:54">
      <c r="B61" s="5"/>
      <c r="C61" s="246" t="s">
        <v>687</v>
      </c>
      <c r="D61" s="13">
        <f>100*(D12/PIB_Nominal!D$6)</f>
        <v>0.14848941229370927</v>
      </c>
      <c r="E61" s="13">
        <f>100*(E12/PIB_Nominal!E$6)</f>
        <v>0.14031767614775678</v>
      </c>
      <c r="F61" s="13">
        <f>100*(F12/PIB_Nominal!F$6)</f>
        <v>0.17591689570424249</v>
      </c>
      <c r="G61" s="13">
        <f>100*(G12/PIB_Nominal!G$6)</f>
        <v>0.18588926912786552</v>
      </c>
      <c r="H61" s="13">
        <f>100*(H12/PIB_Nominal!H$6)</f>
        <v>0.91506771432103073</v>
      </c>
      <c r="I61" s="13">
        <f>100*(I12/PIB_Nominal!I$6)</f>
        <v>0.8510792871267816</v>
      </c>
      <c r="J61" s="13">
        <f>100*(J12/PIB_Nominal!J$6)</f>
        <v>0.78340125412154094</v>
      </c>
      <c r="K61" s="13">
        <f t="shared" si="1"/>
        <v>0.78340125412154094</v>
      </c>
      <c r="L61" s="871">
        <f t="shared" si="1"/>
        <v>0.78340125412154094</v>
      </c>
      <c r="M61" s="8"/>
      <c r="N61" s="695"/>
      <c r="O61" s="695"/>
      <c r="P61" s="695"/>
      <c r="Q61" s="695"/>
      <c r="R61" s="695"/>
      <c r="S61" s="695"/>
    </row>
    <row r="62" spans="1:54">
      <c r="B62" s="5"/>
      <c r="C62" s="246" t="s">
        <v>688</v>
      </c>
      <c r="D62" s="13">
        <f>100*(D13/PIB_Nominal!D$6)</f>
        <v>0.10048318923471537</v>
      </c>
      <c r="E62" s="13">
        <f>100*(E13/PIB_Nominal!E$6)</f>
        <v>0.15153297317089065</v>
      </c>
      <c r="F62" s="13">
        <f>100*(F13/PIB_Nominal!F$6)</f>
        <v>8.0038346920749764E-2</v>
      </c>
      <c r="G62" s="13">
        <f>100*(G13/PIB_Nominal!G$6)</f>
        <v>0.11016250745906743</v>
      </c>
      <c r="H62" s="13">
        <f>100*(H13/PIB_Nominal!H$6)</f>
        <v>0.15426728605551349</v>
      </c>
      <c r="I62" s="13">
        <f>100*(I13/PIB_Nominal!I$6)</f>
        <v>0.11754517873065728</v>
      </c>
      <c r="J62" s="13">
        <f>100*(J13/PIB_Nominal!J$6)</f>
        <v>0.11642226539487088</v>
      </c>
      <c r="K62" s="13">
        <f t="shared" si="1"/>
        <v>0.11642226539487088</v>
      </c>
      <c r="L62" s="871">
        <f t="shared" si="1"/>
        <v>0.11642226539487088</v>
      </c>
      <c r="M62" s="8"/>
      <c r="N62" s="695"/>
      <c r="O62" s="695"/>
      <c r="P62" s="695"/>
      <c r="Q62" s="695"/>
      <c r="R62" s="695"/>
      <c r="S62" s="695"/>
    </row>
    <row r="63" spans="1:54" s="248" customFormat="1" ht="15.75" thickBot="1">
      <c r="A63" s="2"/>
      <c r="B63" s="10"/>
      <c r="C63" s="868" t="s">
        <v>689</v>
      </c>
      <c r="D63" s="869">
        <f t="shared" ref="D63:K63" si="2">D45-D38</f>
        <v>-121.39650726686148</v>
      </c>
      <c r="E63" s="869">
        <f t="shared" si="2"/>
        <v>-216.43844686443282</v>
      </c>
      <c r="F63" s="869">
        <f t="shared" si="2"/>
        <v>28.138081220213053</v>
      </c>
      <c r="G63" s="869">
        <f t="shared" si="2"/>
        <v>258.60918129403541</v>
      </c>
      <c r="H63" s="869">
        <f t="shared" si="2"/>
        <v>23.230437942214166</v>
      </c>
      <c r="I63" s="869">
        <f t="shared" si="2"/>
        <v>226.73287385316496</v>
      </c>
      <c r="J63" s="869">
        <f t="shared" si="2"/>
        <v>224.66909328022024</v>
      </c>
      <c r="K63" s="869">
        <f t="shared" si="2"/>
        <v>478.4664361794737</v>
      </c>
      <c r="L63" s="870">
        <f>L45-L38</f>
        <v>915.50059767510004</v>
      </c>
      <c r="M63" s="697"/>
      <c r="N63" s="695"/>
      <c r="O63" s="695"/>
      <c r="P63" s="695"/>
      <c r="Q63" s="695"/>
      <c r="R63" s="695"/>
      <c r="S63" s="695"/>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ht="15.75" thickBot="1"/>
    <row r="65" spans="2:22">
      <c r="B65" s="872"/>
      <c r="C65" s="873" t="s">
        <v>690</v>
      </c>
      <c r="D65" s="874">
        <f>D29+D35-D27</f>
        <v>0</v>
      </c>
      <c r="E65" s="874">
        <f t="shared" ref="E65:L65" si="3">E29+E35-E27</f>
        <v>0</v>
      </c>
      <c r="F65" s="874">
        <f t="shared" si="3"/>
        <v>0</v>
      </c>
      <c r="G65" s="874">
        <f t="shared" si="3"/>
        <v>0</v>
      </c>
      <c r="H65" s="874">
        <f t="shared" si="3"/>
        <v>0</v>
      </c>
      <c r="I65" s="874">
        <f t="shared" si="3"/>
        <v>0</v>
      </c>
      <c r="J65" s="874">
        <f t="shared" si="3"/>
        <v>0</v>
      </c>
      <c r="K65" s="874">
        <f t="shared" si="3"/>
        <v>0</v>
      </c>
      <c r="L65" s="874">
        <f t="shared" si="3"/>
        <v>0</v>
      </c>
      <c r="M65" s="875"/>
    </row>
    <row r="66" spans="2:22">
      <c r="B66" s="5"/>
      <c r="C66" s="246"/>
      <c r="D66" s="879">
        <v>2006</v>
      </c>
      <c r="E66" s="879">
        <v>2007</v>
      </c>
      <c r="F66" s="879">
        <v>2008</v>
      </c>
      <c r="G66" s="879">
        <v>2009</v>
      </c>
      <c r="H66" s="879">
        <v>2010</v>
      </c>
      <c r="I66" s="879">
        <v>2011</v>
      </c>
      <c r="J66" s="879">
        <v>2012</v>
      </c>
      <c r="K66" s="879">
        <v>2013</v>
      </c>
      <c r="L66" s="879">
        <v>2014</v>
      </c>
      <c r="M66" s="361"/>
    </row>
    <row r="67" spans="2:22">
      <c r="B67" s="5"/>
      <c r="C67" s="246" t="s">
        <v>691</v>
      </c>
      <c r="D67" s="876">
        <f>D68+D71</f>
        <v>100</v>
      </c>
      <c r="E67" s="876">
        <f t="shared" ref="E67:L67" si="4">E68+E71</f>
        <v>100</v>
      </c>
      <c r="F67" s="876">
        <f t="shared" si="4"/>
        <v>100</v>
      </c>
      <c r="G67" s="876">
        <f t="shared" si="4"/>
        <v>100</v>
      </c>
      <c r="H67" s="876">
        <f t="shared" si="4"/>
        <v>100</v>
      </c>
      <c r="I67" s="876">
        <f t="shared" si="4"/>
        <v>100</v>
      </c>
      <c r="J67" s="876">
        <f t="shared" si="4"/>
        <v>100</v>
      </c>
      <c r="K67" s="876">
        <f>K68+K71</f>
        <v>99.999999999999986</v>
      </c>
      <c r="L67" s="876">
        <f t="shared" si="4"/>
        <v>100</v>
      </c>
      <c r="M67" s="877"/>
    </row>
    <row r="68" spans="2:22">
      <c r="B68" s="5"/>
      <c r="C68" s="19" t="s">
        <v>670</v>
      </c>
      <c r="D68" s="876">
        <f>100*(D44/D$43)</f>
        <v>106.53128309288948</v>
      </c>
      <c r="E68" s="876">
        <f t="shared" ref="E68:L68" si="5">100*(E44/E$43)</f>
        <v>120.2310363530362</v>
      </c>
      <c r="F68" s="876">
        <f>100*(F44/F$43)</f>
        <v>-1821.8897671118282</v>
      </c>
      <c r="G68" s="876">
        <f>100*(G44/G$43)</f>
        <v>94.280207849067182</v>
      </c>
      <c r="H68" s="876">
        <f t="shared" si="5"/>
        <v>77.674223041013164</v>
      </c>
      <c r="I68" s="876">
        <f t="shared" si="5"/>
        <v>115.82338843506533</v>
      </c>
      <c r="J68" s="876">
        <f>100*(J44/J$43)</f>
        <v>67.515293156539556</v>
      </c>
      <c r="K68" s="876">
        <f>100*(K44/K$43)</f>
        <v>84.841816491192176</v>
      </c>
      <c r="L68" s="876">
        <f t="shared" si="5"/>
        <v>91.049234559571985</v>
      </c>
      <c r="M68" s="361"/>
    </row>
    <row r="69" spans="2:22">
      <c r="B69" s="5"/>
      <c r="C69" s="27" t="s">
        <v>676</v>
      </c>
      <c r="D69" s="876">
        <f>100*(D45/D$43)</f>
        <v>75.540327342566471</v>
      </c>
      <c r="E69" s="876">
        <f t="shared" ref="D69:L71" si="6">100*(E45/E$43)</f>
        <v>63.211200692455513</v>
      </c>
      <c r="F69" s="876">
        <f>100*(F45/F$43)</f>
        <v>-1275.1889890329278</v>
      </c>
      <c r="G69" s="876">
        <f>100*(G45/G$43)</f>
        <v>42.510889368579775</v>
      </c>
      <c r="H69" s="876">
        <f t="shared" si="6"/>
        <v>-0.17979418507227529</v>
      </c>
      <c r="I69" s="876">
        <f t="shared" si="6"/>
        <v>24.229958922261638</v>
      </c>
      <c r="J69" s="876">
        <f t="shared" si="6"/>
        <v>20.25458794696187</v>
      </c>
      <c r="K69" s="876">
        <f>100*(K45/K$43)</f>
        <v>25.452544947357651</v>
      </c>
      <c r="L69" s="876">
        <f>100*(L45/L$43)</f>
        <v>27.314770367871592</v>
      </c>
      <c r="M69" s="361"/>
    </row>
    <row r="70" spans="2:22">
      <c r="B70" s="5"/>
      <c r="C70" s="27" t="s">
        <v>677</v>
      </c>
      <c r="D70" s="876">
        <f t="shared" si="6"/>
        <v>30.990955750323014</v>
      </c>
      <c r="E70" s="876">
        <f t="shared" si="6"/>
        <v>57.019835660580689</v>
      </c>
      <c r="F70" s="876">
        <f t="shared" si="6"/>
        <v>-546.70077807890016</v>
      </c>
      <c r="G70" s="876">
        <f t="shared" si="6"/>
        <v>51.769318480487399</v>
      </c>
      <c r="H70" s="876">
        <f t="shared" si="6"/>
        <v>77.854017226085432</v>
      </c>
      <c r="I70" s="876">
        <f t="shared" si="6"/>
        <v>91.593429512803681</v>
      </c>
      <c r="J70" s="876">
        <f t="shared" si="6"/>
        <v>47.260705209577694</v>
      </c>
      <c r="K70" s="876">
        <f>100*(K46/K$43)</f>
        <v>59.389271543834532</v>
      </c>
      <c r="L70" s="876">
        <f t="shared" si="6"/>
        <v>63.73446419170039</v>
      </c>
      <c r="M70" s="361"/>
    </row>
    <row r="71" spans="2:22">
      <c r="B71" s="5"/>
      <c r="C71" s="19" t="s">
        <v>675</v>
      </c>
      <c r="D71" s="876">
        <f t="shared" si="6"/>
        <v>-6.5312830928894883</v>
      </c>
      <c r="E71" s="876">
        <f t="shared" si="6"/>
        <v>-20.23103635303621</v>
      </c>
      <c r="F71" s="876">
        <f t="shared" si="6"/>
        <v>1921.8897671118282</v>
      </c>
      <c r="G71" s="876">
        <f t="shared" si="6"/>
        <v>5.7197921509328173</v>
      </c>
      <c r="H71" s="876">
        <f t="shared" si="6"/>
        <v>22.32577695898684</v>
      </c>
      <c r="I71" s="876">
        <f t="shared" si="6"/>
        <v>-15.823388435065322</v>
      </c>
      <c r="J71" s="876">
        <f t="shared" si="6"/>
        <v>32.484706843460437</v>
      </c>
      <c r="K71" s="876">
        <f>100*(K47/K$43)</f>
        <v>15.158183508807813</v>
      </c>
      <c r="L71" s="876">
        <f>100*(L47/L$43)</f>
        <v>8.9507654404280164</v>
      </c>
      <c r="M71" s="361"/>
      <c r="U71" s="250"/>
    </row>
    <row r="72" spans="2:22">
      <c r="B72" s="5"/>
      <c r="C72" s="246"/>
      <c r="D72" s="247"/>
      <c r="E72" s="247"/>
      <c r="F72" s="247"/>
      <c r="G72" s="247"/>
      <c r="H72" s="247"/>
      <c r="I72" s="247"/>
      <c r="J72" s="247"/>
      <c r="K72" s="247"/>
      <c r="L72" s="247"/>
      <c r="M72" s="361"/>
      <c r="U72" s="250"/>
    </row>
    <row r="73" spans="2:22">
      <c r="B73" s="5"/>
      <c r="C73" s="246" t="s">
        <v>692</v>
      </c>
      <c r="D73" s="876">
        <f>100*(D44/D$44)</f>
        <v>100</v>
      </c>
      <c r="E73" s="876">
        <f t="shared" ref="E73:L73" si="7">100*(E44/E$44)</f>
        <v>100</v>
      </c>
      <c r="F73" s="876">
        <f t="shared" si="7"/>
        <v>100</v>
      </c>
      <c r="G73" s="876">
        <f t="shared" si="7"/>
        <v>100</v>
      </c>
      <c r="H73" s="876">
        <f t="shared" si="7"/>
        <v>100</v>
      </c>
      <c r="I73" s="876">
        <f t="shared" si="7"/>
        <v>100</v>
      </c>
      <c r="J73" s="876">
        <f t="shared" si="7"/>
        <v>100</v>
      </c>
      <c r="K73" s="876">
        <f>100*(K44/K$44)</f>
        <v>100</v>
      </c>
      <c r="L73" s="876">
        <f t="shared" si="7"/>
        <v>100</v>
      </c>
      <c r="M73" s="878"/>
      <c r="U73" s="250"/>
    </row>
    <row r="74" spans="2:22">
      <c r="B74" s="5"/>
      <c r="C74" s="27" t="s">
        <v>676</v>
      </c>
      <c r="D74" s="876">
        <f t="shared" ref="D74:L75" si="8">100*(D45/D$44)</f>
        <v>70.909056147103215</v>
      </c>
      <c r="E74" s="876">
        <f t="shared" si="8"/>
        <v>52.574778201900806</v>
      </c>
      <c r="F74" s="876">
        <f t="shared" si="8"/>
        <v>69.992653345566353</v>
      </c>
      <c r="G74" s="876">
        <f t="shared" si="8"/>
        <v>45.089940230759026</v>
      </c>
      <c r="H74" s="876">
        <f t="shared" si="8"/>
        <v>-0.23147213841758194</v>
      </c>
      <c r="I74" s="876">
        <f t="shared" si="8"/>
        <v>20.919746218481432</v>
      </c>
      <c r="J74" s="876">
        <f t="shared" si="8"/>
        <v>30</v>
      </c>
      <c r="K74" s="876">
        <f>100*(K45/K$44)</f>
        <v>30</v>
      </c>
      <c r="L74" s="876">
        <f>100*(L45/L$44)</f>
        <v>30</v>
      </c>
      <c r="M74" s="878"/>
      <c r="U74" s="250"/>
    </row>
    <row r="75" spans="2:22">
      <c r="B75" s="5"/>
      <c r="C75" s="27" t="s">
        <v>677</v>
      </c>
      <c r="D75" s="876">
        <f t="shared" si="8"/>
        <v>29.090943852896796</v>
      </c>
      <c r="E75" s="876">
        <f t="shared" si="8"/>
        <v>47.425221798099187</v>
      </c>
      <c r="F75" s="876">
        <f t="shared" si="8"/>
        <v>30.007346654433654</v>
      </c>
      <c r="G75" s="876">
        <f t="shared" si="8"/>
        <v>54.910059769240974</v>
      </c>
      <c r="H75" s="876">
        <f t="shared" si="8"/>
        <v>100.23147213841759</v>
      </c>
      <c r="I75" s="876">
        <f t="shared" si="8"/>
        <v>79.080253781518579</v>
      </c>
      <c r="J75" s="876">
        <f t="shared" si="8"/>
        <v>70</v>
      </c>
      <c r="K75" s="876">
        <f>100*(K46/K$44)</f>
        <v>70</v>
      </c>
      <c r="L75" s="876">
        <f t="shared" si="8"/>
        <v>70</v>
      </c>
      <c r="M75" s="878"/>
      <c r="U75" s="250"/>
    </row>
    <row r="76" spans="2:22" ht="15.75" thickBot="1">
      <c r="B76" s="10"/>
      <c r="C76" s="17"/>
      <c r="D76" s="11"/>
      <c r="E76" s="11"/>
      <c r="F76" s="11"/>
      <c r="G76" s="11"/>
      <c r="H76" s="11"/>
      <c r="I76" s="11"/>
      <c r="J76" s="11"/>
      <c r="K76" s="11"/>
      <c r="L76" s="11"/>
      <c r="M76" s="12"/>
      <c r="U76" s="250"/>
    </row>
    <row r="77" spans="2:22">
      <c r="D77" s="3"/>
      <c r="E77" s="3"/>
      <c r="F77" s="3"/>
      <c r="G77" s="3"/>
      <c r="H77" s="3"/>
      <c r="I77" s="3"/>
      <c r="J77" s="3"/>
      <c r="K77" s="3"/>
      <c r="L77" s="3"/>
      <c r="M77" s="3"/>
      <c r="N77" s="3"/>
      <c r="O77" s="3"/>
      <c r="P77" s="3"/>
      <c r="Q77" s="3"/>
      <c r="R77" s="3"/>
      <c r="S77" s="3"/>
      <c r="U77" s="250"/>
    </row>
    <row r="78" spans="2:22">
      <c r="V78" s="250"/>
    </row>
    <row r="79" spans="2:22">
      <c r="V79" s="250"/>
    </row>
    <row r="80" spans="2:22">
      <c r="V80" s="250"/>
    </row>
    <row r="81" spans="22:24">
      <c r="V81" s="250"/>
    </row>
    <row r="82" spans="22:24">
      <c r="V82" s="250"/>
    </row>
    <row r="83" spans="22:24">
      <c r="V83" s="250"/>
    </row>
    <row r="84" spans="22:24">
      <c r="V84" s="250"/>
    </row>
    <row r="85" spans="22:24">
      <c r="W85" s="250"/>
    </row>
    <row r="86" spans="22:24">
      <c r="W86" s="250"/>
    </row>
    <row r="87" spans="22:24">
      <c r="W87" s="250"/>
    </row>
    <row r="88" spans="22:24">
      <c r="W88" s="250"/>
    </row>
    <row r="89" spans="22:24">
      <c r="W89" s="250"/>
    </row>
    <row r="90" spans="22:24">
      <c r="W90" s="250"/>
    </row>
    <row r="91" spans="22:24">
      <c r="W91" s="250"/>
    </row>
    <row r="92" spans="22:24">
      <c r="X92" s="250"/>
    </row>
    <row r="93" spans="22:24">
      <c r="X93" s="250"/>
    </row>
    <row r="94" spans="22:24">
      <c r="X94" s="250"/>
    </row>
    <row r="95" spans="22:24">
      <c r="X95" s="250"/>
    </row>
    <row r="96" spans="22:24">
      <c r="X96" s="250"/>
    </row>
    <row r="97" spans="24:27">
      <c r="X97" s="250"/>
    </row>
    <row r="98" spans="24:27">
      <c r="X98" s="250"/>
    </row>
    <row r="99" spans="24:27">
      <c r="Y99" s="250"/>
    </row>
    <row r="100" spans="24:27">
      <c r="Y100" s="250"/>
    </row>
    <row r="101" spans="24:27">
      <c r="Y101" s="250"/>
    </row>
    <row r="102" spans="24:27">
      <c r="Y102" s="250"/>
    </row>
    <row r="103" spans="24:27">
      <c r="Y103" s="250"/>
    </row>
    <row r="104" spans="24:27">
      <c r="Y104" s="250"/>
    </row>
    <row r="105" spans="24:27">
      <c r="Z105" s="250"/>
    </row>
    <row r="106" spans="24:27">
      <c r="Z106" s="250"/>
    </row>
    <row r="107" spans="24:27">
      <c r="Z107" s="250"/>
    </row>
    <row r="108" spans="24:27">
      <c r="Z108" s="250"/>
    </row>
    <row r="109" spans="24:27">
      <c r="Z109" s="250"/>
    </row>
    <row r="110" spans="24:27">
      <c r="Z110" s="250"/>
    </row>
    <row r="111" spans="24:27">
      <c r="AA111" s="250"/>
    </row>
    <row r="112" spans="24:27">
      <c r="AA112" s="250"/>
    </row>
    <row r="113" spans="27:29">
      <c r="AA113" s="250"/>
    </row>
    <row r="114" spans="27:29">
      <c r="AA114" s="250"/>
    </row>
    <row r="115" spans="27:29">
      <c r="AA115" s="250"/>
    </row>
    <row r="116" spans="27:29">
      <c r="AA116" s="250"/>
    </row>
    <row r="117" spans="27:29">
      <c r="AB117" s="250"/>
    </row>
    <row r="118" spans="27:29">
      <c r="AB118" s="250"/>
    </row>
    <row r="119" spans="27:29">
      <c r="AB119" s="250"/>
    </row>
    <row r="120" spans="27:29">
      <c r="AB120" s="250"/>
    </row>
    <row r="121" spans="27:29">
      <c r="AB121" s="250"/>
    </row>
    <row r="122" spans="27:29">
      <c r="AB122" s="250"/>
    </row>
    <row r="123" spans="27:29">
      <c r="AC123" s="250"/>
    </row>
    <row r="124" spans="27:29">
      <c r="AC124" s="250"/>
    </row>
    <row r="125" spans="27:29">
      <c r="AC125" s="250"/>
    </row>
    <row r="126" spans="27:29">
      <c r="AC126" s="250"/>
    </row>
    <row r="127" spans="27:29">
      <c r="AC127" s="250"/>
    </row>
    <row r="128" spans="27:29">
      <c r="AC128" s="250"/>
    </row>
    <row r="129" spans="30:32">
      <c r="AD129" s="250"/>
    </row>
    <row r="130" spans="30:32">
      <c r="AD130" s="250"/>
    </row>
    <row r="131" spans="30:32">
      <c r="AD131" s="250"/>
    </row>
    <row r="132" spans="30:32">
      <c r="AD132" s="250"/>
    </row>
    <row r="133" spans="30:32">
      <c r="AD133" s="250"/>
    </row>
    <row r="134" spans="30:32">
      <c r="AD134" s="250"/>
    </row>
    <row r="135" spans="30:32">
      <c r="AE135" s="250"/>
    </row>
    <row r="136" spans="30:32">
      <c r="AE136" s="250"/>
    </row>
    <row r="137" spans="30:32">
      <c r="AE137" s="250"/>
    </row>
    <row r="138" spans="30:32">
      <c r="AE138" s="250"/>
    </row>
    <row r="140" spans="30:32">
      <c r="AE140" s="250"/>
    </row>
    <row r="141" spans="30:32">
      <c r="AF141" s="250"/>
    </row>
    <row r="142" spans="30:32">
      <c r="AF142" s="250"/>
    </row>
    <row r="143" spans="30:32">
      <c r="AF143" s="250"/>
    </row>
    <row r="144" spans="30:32">
      <c r="AF144" s="250"/>
    </row>
    <row r="146" spans="32:32">
      <c r="AF146" s="250"/>
    </row>
    <row r="166" spans="21:54">
      <c r="U166" s="248"/>
      <c r="V166" s="248"/>
      <c r="W166" s="248"/>
      <c r="X166" s="248"/>
      <c r="Y166" s="248"/>
      <c r="Z166" s="248"/>
      <c r="AA166" s="248"/>
      <c r="AB166" s="248"/>
      <c r="AC166" s="248"/>
      <c r="AD166" s="248"/>
      <c r="AE166" s="248"/>
      <c r="AF166" s="248"/>
      <c r="AG166" s="248"/>
      <c r="AH166" s="248"/>
      <c r="AI166" s="248"/>
      <c r="AJ166" s="248"/>
      <c r="AK166" s="248"/>
      <c r="AL166" s="248"/>
      <c r="AM166" s="248"/>
      <c r="AN166" s="248"/>
      <c r="AO166" s="248"/>
      <c r="AP166" s="248"/>
      <c r="AQ166" s="248"/>
      <c r="AR166" s="248"/>
      <c r="AS166" s="248"/>
      <c r="AT166" s="248"/>
      <c r="AU166" s="248"/>
      <c r="AV166" s="248"/>
      <c r="AW166" s="248"/>
      <c r="AX166" s="248"/>
      <c r="AY166" s="248"/>
      <c r="AZ166" s="248"/>
      <c r="BA166" s="248"/>
      <c r="BB166" s="248"/>
    </row>
    <row r="167" spans="21:54">
      <c r="U167" s="248"/>
      <c r="V167" s="248"/>
      <c r="W167" s="248"/>
      <c r="X167" s="248"/>
      <c r="Y167" s="248"/>
      <c r="Z167" s="248"/>
      <c r="AA167" s="248"/>
      <c r="AB167" s="248"/>
      <c r="AC167" s="248"/>
      <c r="AD167" s="248"/>
      <c r="AE167" s="248"/>
      <c r="AF167" s="248"/>
      <c r="AG167" s="248"/>
      <c r="AH167" s="248"/>
      <c r="AI167" s="248"/>
      <c r="AJ167" s="248"/>
      <c r="AK167" s="248"/>
      <c r="AL167" s="248"/>
      <c r="AM167" s="248"/>
      <c r="AN167" s="248"/>
      <c r="AO167" s="248"/>
      <c r="AP167" s="248"/>
      <c r="AQ167" s="248"/>
      <c r="AR167" s="248"/>
      <c r="AS167" s="248"/>
      <c r="AT167" s="248"/>
      <c r="AU167" s="248"/>
      <c r="AV167" s="248"/>
      <c r="AW167" s="248"/>
      <c r="AX167" s="248"/>
      <c r="AY167" s="248"/>
      <c r="AZ167" s="248"/>
      <c r="BA167" s="248"/>
      <c r="BB167" s="248"/>
    </row>
    <row r="168" spans="21:54">
      <c r="U168" s="248"/>
      <c r="V168" s="248"/>
      <c r="W168" s="248"/>
      <c r="X168" s="248"/>
      <c r="Y168" s="248"/>
      <c r="Z168" s="248"/>
      <c r="AA168" s="248"/>
      <c r="AB168" s="248"/>
      <c r="AC168" s="248"/>
      <c r="AD168" s="248"/>
      <c r="AE168" s="248"/>
      <c r="AF168" s="248"/>
      <c r="AG168" s="248"/>
      <c r="AH168" s="248"/>
      <c r="AI168" s="248"/>
      <c r="AJ168" s="248"/>
      <c r="AK168" s="248"/>
      <c r="AL168" s="248"/>
      <c r="AM168" s="248"/>
      <c r="AN168" s="248"/>
      <c r="AO168" s="248"/>
      <c r="AP168" s="248"/>
      <c r="AQ168" s="248"/>
      <c r="AR168" s="248"/>
      <c r="AS168" s="248"/>
      <c r="AT168" s="248"/>
      <c r="AU168" s="248"/>
      <c r="AV168" s="248"/>
      <c r="AW168" s="248"/>
      <c r="AX168" s="248"/>
      <c r="AY168" s="248"/>
      <c r="AZ168" s="248"/>
      <c r="BA168" s="248"/>
      <c r="BB168" s="248"/>
    </row>
    <row r="169" spans="21:54">
      <c r="U169" s="248"/>
      <c r="V169" s="248"/>
      <c r="W169" s="248"/>
      <c r="X169" s="248"/>
      <c r="Y169" s="248"/>
      <c r="Z169" s="248"/>
      <c r="AA169" s="248"/>
      <c r="AB169" s="248"/>
      <c r="AC169" s="248"/>
      <c r="AD169" s="248"/>
      <c r="AE169" s="248"/>
      <c r="AF169" s="248"/>
      <c r="AG169" s="248"/>
      <c r="AH169" s="248"/>
      <c r="AI169" s="248"/>
      <c r="AJ169" s="248"/>
      <c r="AK169" s="248"/>
      <c r="AL169" s="248"/>
      <c r="AM169" s="248"/>
      <c r="AN169" s="248"/>
      <c r="AO169" s="248"/>
      <c r="AP169" s="248"/>
      <c r="AQ169" s="248"/>
      <c r="AR169" s="248"/>
      <c r="AS169" s="248"/>
      <c r="AT169" s="248"/>
      <c r="AU169" s="248"/>
      <c r="AV169" s="248"/>
      <c r="AW169" s="248"/>
      <c r="AX169" s="248"/>
      <c r="AY169" s="248"/>
      <c r="AZ169" s="248"/>
      <c r="BA169" s="248"/>
      <c r="BB169" s="248"/>
    </row>
    <row r="170" spans="21:54">
      <c r="U170" s="248"/>
      <c r="V170" s="248"/>
      <c r="W170" s="248"/>
      <c r="X170" s="248"/>
      <c r="Y170" s="248"/>
      <c r="Z170" s="248"/>
      <c r="AA170" s="248"/>
      <c r="AB170" s="248"/>
      <c r="AC170" s="248"/>
      <c r="AD170" s="248"/>
      <c r="AE170" s="248"/>
      <c r="AF170" s="248"/>
      <c r="AG170" s="248"/>
      <c r="AH170" s="248"/>
      <c r="AI170" s="248"/>
      <c r="AJ170" s="248"/>
      <c r="AK170" s="248"/>
      <c r="AL170" s="248"/>
      <c r="AM170" s="248"/>
      <c r="AN170" s="248"/>
      <c r="AO170" s="248"/>
      <c r="AP170" s="248"/>
      <c r="AQ170" s="248"/>
      <c r="AR170" s="248"/>
      <c r="AS170" s="248"/>
      <c r="AT170" s="248"/>
      <c r="AU170" s="248"/>
      <c r="AV170" s="248"/>
      <c r="AW170" s="248"/>
      <c r="AX170" s="248"/>
      <c r="AY170" s="248"/>
      <c r="AZ170" s="248"/>
      <c r="BA170" s="248"/>
      <c r="BB170" s="248"/>
    </row>
    <row r="171" spans="21:54">
      <c r="U171" s="248"/>
      <c r="V171" s="248"/>
      <c r="W171" s="248"/>
      <c r="X171" s="248"/>
      <c r="Y171" s="248"/>
      <c r="Z171" s="248"/>
      <c r="AA171" s="248"/>
      <c r="AB171" s="248"/>
      <c r="AC171" s="248"/>
      <c r="AD171" s="248"/>
      <c r="AE171" s="248"/>
      <c r="AF171" s="248"/>
      <c r="AG171" s="248"/>
      <c r="AH171" s="248"/>
      <c r="AI171" s="248"/>
      <c r="AJ171" s="248"/>
      <c r="AK171" s="248"/>
      <c r="AL171" s="248"/>
      <c r="AM171" s="248"/>
      <c r="AN171" s="248"/>
      <c r="AO171" s="248"/>
      <c r="AP171" s="248"/>
      <c r="AQ171" s="248"/>
      <c r="AR171" s="248"/>
      <c r="AS171" s="248"/>
      <c r="AT171" s="248"/>
      <c r="AU171" s="248"/>
      <c r="AV171" s="248"/>
      <c r="AW171" s="248"/>
      <c r="AX171" s="248"/>
      <c r="AY171" s="248"/>
      <c r="AZ171" s="248"/>
      <c r="BA171" s="248"/>
      <c r="BB171" s="248"/>
    </row>
    <row r="172" spans="21:54">
      <c r="U172" s="248"/>
      <c r="V172" s="248"/>
      <c r="W172" s="248"/>
      <c r="X172" s="248"/>
      <c r="Y172" s="248"/>
      <c r="Z172" s="248"/>
      <c r="AA172" s="248"/>
      <c r="AB172" s="248"/>
      <c r="AC172" s="248"/>
      <c r="AD172" s="248"/>
      <c r="AE172" s="248"/>
      <c r="AF172" s="248"/>
      <c r="AG172" s="248"/>
      <c r="AH172" s="248"/>
      <c r="AI172" s="248"/>
      <c r="AJ172" s="248"/>
      <c r="AK172" s="248"/>
      <c r="AL172" s="248"/>
      <c r="AM172" s="248"/>
      <c r="AN172" s="248"/>
      <c r="AO172" s="248"/>
      <c r="AP172" s="248"/>
      <c r="AQ172" s="248"/>
      <c r="AR172" s="248"/>
      <c r="AS172" s="248"/>
      <c r="AT172" s="248"/>
      <c r="AU172" s="248"/>
      <c r="AV172" s="248"/>
      <c r="AW172" s="248"/>
      <c r="AX172" s="248"/>
      <c r="AY172" s="248"/>
      <c r="AZ172" s="248"/>
      <c r="BA172" s="248"/>
      <c r="BB172" s="248"/>
    </row>
    <row r="173" spans="21:54">
      <c r="U173" s="248"/>
      <c r="V173" s="248"/>
      <c r="W173" s="248"/>
      <c r="X173" s="248"/>
      <c r="Y173" s="248"/>
      <c r="Z173" s="248"/>
      <c r="AA173" s="248"/>
      <c r="AB173" s="248"/>
      <c r="AC173" s="248"/>
      <c r="AD173" s="248"/>
      <c r="AE173" s="248"/>
      <c r="AF173" s="248"/>
      <c r="AG173" s="248"/>
      <c r="AH173" s="248"/>
      <c r="AI173" s="248"/>
      <c r="AJ173" s="248"/>
      <c r="AK173" s="248"/>
      <c r="AL173" s="248"/>
      <c r="AM173" s="248"/>
      <c r="AN173" s="248"/>
      <c r="AO173" s="248"/>
      <c r="AP173" s="248"/>
      <c r="AQ173" s="248"/>
      <c r="AR173" s="248"/>
      <c r="AS173" s="248"/>
      <c r="AT173" s="248"/>
      <c r="AU173" s="248"/>
      <c r="AV173" s="248"/>
      <c r="AW173" s="248"/>
      <c r="AX173" s="248"/>
      <c r="AY173" s="248"/>
      <c r="AZ173" s="248"/>
      <c r="BA173" s="248"/>
      <c r="BB173" s="248"/>
    </row>
    <row r="174" spans="21:54">
      <c r="U174" s="248"/>
      <c r="V174" s="248"/>
      <c r="W174" s="248"/>
      <c r="X174" s="248"/>
      <c r="Y174" s="248"/>
      <c r="Z174" s="248"/>
      <c r="AA174" s="248"/>
      <c r="AB174" s="248"/>
      <c r="AC174" s="248"/>
      <c r="AD174" s="248"/>
      <c r="AE174" s="248"/>
      <c r="AF174" s="248"/>
      <c r="AG174" s="248"/>
      <c r="AH174" s="248"/>
      <c r="AI174" s="248"/>
      <c r="AJ174" s="248"/>
      <c r="AK174" s="248"/>
      <c r="AL174" s="248"/>
      <c r="AM174" s="248"/>
      <c r="AN174" s="248"/>
      <c r="AO174" s="248"/>
      <c r="AP174" s="248"/>
      <c r="AQ174" s="248"/>
      <c r="AR174" s="248"/>
      <c r="AS174" s="248"/>
      <c r="AT174" s="248"/>
      <c r="AU174" s="248"/>
      <c r="AV174" s="248"/>
      <c r="AW174" s="248"/>
      <c r="AX174" s="248"/>
      <c r="AY174" s="248"/>
      <c r="AZ174" s="248"/>
      <c r="BA174" s="248"/>
      <c r="BB174" s="248"/>
    </row>
    <row r="175" spans="21:54">
      <c r="U175" s="248"/>
      <c r="V175" s="248"/>
      <c r="W175" s="248"/>
      <c r="X175" s="248"/>
      <c r="Y175" s="248"/>
      <c r="Z175" s="248"/>
      <c r="AA175" s="248"/>
      <c r="AB175" s="248"/>
      <c r="AC175" s="248"/>
      <c r="AD175" s="248"/>
      <c r="AE175" s="248"/>
      <c r="AF175" s="248"/>
      <c r="AG175" s="248"/>
      <c r="AH175" s="248"/>
      <c r="AI175" s="248"/>
      <c r="AJ175" s="248"/>
      <c r="AK175" s="248"/>
      <c r="AL175" s="248"/>
      <c r="AM175" s="248"/>
      <c r="AN175" s="248"/>
      <c r="AO175" s="248"/>
      <c r="AP175" s="248"/>
      <c r="AQ175" s="248"/>
      <c r="AR175" s="248"/>
      <c r="AS175" s="248"/>
      <c r="AT175" s="248"/>
      <c r="AU175" s="248"/>
      <c r="AV175" s="248"/>
      <c r="AW175" s="248"/>
      <c r="AX175" s="248"/>
      <c r="AY175" s="248"/>
      <c r="AZ175" s="248"/>
      <c r="BA175" s="248"/>
      <c r="BB175" s="248"/>
    </row>
    <row r="176" spans="21:54">
      <c r="U176" s="248"/>
      <c r="V176" s="248"/>
      <c r="W176" s="248"/>
      <c r="X176" s="248"/>
      <c r="Y176" s="248"/>
      <c r="Z176" s="248"/>
      <c r="AA176" s="248"/>
      <c r="AB176" s="248"/>
      <c r="AC176" s="248"/>
      <c r="AD176" s="248"/>
      <c r="AE176" s="248"/>
      <c r="AF176" s="248"/>
      <c r="AG176" s="248"/>
      <c r="AH176" s="248"/>
      <c r="AI176" s="248"/>
      <c r="AJ176" s="248"/>
      <c r="AK176" s="248"/>
      <c r="AL176" s="248"/>
      <c r="AM176" s="248"/>
      <c r="AN176" s="248"/>
      <c r="AO176" s="248"/>
      <c r="AP176" s="248"/>
      <c r="AQ176" s="248"/>
      <c r="AR176" s="248"/>
      <c r="AS176" s="248"/>
      <c r="AT176" s="248"/>
      <c r="AU176" s="248"/>
      <c r="AV176" s="248"/>
      <c r="AW176" s="248"/>
      <c r="AX176" s="248"/>
      <c r="AY176" s="248"/>
      <c r="AZ176" s="248"/>
      <c r="BA176" s="248"/>
      <c r="BB176" s="248"/>
    </row>
    <row r="177" spans="21:55">
      <c r="U177" s="248"/>
      <c r="V177" s="248"/>
      <c r="W177" s="248"/>
      <c r="X177" s="248"/>
      <c r="Y177" s="248"/>
      <c r="Z177" s="248"/>
      <c r="AA177" s="248"/>
      <c r="AB177" s="248"/>
      <c r="AC177" s="248"/>
      <c r="AD177" s="248"/>
      <c r="AE177" s="248"/>
      <c r="AF177" s="248"/>
      <c r="AG177" s="248"/>
      <c r="AH177" s="248"/>
      <c r="AI177" s="248"/>
      <c r="AJ177" s="248"/>
      <c r="AK177" s="248"/>
      <c r="AL177" s="248"/>
      <c r="AM177" s="248"/>
      <c r="AN177" s="248"/>
      <c r="AO177" s="248"/>
      <c r="AP177" s="248"/>
      <c r="AQ177" s="248"/>
      <c r="AR177" s="248"/>
      <c r="AS177" s="248"/>
      <c r="AT177" s="248"/>
      <c r="AU177" s="248"/>
      <c r="AV177" s="248"/>
      <c r="AW177" s="248"/>
      <c r="AX177" s="248"/>
      <c r="AY177" s="248"/>
      <c r="AZ177" s="248"/>
      <c r="BA177" s="248"/>
      <c r="BB177" s="248"/>
    </row>
    <row r="178" spans="21:55">
      <c r="U178" s="248"/>
      <c r="V178" s="248"/>
      <c r="W178" s="248"/>
      <c r="X178" s="248"/>
      <c r="Y178" s="248"/>
      <c r="Z178" s="248"/>
      <c r="AA178" s="248"/>
      <c r="AB178" s="248"/>
      <c r="AC178" s="248"/>
      <c r="AD178" s="248"/>
      <c r="AE178" s="248"/>
      <c r="AF178" s="248"/>
      <c r="AG178" s="248"/>
      <c r="AH178" s="248"/>
      <c r="AI178" s="248"/>
      <c r="AJ178" s="248"/>
      <c r="AK178" s="248"/>
      <c r="AL178" s="248"/>
      <c r="AM178" s="248"/>
      <c r="AN178" s="248"/>
      <c r="AO178" s="248"/>
      <c r="AP178" s="248"/>
      <c r="AQ178" s="248"/>
      <c r="AR178" s="248"/>
      <c r="AS178" s="248"/>
      <c r="AT178" s="248"/>
      <c r="AU178" s="248"/>
      <c r="AV178" s="248"/>
      <c r="AW178" s="248"/>
      <c r="AX178" s="248"/>
      <c r="AY178" s="248"/>
      <c r="AZ178" s="248"/>
      <c r="BA178" s="248"/>
      <c r="BB178" s="248"/>
    </row>
    <row r="179" spans="21:55">
      <c r="U179" s="248"/>
      <c r="V179" s="248"/>
      <c r="W179" s="248"/>
      <c r="X179" s="248"/>
      <c r="Y179" s="248"/>
      <c r="Z179" s="248"/>
      <c r="AA179" s="248"/>
      <c r="AB179" s="248"/>
      <c r="AC179" s="248"/>
      <c r="AD179" s="248"/>
      <c r="AE179" s="248"/>
      <c r="AF179" s="248"/>
      <c r="AG179" s="248"/>
      <c r="AH179" s="248"/>
      <c r="AI179" s="248"/>
      <c r="AJ179" s="248"/>
      <c r="AK179" s="248"/>
      <c r="AL179" s="248"/>
      <c r="AM179" s="248"/>
      <c r="AN179" s="248"/>
      <c r="AO179" s="248"/>
      <c r="AP179" s="248"/>
      <c r="AQ179" s="248"/>
      <c r="AR179" s="248"/>
      <c r="AS179" s="248"/>
      <c r="AT179" s="248"/>
      <c r="AU179" s="248"/>
      <c r="AV179" s="248"/>
      <c r="AW179" s="248"/>
      <c r="AX179" s="248"/>
      <c r="AY179" s="248"/>
      <c r="AZ179" s="248"/>
      <c r="BA179" s="248"/>
      <c r="BB179" s="248"/>
    </row>
    <row r="180" spans="21:55">
      <c r="U180" s="248"/>
      <c r="V180" s="248"/>
      <c r="W180" s="248"/>
      <c r="X180" s="248"/>
      <c r="Y180" s="248"/>
      <c r="Z180" s="248"/>
      <c r="AA180" s="248"/>
      <c r="AB180" s="248"/>
      <c r="AC180" s="248"/>
      <c r="AD180" s="248"/>
      <c r="AE180" s="248"/>
      <c r="AF180" s="248"/>
      <c r="AG180" s="248"/>
      <c r="AH180" s="248"/>
      <c r="AI180" s="248"/>
      <c r="AJ180" s="248"/>
      <c r="AK180" s="248"/>
      <c r="AL180" s="248"/>
      <c r="AM180" s="248"/>
      <c r="AN180" s="248"/>
      <c r="AO180" s="248"/>
      <c r="AP180" s="248"/>
      <c r="AQ180" s="248"/>
      <c r="AR180" s="248"/>
      <c r="AS180" s="248"/>
      <c r="AT180" s="248"/>
      <c r="AU180" s="248"/>
      <c r="AV180" s="248"/>
      <c r="AW180" s="248"/>
      <c r="AX180" s="248"/>
      <c r="AY180" s="248"/>
      <c r="AZ180" s="248"/>
      <c r="BA180" s="248"/>
      <c r="BB180" s="248"/>
    </row>
    <row r="181" spans="21:55">
      <c r="BC181" s="250" t="s">
        <v>693</v>
      </c>
    </row>
    <row r="182" spans="21:55">
      <c r="BC182" s="250" t="s">
        <v>694</v>
      </c>
    </row>
    <row r="183" spans="21:55">
      <c r="BC183" s="250" t="s">
        <v>695</v>
      </c>
    </row>
    <row r="184" spans="21:55">
      <c r="BC184" s="250" t="s">
        <v>696</v>
      </c>
    </row>
    <row r="185" spans="21:55">
      <c r="BC185" s="250" t="s">
        <v>697</v>
      </c>
    </row>
    <row r="186" spans="21:55">
      <c r="BC186" s="250" t="s">
        <v>1229</v>
      </c>
    </row>
  </sheetData>
  <pageMargins left="0.7" right="0.7" top="0.75" bottom="0.75" header="0.3" footer="0.3"/>
  <pageSetup scale="72"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XFD50"/>
  <sheetViews>
    <sheetView topLeftCell="A19" zoomScaleNormal="100" workbookViewId="0">
      <selection activeCell="C7" sqref="C7"/>
    </sheetView>
  </sheetViews>
  <sheetFormatPr baseColWidth="10" defaultColWidth="9.42578125" defaultRowHeight="15"/>
  <cols>
    <col min="1" max="1" width="9.42578125" style="2"/>
    <col min="2" max="2" width="2.5703125" style="3" customWidth="1"/>
    <col min="3" max="3" width="87.28515625" style="3" customWidth="1"/>
    <col min="4" max="4" width="9.42578125" style="4" bestFit="1" customWidth="1"/>
    <col min="5" max="11" width="9.42578125" style="4"/>
    <col min="12" max="12" width="10" style="4" customWidth="1"/>
    <col min="13" max="13" width="10.42578125" style="2" bestFit="1" customWidth="1"/>
    <col min="14" max="14" width="9.42578125" style="2"/>
    <col min="15" max="15" width="12.42578125" style="2" customWidth="1"/>
    <col min="16" max="16384" width="9.42578125" style="2"/>
  </cols>
  <sheetData>
    <row r="1" spans="2:16" ht="15.75" thickBot="1"/>
    <row r="2" spans="2:16" s="1" customFormat="1" ht="33" customHeight="1">
      <c r="B2" s="393" t="s">
        <v>698</v>
      </c>
      <c r="C2" s="282"/>
      <c r="D2" s="282"/>
      <c r="E2" s="282"/>
      <c r="F2" s="282"/>
      <c r="G2" s="282"/>
      <c r="H2" s="282"/>
      <c r="I2" s="282"/>
      <c r="J2" s="282"/>
      <c r="K2" s="282"/>
      <c r="L2" s="394"/>
    </row>
    <row r="3" spans="2:16" s="1" customFormat="1" ht="33" customHeight="1">
      <c r="B3" s="14"/>
      <c r="C3" s="16"/>
      <c r="D3" s="351">
        <v>2006</v>
      </c>
      <c r="E3" s="351">
        <v>2007</v>
      </c>
      <c r="F3" s="351">
        <v>2008</v>
      </c>
      <c r="G3" s="351">
        <v>2009</v>
      </c>
      <c r="H3" s="351">
        <v>2010</v>
      </c>
      <c r="I3" s="351">
        <v>2011</v>
      </c>
      <c r="J3" s="351">
        <v>2012</v>
      </c>
      <c r="K3" s="351">
        <v>2013</v>
      </c>
      <c r="L3" s="111">
        <v>2014</v>
      </c>
    </row>
    <row r="4" spans="2:16" s="1" customFormat="1" ht="33" customHeight="1">
      <c r="B4" s="109" t="s">
        <v>245</v>
      </c>
      <c r="C4" s="110"/>
      <c r="D4" s="110"/>
      <c r="E4" s="110"/>
      <c r="F4" s="110"/>
      <c r="G4" s="110"/>
      <c r="H4" s="110"/>
      <c r="I4" s="110"/>
      <c r="J4" s="110"/>
      <c r="K4" s="110"/>
      <c r="L4" s="111"/>
    </row>
    <row r="5" spans="2:16" s="1" customFormat="1" ht="15" customHeight="1" thickBot="1">
      <c r="B5" s="30"/>
      <c r="C5" s="21" t="s">
        <v>699</v>
      </c>
      <c r="D5" s="31"/>
      <c r="E5" s="31"/>
      <c r="F5" s="31"/>
      <c r="G5" s="31"/>
      <c r="H5" s="31"/>
      <c r="I5" s="31"/>
      <c r="J5" s="31"/>
      <c r="K5" s="31"/>
      <c r="L5" s="32"/>
    </row>
    <row r="6" spans="2:16" s="1" customFormat="1" ht="15" customHeight="1" thickBot="1">
      <c r="B6" s="30"/>
      <c r="C6" s="18" t="s">
        <v>57</v>
      </c>
      <c r="D6" s="100">
        <v>14.942173825423678</v>
      </c>
      <c r="E6" s="100">
        <v>16.24459320776927</v>
      </c>
      <c r="F6" s="100">
        <v>16.896242010112651</v>
      </c>
      <c r="G6" s="100">
        <v>15.00770651190688</v>
      </c>
      <c r="H6" s="100">
        <v>15.48672493702602</v>
      </c>
      <c r="I6" s="100">
        <v>15.564532530418187</v>
      </c>
      <c r="J6" s="100">
        <v>15.462876438605665</v>
      </c>
      <c r="K6" s="100">
        <v>15.332846646390905</v>
      </c>
      <c r="L6" s="408">
        <f>L34*100/L$30</f>
        <v>15.283678815252179</v>
      </c>
    </row>
    <row r="7" spans="2:16" s="1" customFormat="1" ht="15" customHeight="1" thickBot="1">
      <c r="B7" s="30"/>
      <c r="C7" s="18" t="s">
        <v>700</v>
      </c>
      <c r="D7" s="100">
        <v>15.906729812675405</v>
      </c>
      <c r="E7" s="100">
        <v>15.428440215601531</v>
      </c>
      <c r="F7" s="100">
        <v>15.899072124962293</v>
      </c>
      <c r="G7" s="100">
        <v>18.195114348940056</v>
      </c>
      <c r="H7" s="100">
        <v>20.817858570160698</v>
      </c>
      <c r="I7" s="100">
        <v>19.614825458688181</v>
      </c>
      <c r="J7" s="100">
        <v>20.017704849038701</v>
      </c>
      <c r="K7" s="100">
        <v>23.152225288349655</v>
      </c>
      <c r="L7" s="412">
        <f t="shared" ref="L7:L8" si="0">L35*100/L$30</f>
        <v>27.711480666625345</v>
      </c>
      <c r="P7" s="120" t="s">
        <v>701</v>
      </c>
    </row>
    <row r="8" spans="2:16" s="1" customFormat="1" ht="15" customHeight="1" thickBot="1">
      <c r="B8" s="30"/>
      <c r="C8" s="19" t="s">
        <v>702</v>
      </c>
      <c r="D8" s="100">
        <v>11.923900543733202</v>
      </c>
      <c r="E8" s="100">
        <v>12.1895403277962</v>
      </c>
      <c r="F8" s="100">
        <v>13.591400893531334</v>
      </c>
      <c r="G8" s="100">
        <v>15.908288328475193</v>
      </c>
      <c r="H8" s="100">
        <v>18.540138188163944</v>
      </c>
      <c r="I8" s="100">
        <v>17.301763952671795</v>
      </c>
      <c r="J8" s="100">
        <v>17.788750056468192</v>
      </c>
      <c r="K8" s="100">
        <v>19.689076316559493</v>
      </c>
      <c r="L8" s="409">
        <f t="shared" si="0"/>
        <v>22.459536517750198</v>
      </c>
      <c r="P8" s="880" t="s">
        <v>703</v>
      </c>
    </row>
    <row r="9" spans="2:16" s="1" customFormat="1" ht="15" customHeight="1" thickBot="1">
      <c r="B9" s="30"/>
      <c r="C9" s="18" t="s">
        <v>663</v>
      </c>
      <c r="D9" s="101">
        <v>-0.96455598725172642</v>
      </c>
      <c r="E9" s="101">
        <v>0.81615299216773884</v>
      </c>
      <c r="F9" s="101">
        <v>0.99716988515035787</v>
      </c>
      <c r="G9" s="101">
        <v>-3.1874078370331755</v>
      </c>
      <c r="H9" s="101">
        <v>-5.3311336331346784</v>
      </c>
      <c r="I9" s="101">
        <v>-4.0502929282699931</v>
      </c>
      <c r="J9" s="101">
        <v>-4.5548284104330357</v>
      </c>
      <c r="K9" s="101">
        <v>-7.8193786419587497</v>
      </c>
      <c r="L9" s="413">
        <f>L6-L7</f>
        <v>-12.427801851373166</v>
      </c>
    </row>
    <row r="10" spans="2:16" s="1" customFormat="1" ht="15" customHeight="1" thickBot="1">
      <c r="B10" s="30"/>
      <c r="C10" s="18" t="s">
        <v>704</v>
      </c>
      <c r="D10" s="101">
        <v>3.018273281690476</v>
      </c>
      <c r="E10" s="101">
        <v>4.0550528799730703</v>
      </c>
      <c r="F10" s="101">
        <v>3.3048411165813167</v>
      </c>
      <c r="G10" s="101">
        <v>-0.90058181656831238</v>
      </c>
      <c r="H10" s="101">
        <v>-3.0534132511379237</v>
      </c>
      <c r="I10" s="101">
        <v>-1.7372314222536076</v>
      </c>
      <c r="J10" s="101">
        <v>-2.325873617862527</v>
      </c>
      <c r="K10" s="101">
        <v>-4.3562296701685881</v>
      </c>
      <c r="L10" s="410">
        <f>L6-L8</f>
        <v>-7.1758577024980195</v>
      </c>
    </row>
    <row r="11" spans="2:16" s="1" customFormat="1" ht="15" customHeight="1" thickBot="1">
      <c r="B11" s="30"/>
      <c r="C11" s="18" t="s">
        <v>664</v>
      </c>
      <c r="D11" s="100">
        <v>0.13952056533126564</v>
      </c>
      <c r="E11" s="100">
        <v>0.21745523084542465</v>
      </c>
      <c r="F11" s="100">
        <v>0.35591191054809623</v>
      </c>
      <c r="G11" s="100">
        <v>0.45163878329687579</v>
      </c>
      <c r="H11" s="100">
        <v>0.30849997018776137</v>
      </c>
      <c r="I11" s="100">
        <v>0.30397497716733962</v>
      </c>
      <c r="J11" s="100">
        <v>0.18670204969142878</v>
      </c>
      <c r="K11" s="100">
        <v>0.1304755826374786</v>
      </c>
      <c r="L11" s="412">
        <f>L38*100/L$30</f>
        <v>0.12255539657824699</v>
      </c>
    </row>
    <row r="12" spans="2:16" s="1" customFormat="1" ht="15" customHeight="1" thickBot="1">
      <c r="B12" s="30"/>
      <c r="C12" s="18" t="s">
        <v>705</v>
      </c>
      <c r="D12" s="100">
        <v>-1.1040765525829921</v>
      </c>
      <c r="E12" s="100">
        <v>0.59869776132231423</v>
      </c>
      <c r="F12" s="100">
        <v>0.64125797460226164</v>
      </c>
      <c r="G12" s="100">
        <v>-3.6390466203300513</v>
      </c>
      <c r="H12" s="100">
        <v>-5.6396336033224399</v>
      </c>
      <c r="I12" s="100">
        <v>-4.3542679054373323</v>
      </c>
      <c r="J12" s="100">
        <v>-4.7415304601244648</v>
      </c>
      <c r="K12" s="100">
        <v>-7.949854224596228</v>
      </c>
      <c r="L12" s="409">
        <f>L39*100/L$30</f>
        <v>-12.550357247951414</v>
      </c>
      <c r="M12" s="491"/>
    </row>
    <row r="13" spans="2:16" s="1" customFormat="1" ht="15" customHeight="1" thickBot="1">
      <c r="B13" s="30"/>
      <c r="C13" s="18" t="s">
        <v>337</v>
      </c>
      <c r="D13" s="100">
        <v>-4.5515284051391189</v>
      </c>
      <c r="E13" s="100">
        <v>-2.1644320752892678</v>
      </c>
      <c r="F13" s="100">
        <v>0.58018797084768414</v>
      </c>
      <c r="G13" s="100">
        <v>-3.7216019803554099</v>
      </c>
      <c r="H13" s="100">
        <v>-6.0934293182809816</v>
      </c>
      <c r="I13" s="100">
        <v>-4.8895819241349576</v>
      </c>
      <c r="J13" s="100">
        <v>-5.8664380659015212</v>
      </c>
      <c r="K13" s="100">
        <v>-7.9498542245962298</v>
      </c>
      <c r="L13" s="412">
        <f t="shared" ref="L13" si="1">L41/L30*100</f>
        <v>-12.550357247951416</v>
      </c>
    </row>
    <row r="14" spans="2:16" s="1" customFormat="1" ht="15" customHeight="1" thickBot="1">
      <c r="B14" s="30"/>
      <c r="C14" s="18" t="s">
        <v>706</v>
      </c>
      <c r="D14" s="100">
        <v>-0.5686991361969187</v>
      </c>
      <c r="E14" s="100">
        <v>1.0744678125160625</v>
      </c>
      <c r="F14" s="100">
        <v>2.8878592022786429</v>
      </c>
      <c r="G14" s="100">
        <v>-1.4347759598905447</v>
      </c>
      <c r="H14" s="100">
        <v>-3.8157089362842256</v>
      </c>
      <c r="I14" s="100">
        <v>-2.5765204181185717</v>
      </c>
      <c r="J14" s="100">
        <v>-3.6374832733310112</v>
      </c>
      <c r="K14" s="100">
        <v>-4.4867052528060709</v>
      </c>
      <c r="L14" s="411">
        <f>L42*100/L$30</f>
        <v>-7.2984130990762681</v>
      </c>
    </row>
    <row r="15" spans="2:16" s="1" customFormat="1" ht="15" customHeight="1">
      <c r="B15" s="30"/>
      <c r="C15" s="18"/>
      <c r="D15" s="100"/>
      <c r="E15" s="100"/>
      <c r="F15" s="100"/>
      <c r="G15" s="100"/>
      <c r="H15" s="100"/>
      <c r="I15" s="100"/>
      <c r="J15" s="100"/>
      <c r="K15" s="100"/>
      <c r="L15" s="32"/>
    </row>
    <row r="16" spans="2:16" s="1" customFormat="1" ht="33" customHeight="1">
      <c r="B16" s="109" t="s">
        <v>707</v>
      </c>
      <c r="C16" s="110"/>
      <c r="D16" s="110"/>
      <c r="E16" s="110"/>
      <c r="F16" s="110"/>
      <c r="G16" s="110"/>
      <c r="H16" s="110"/>
      <c r="I16" s="110"/>
      <c r="J16" s="110"/>
      <c r="K16" s="110"/>
      <c r="L16" s="111"/>
    </row>
    <row r="17" spans="1:12" s="1" customFormat="1" ht="15" customHeight="1" thickBot="1">
      <c r="B17" s="30"/>
      <c r="C17" s="21" t="s">
        <v>708</v>
      </c>
      <c r="D17" s="31"/>
      <c r="E17" s="31"/>
      <c r="F17" s="31"/>
      <c r="G17" s="31"/>
      <c r="H17" s="31"/>
      <c r="I17" s="31"/>
      <c r="J17" s="31"/>
      <c r="K17" s="31"/>
      <c r="L17" s="32"/>
    </row>
    <row r="18" spans="1:12" s="1" customFormat="1" ht="15" customHeight="1" thickBot="1">
      <c r="B18" s="30"/>
      <c r="C18" s="18" t="s">
        <v>709</v>
      </c>
      <c r="D18" s="7">
        <v>1473.9114218685629</v>
      </c>
      <c r="E18" s="7">
        <v>1706.9831245876178</v>
      </c>
      <c r="F18" s="7">
        <v>1818.0905429642494</v>
      </c>
      <c r="G18" s="7">
        <v>1588.5470749127353</v>
      </c>
      <c r="H18" s="7">
        <v>1718.909891926392</v>
      </c>
      <c r="I18" s="7">
        <v>1825.2453844981787</v>
      </c>
      <c r="J18" s="7">
        <v>1889.2150868696845</v>
      </c>
      <c r="K18" s="7">
        <v>1958.7145519908163</v>
      </c>
      <c r="L18" s="415">
        <f>L34/L31*100</f>
        <v>2039.3500680792008</v>
      </c>
    </row>
    <row r="19" spans="1:12" s="1" customFormat="1" ht="15" customHeight="1" thickBot="1">
      <c r="B19" s="30"/>
      <c r="C19" s="214" t="s">
        <v>710</v>
      </c>
      <c r="D19" s="7">
        <v>1176.1858354726246</v>
      </c>
      <c r="E19" s="7">
        <v>1280.8778508578994</v>
      </c>
      <c r="F19" s="7">
        <v>1462.4789000640276</v>
      </c>
      <c r="G19" s="7">
        <v>1683.8725404856505</v>
      </c>
      <c r="H19" s="7">
        <v>2057.8157782814706</v>
      </c>
      <c r="I19" s="7">
        <v>2028.9696935371221</v>
      </c>
      <c r="J19" s="7">
        <v>2173.3844357268945</v>
      </c>
      <c r="K19" s="7">
        <v>2515.2068096618214</v>
      </c>
      <c r="L19" s="414">
        <f>L36/L31*100</f>
        <v>2996.8476752333158</v>
      </c>
    </row>
    <row r="20" spans="1:12" s="1" customFormat="1" ht="15" customHeight="1" thickBot="1">
      <c r="B20" s="30"/>
      <c r="C20" s="18"/>
      <c r="D20" s="7"/>
      <c r="E20" s="7"/>
      <c r="F20" s="7"/>
      <c r="G20" s="7"/>
      <c r="H20" s="7"/>
      <c r="I20" s="7"/>
      <c r="J20" s="7"/>
      <c r="K20" s="7"/>
      <c r="L20" s="8"/>
    </row>
    <row r="21" spans="1:12" s="1" customFormat="1" ht="15" customHeight="1" thickBot="1">
      <c r="B21" s="30"/>
      <c r="C21" s="18" t="s">
        <v>711</v>
      </c>
      <c r="D21" s="13">
        <v>1.0221965940948992</v>
      </c>
      <c r="E21" s="13">
        <v>1.0549051792942195</v>
      </c>
      <c r="F21" s="13">
        <v>1.0375277125980797</v>
      </c>
      <c r="G21" s="13">
        <v>0.98420258043358866</v>
      </c>
      <c r="H21" s="13">
        <v>0.98773719201585763</v>
      </c>
      <c r="I21" s="13">
        <v>0.98643847770132209</v>
      </c>
      <c r="J21" s="13">
        <v>1.0027332419190744</v>
      </c>
      <c r="K21" s="13">
        <v>1.008113223736494</v>
      </c>
      <c r="L21" s="416">
        <f>L32/L33</f>
        <v>1.0124917512164868</v>
      </c>
    </row>
    <row r="22" spans="1:12" s="1" customFormat="1" ht="15" customHeight="1" thickBot="1">
      <c r="B22" s="30"/>
      <c r="C22" s="102" t="s">
        <v>712</v>
      </c>
      <c r="D22" s="103">
        <v>1.1499999999999999</v>
      </c>
      <c r="E22" s="103">
        <v>1.1499999999999999</v>
      </c>
      <c r="F22" s="103">
        <v>1.1499999999999999</v>
      </c>
      <c r="G22" s="103">
        <v>1.1499999999999999</v>
      </c>
      <c r="H22" s="103">
        <v>1.1499999999999999</v>
      </c>
      <c r="I22" s="103">
        <v>1.1499999999999999</v>
      </c>
      <c r="J22" s="103">
        <v>1.1499999999999999</v>
      </c>
      <c r="K22" s="103">
        <v>1.1499999999999999</v>
      </c>
      <c r="L22" s="399">
        <f t="shared" ref="L22" si="2">K22</f>
        <v>1.1499999999999999</v>
      </c>
    </row>
    <row r="23" spans="1:12" s="1" customFormat="1" ht="15.75" thickBot="1">
      <c r="B23" s="5"/>
      <c r="C23" s="18" t="s">
        <v>713</v>
      </c>
      <c r="D23" s="7">
        <v>1437.1655238112332</v>
      </c>
      <c r="E23" s="7">
        <v>1605.2171437684387</v>
      </c>
      <c r="F23" s="7">
        <v>1742.6727743275499</v>
      </c>
      <c r="G23" s="7">
        <v>1617.9046192386772</v>
      </c>
      <c r="H23" s="7">
        <v>1743.4740710266153</v>
      </c>
      <c r="I23" s="7">
        <v>1854.1324465986431</v>
      </c>
      <c r="J23" s="7">
        <v>1883.294250715179</v>
      </c>
      <c r="K23" s="7">
        <v>1940.5973838917148</v>
      </c>
      <c r="L23" s="415">
        <f>L18*((1/L21)^L22)</f>
        <v>2010.4420716722698</v>
      </c>
    </row>
    <row r="24" spans="1:12" s="1" customFormat="1" ht="15.75" thickBot="1">
      <c r="B24" s="5"/>
      <c r="C24" s="18"/>
      <c r="D24" s="7"/>
      <c r="E24" s="7"/>
      <c r="F24" s="7"/>
      <c r="G24" s="7"/>
      <c r="H24" s="7"/>
      <c r="I24" s="7"/>
      <c r="J24" s="7"/>
      <c r="K24" s="7"/>
      <c r="L24" s="8"/>
    </row>
    <row r="25" spans="1:12" s="1" customFormat="1" ht="15.75" thickBot="1">
      <c r="B25" s="5"/>
      <c r="C25" s="18" t="s">
        <v>714</v>
      </c>
      <c r="D25" s="7">
        <v>260.97968833860864</v>
      </c>
      <c r="E25" s="7">
        <v>324.33929291053937</v>
      </c>
      <c r="F25" s="7">
        <v>280.19387426352228</v>
      </c>
      <c r="G25" s="7">
        <v>-65.967921246973219</v>
      </c>
      <c r="H25" s="7">
        <v>-314.34170725485524</v>
      </c>
      <c r="I25" s="7">
        <v>-174.83724693847898</v>
      </c>
      <c r="J25" s="7">
        <v>-290.09018501171545</v>
      </c>
      <c r="K25" s="7">
        <v>-574.60942577010655</v>
      </c>
      <c r="L25" s="415">
        <f>L23-L19</f>
        <v>-986.40560356104606</v>
      </c>
    </row>
    <row r="26" spans="1:12" s="1" customFormat="1" ht="15.75" thickBot="1">
      <c r="B26" s="5"/>
      <c r="C26" s="18" t="s">
        <v>715</v>
      </c>
      <c r="D26" s="13">
        <v>2.704478527751101</v>
      </c>
      <c r="E26" s="13">
        <v>3.2560615275822227</v>
      </c>
      <c r="F26" s="13">
        <v>2.7016740764359723</v>
      </c>
      <c r="G26" s="13">
        <v>-0.6133827203376917</v>
      </c>
      <c r="H26" s="13">
        <v>-2.7973698415836901</v>
      </c>
      <c r="I26" s="13">
        <v>-1.4706820309713426</v>
      </c>
      <c r="J26" s="13">
        <v>-2.3808241986366676</v>
      </c>
      <c r="K26" s="13">
        <v>-4.5345448267265649</v>
      </c>
      <c r="L26" s="416">
        <f>L25*100/L33</f>
        <v>-7.4848507560109168</v>
      </c>
    </row>
    <row r="27" spans="1:12" s="1" customFormat="1">
      <c r="B27" s="5"/>
      <c r="C27" s="18" t="s">
        <v>716</v>
      </c>
      <c r="D27" s="13"/>
      <c r="E27" s="13">
        <v>-0.55158299983112169</v>
      </c>
      <c r="F27" s="13">
        <v>0.55438745114625032</v>
      </c>
      <c r="G27" s="13">
        <v>3.3150567967736642</v>
      </c>
      <c r="H27" s="13">
        <v>2.1839871212459983</v>
      </c>
      <c r="I27" s="13">
        <v>-1.3266878106123474</v>
      </c>
      <c r="J27" s="13">
        <v>0.91014216766532496</v>
      </c>
      <c r="K27" s="13">
        <v>2.1537206280898973</v>
      </c>
      <c r="L27" s="210">
        <f>-(L26-K26)</f>
        <v>2.9503059292843519</v>
      </c>
    </row>
    <row r="28" spans="1:12" s="1" customFormat="1" ht="33" customHeight="1">
      <c r="B28" s="109" t="s">
        <v>225</v>
      </c>
      <c r="C28" s="110"/>
      <c r="D28" s="110"/>
      <c r="E28" s="110"/>
      <c r="F28" s="110"/>
      <c r="G28" s="110"/>
      <c r="H28" s="110"/>
      <c r="I28" s="110"/>
      <c r="J28" s="110"/>
      <c r="K28" s="110"/>
      <c r="L28" s="111"/>
    </row>
    <row r="29" spans="1:12" s="1" customFormat="1">
      <c r="B29" s="5"/>
      <c r="C29" s="21" t="s">
        <v>378</v>
      </c>
      <c r="D29" s="7"/>
      <c r="E29" s="7"/>
      <c r="F29" s="7"/>
      <c r="G29" s="7"/>
      <c r="H29" s="7"/>
      <c r="I29" s="7"/>
      <c r="J29" s="7"/>
      <c r="K29" s="7"/>
      <c r="L29" s="8"/>
    </row>
    <row r="30" spans="1:12" s="1" customFormat="1">
      <c r="B30" s="5"/>
      <c r="C30" s="18" t="s">
        <v>717</v>
      </c>
      <c r="D30" s="7">
        <v>10964.620135876014</v>
      </c>
      <c r="E30" s="7">
        <v>12956.322039467186</v>
      </c>
      <c r="F30" s="7">
        <v>14737.185928738949</v>
      </c>
      <c r="G30" s="7">
        <v>15747.009032492888</v>
      </c>
      <c r="H30" s="7">
        <v>17629.077878645952</v>
      </c>
      <c r="I30" s="7">
        <v>19427.849144138439</v>
      </c>
      <c r="J30" s="7">
        <v>21157.293165921488</v>
      </c>
      <c r="K30" s="7">
        <v>23646.185911788263</v>
      </c>
      <c r="L30" s="8">
        <f>PIB_Nominal!L6</f>
        <v>26705.762973114495</v>
      </c>
    </row>
    <row r="31" spans="1:12" s="1" customFormat="1">
      <c r="A31" s="2"/>
      <c r="B31" s="5"/>
      <c r="C31" s="18" t="s">
        <v>718</v>
      </c>
      <c r="D31" s="13">
        <v>111.1567883721917</v>
      </c>
      <c r="E31" s="13">
        <v>123.29950892212042</v>
      </c>
      <c r="F31" s="13">
        <v>136.95855850722415</v>
      </c>
      <c r="G31" s="13">
        <v>148.76895606822495</v>
      </c>
      <c r="H31" s="13">
        <v>158.83129260139907</v>
      </c>
      <c r="I31" s="13">
        <v>165.66834934533244</v>
      </c>
      <c r="J31" s="13">
        <v>173.16853558589361</v>
      </c>
      <c r="K31" s="13">
        <v>185.10269502464925</v>
      </c>
      <c r="L31" s="210">
        <f>IF(ISBLANK(Deflactor_PIB!L$35)," ",Deflactor_PIB!L$35)</f>
        <v>200.14332516328165</v>
      </c>
    </row>
    <row r="32" spans="1:12" s="1" customFormat="1">
      <c r="A32" s="2"/>
      <c r="B32" s="5"/>
      <c r="C32" s="18" t="s">
        <v>719</v>
      </c>
      <c r="D32" s="7">
        <v>9864.1030354013474</v>
      </c>
      <c r="E32" s="7">
        <v>10508.007819926337</v>
      </c>
      <c r="F32" s="7">
        <v>10760.324940161812</v>
      </c>
      <c r="G32" s="7">
        <v>10584.875668060318</v>
      </c>
      <c r="H32" s="7">
        <v>11099.247251539817</v>
      </c>
      <c r="I32" s="7">
        <v>11726.952807166241</v>
      </c>
      <c r="J32" s="7">
        <v>12217.746771570535</v>
      </c>
      <c r="K32" s="7">
        <v>12774.630811636434</v>
      </c>
      <c r="L32" s="8">
        <f>PIB_real!L6</f>
        <v>13343.319319456346</v>
      </c>
    </row>
    <row r="33" spans="2:16384">
      <c r="B33" s="5"/>
      <c r="C33" s="18" t="s">
        <v>292</v>
      </c>
      <c r="D33" s="7">
        <v>9649.9079456779909</v>
      </c>
      <c r="E33" s="7">
        <v>9961.0922632465245</v>
      </c>
      <c r="F33" s="7">
        <v>10371.120510330094</v>
      </c>
      <c r="G33" s="7">
        <v>10754.773334771355</v>
      </c>
      <c r="H33" s="7">
        <v>11237.044976394514</v>
      </c>
      <c r="I33" s="7">
        <v>11888.174551436117</v>
      </c>
      <c r="J33" s="7">
        <v>12184.443739181999</v>
      </c>
      <c r="K33" s="7">
        <v>12671.8214887493</v>
      </c>
      <c r="L33" s="8">
        <f>PIB_real!L19</f>
        <v>13178.694348299272</v>
      </c>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c r="WXE33" s="1"/>
      <c r="WXF33" s="1"/>
      <c r="WXG33" s="1"/>
      <c r="WXH33" s="1"/>
      <c r="WXI33" s="1"/>
      <c r="WXJ33" s="1"/>
      <c r="WXK33" s="1"/>
      <c r="WXL33" s="1"/>
      <c r="WXM33" s="1"/>
      <c r="WXN33" s="1"/>
      <c r="WXO33" s="1"/>
      <c r="WXP33" s="1"/>
      <c r="WXQ33" s="1"/>
      <c r="WXR33" s="1"/>
      <c r="WXS33" s="1"/>
      <c r="WXT33" s="1"/>
      <c r="WXU33" s="1"/>
      <c r="WXV33" s="1"/>
      <c r="WXW33" s="1"/>
      <c r="WXX33" s="1"/>
      <c r="WXY33" s="1"/>
      <c r="WXZ33" s="1"/>
      <c r="WYA33" s="1"/>
      <c r="WYB33" s="1"/>
      <c r="WYC33" s="1"/>
      <c r="WYD33" s="1"/>
      <c r="WYE33" s="1"/>
      <c r="WYF33" s="1"/>
      <c r="WYG33" s="1"/>
      <c r="WYH33" s="1"/>
      <c r="WYI33" s="1"/>
      <c r="WYJ33" s="1"/>
      <c r="WYK33" s="1"/>
      <c r="WYL33" s="1"/>
      <c r="WYM33" s="1"/>
      <c r="WYN33" s="1"/>
      <c r="WYO33" s="1"/>
      <c r="WYP33" s="1"/>
      <c r="WYQ33" s="1"/>
      <c r="WYR33" s="1"/>
      <c r="WYS33" s="1"/>
      <c r="WYT33" s="1"/>
      <c r="WYU33" s="1"/>
      <c r="WYV33" s="1"/>
      <c r="WYW33" s="1"/>
      <c r="WYX33" s="1"/>
      <c r="WYY33" s="1"/>
      <c r="WYZ33" s="1"/>
      <c r="WZA33" s="1"/>
      <c r="WZB33" s="1"/>
      <c r="WZC33" s="1"/>
      <c r="WZD33" s="1"/>
      <c r="WZE33" s="1"/>
      <c r="WZF33" s="1"/>
      <c r="WZG33" s="1"/>
      <c r="WZH33" s="1"/>
      <c r="WZI33" s="1"/>
      <c r="WZJ33" s="1"/>
      <c r="WZK33" s="1"/>
      <c r="WZL33" s="1"/>
      <c r="WZM33" s="1"/>
      <c r="WZN33" s="1"/>
      <c r="WZO33" s="1"/>
      <c r="WZP33" s="1"/>
      <c r="WZQ33" s="1"/>
      <c r="WZR33" s="1"/>
      <c r="WZS33" s="1"/>
      <c r="WZT33" s="1"/>
      <c r="WZU33" s="1"/>
      <c r="WZV33" s="1"/>
      <c r="WZW33" s="1"/>
      <c r="WZX33" s="1"/>
      <c r="WZY33" s="1"/>
      <c r="WZZ33" s="1"/>
      <c r="XAA33" s="1"/>
      <c r="XAB33" s="1"/>
      <c r="XAC33" s="1"/>
      <c r="XAD33" s="1"/>
      <c r="XAE33" s="1"/>
      <c r="XAF33" s="1"/>
      <c r="XAG33" s="1"/>
      <c r="XAH33" s="1"/>
      <c r="XAI33" s="1"/>
      <c r="XAJ33" s="1"/>
      <c r="XAK33" s="1"/>
      <c r="XAL33" s="1"/>
      <c r="XAM33" s="1"/>
      <c r="XAN33" s="1"/>
      <c r="XAO33" s="1"/>
      <c r="XAP33" s="1"/>
      <c r="XAQ33" s="1"/>
      <c r="XAR33" s="1"/>
      <c r="XAS33" s="1"/>
      <c r="XAT33" s="1"/>
      <c r="XAU33" s="1"/>
      <c r="XAV33" s="1"/>
      <c r="XAW33" s="1"/>
      <c r="XAX33" s="1"/>
      <c r="XAY33" s="1"/>
      <c r="XAZ33" s="1"/>
      <c r="XBA33" s="1"/>
      <c r="XBB33" s="1"/>
      <c r="XBC33" s="1"/>
      <c r="XBD33" s="1"/>
      <c r="XBE33" s="1"/>
      <c r="XBF33" s="1"/>
      <c r="XBG33" s="1"/>
      <c r="XBH33" s="1"/>
      <c r="XBI33" s="1"/>
      <c r="XBJ33" s="1"/>
      <c r="XBK33" s="1"/>
      <c r="XBL33" s="1"/>
      <c r="XBM33" s="1"/>
      <c r="XBN33" s="1"/>
      <c r="XBO33" s="1"/>
      <c r="XBP33" s="1"/>
      <c r="XBQ33" s="1"/>
      <c r="XBR33" s="1"/>
      <c r="XBS33" s="1"/>
      <c r="XBT33" s="1"/>
      <c r="XBU33" s="1"/>
      <c r="XBV33" s="1"/>
      <c r="XBW33" s="1"/>
      <c r="XBX33" s="1"/>
      <c r="XBY33" s="1"/>
      <c r="XBZ33" s="1"/>
      <c r="XCA33" s="1"/>
      <c r="XCB33" s="1"/>
      <c r="XCC33" s="1"/>
      <c r="XCD33" s="1"/>
      <c r="XCE33" s="1"/>
      <c r="XCF33" s="1"/>
      <c r="XCG33" s="1"/>
      <c r="XCH33" s="1"/>
      <c r="XCI33" s="1"/>
      <c r="XCJ33" s="1"/>
      <c r="XCK33" s="1"/>
      <c r="XCL33" s="1"/>
      <c r="XCM33" s="1"/>
      <c r="XCN33" s="1"/>
      <c r="XCO33" s="1"/>
      <c r="XCP33" s="1"/>
      <c r="XCQ33" s="1"/>
      <c r="XCR33" s="1"/>
      <c r="XCS33" s="1"/>
      <c r="XCT33" s="1"/>
      <c r="XCU33" s="1"/>
      <c r="XCV33" s="1"/>
      <c r="XCW33" s="1"/>
      <c r="XCX33" s="1"/>
      <c r="XCY33" s="1"/>
      <c r="XCZ33" s="1"/>
      <c r="XDA33" s="1"/>
      <c r="XDB33" s="1"/>
      <c r="XDC33" s="1"/>
      <c r="XDD33" s="1"/>
      <c r="XDE33" s="1"/>
      <c r="XDF33" s="1"/>
      <c r="XDG33" s="1"/>
      <c r="XDH33" s="1"/>
      <c r="XDI33" s="1"/>
      <c r="XDJ33" s="1"/>
      <c r="XDK33" s="1"/>
      <c r="XDL33" s="1"/>
      <c r="XDM33" s="1"/>
      <c r="XDN33" s="1"/>
      <c r="XDO33" s="1"/>
      <c r="XDP33" s="1"/>
      <c r="XDQ33" s="1"/>
      <c r="XDR33" s="1"/>
      <c r="XDS33" s="1"/>
      <c r="XDT33" s="1"/>
      <c r="XDU33" s="1"/>
      <c r="XDV33" s="1"/>
      <c r="XDW33" s="1"/>
      <c r="XDX33" s="1"/>
      <c r="XDY33" s="1"/>
      <c r="XDZ33" s="1"/>
      <c r="XEA33" s="1"/>
      <c r="XEB33" s="1"/>
      <c r="XEC33" s="1"/>
      <c r="XED33" s="1"/>
      <c r="XEE33" s="1"/>
      <c r="XEF33" s="1"/>
      <c r="XEG33" s="1"/>
      <c r="XEH33" s="1"/>
      <c r="XEI33" s="1"/>
      <c r="XEJ33" s="1"/>
      <c r="XEK33" s="1"/>
      <c r="XEL33" s="1"/>
      <c r="XEM33" s="1"/>
      <c r="XEN33" s="1"/>
      <c r="XEO33" s="1"/>
      <c r="XEP33" s="1"/>
      <c r="XEQ33" s="1"/>
      <c r="XER33" s="1"/>
      <c r="XES33" s="1"/>
      <c r="XET33" s="1"/>
      <c r="XEU33" s="1"/>
      <c r="XEV33" s="1"/>
      <c r="XEW33" s="1"/>
      <c r="XEX33" s="1"/>
      <c r="XEY33" s="1"/>
      <c r="XEZ33" s="1"/>
      <c r="XFA33" s="1"/>
      <c r="XFB33" s="1"/>
      <c r="XFC33" s="1"/>
      <c r="XFD33" s="1"/>
    </row>
    <row r="34" spans="2:16384" s="1" customFormat="1" ht="15" customHeight="1">
      <c r="B34" s="30"/>
      <c r="C34" s="18" t="s">
        <v>57</v>
      </c>
      <c r="D34" s="24">
        <v>1638.3525999999999</v>
      </c>
      <c r="E34" s="24">
        <v>2104.7018099999996</v>
      </c>
      <c r="F34" s="24">
        <v>2490.0306000000005</v>
      </c>
      <c r="G34" s="24">
        <v>2363.2648999999997</v>
      </c>
      <c r="H34" s="24">
        <v>2730.1668000000004</v>
      </c>
      <c r="I34" s="24">
        <v>3023.8538999999992</v>
      </c>
      <c r="J34" s="24">
        <v>3271.5261000000005</v>
      </c>
      <c r="K34" s="24">
        <v>3625.6334235749855</v>
      </c>
      <c r="L34" s="55">
        <f>IF(ISBLANK(Gob_EOG!L5)," ",Gob_EOG!L5)</f>
        <v>4081.6230379733606</v>
      </c>
    </row>
    <row r="35" spans="2:16384">
      <c r="B35" s="6"/>
      <c r="C35" s="18" t="s">
        <v>653</v>
      </c>
      <c r="D35" s="7">
        <v>1744.1125000000002</v>
      </c>
      <c r="E35" s="7">
        <v>1998.9584</v>
      </c>
      <c r="F35" s="7">
        <v>2343.0758199999996</v>
      </c>
      <c r="G35" s="7">
        <v>2865.1863000000003</v>
      </c>
      <c r="H35" s="7">
        <v>3669.9965000000002</v>
      </c>
      <c r="I35" s="7">
        <v>3810.7387000000003</v>
      </c>
      <c r="J35" s="7">
        <v>4235.2044999999998</v>
      </c>
      <c r="K35" s="7">
        <v>5474.6182343992159</v>
      </c>
      <c r="L35" s="55">
        <f>IF(ISBLANK(Gob_EOG!L15)," ",Gob_EOG!L15)</f>
        <v>7400.5623431694139</v>
      </c>
    </row>
    <row r="36" spans="2:16384">
      <c r="B36" s="5"/>
      <c r="C36" s="18" t="s">
        <v>679</v>
      </c>
      <c r="D36" s="7">
        <v>1307.4104000000002</v>
      </c>
      <c r="E36" s="7">
        <v>1579.3161</v>
      </c>
      <c r="F36" s="7">
        <v>2002.9900199999995</v>
      </c>
      <c r="G36" s="7">
        <v>2505.0796000000005</v>
      </c>
      <c r="H36" s="7">
        <v>3268.4554000000003</v>
      </c>
      <c r="I36" s="7">
        <v>3361.3606000000004</v>
      </c>
      <c r="J36" s="7">
        <v>3763.6179999999999</v>
      </c>
      <c r="K36" s="7">
        <v>4655.715590127531</v>
      </c>
      <c r="L36" s="55">
        <f>IF(ISBLANK(Gob_EOG!L50)," ",Gob_EOG!L50)</f>
        <v>5997.9905872904619</v>
      </c>
    </row>
    <row r="37" spans="2:16384">
      <c r="B37" s="5"/>
      <c r="C37" s="18" t="s">
        <v>663</v>
      </c>
      <c r="D37" s="7">
        <v>-105.75990000000024</v>
      </c>
      <c r="E37" s="7">
        <v>105.74340999999959</v>
      </c>
      <c r="F37" s="7">
        <v>146.95478000000094</v>
      </c>
      <c r="G37" s="7">
        <v>-501.92140000000063</v>
      </c>
      <c r="H37" s="7">
        <v>-939.82969999999978</v>
      </c>
      <c r="I37" s="7">
        <v>-786.88480000000118</v>
      </c>
      <c r="J37" s="7">
        <v>-963.67839999999933</v>
      </c>
      <c r="K37" s="7">
        <v>-1848.9848108242304</v>
      </c>
      <c r="L37" s="55">
        <f>IF(ISBLANK(Gob_EOG!L27)," ",Gob_EOG!L27)</f>
        <v>-3318.9393051960533</v>
      </c>
    </row>
    <row r="38" spans="2:16384">
      <c r="B38" s="5"/>
      <c r="C38" s="18" t="s">
        <v>664</v>
      </c>
      <c r="D38" s="7">
        <v>15.297899999999998</v>
      </c>
      <c r="E38" s="7">
        <v>28.174199999999999</v>
      </c>
      <c r="F38" s="7">
        <v>52.451399999999992</v>
      </c>
      <c r="G38" s="7">
        <v>71.119600000000005</v>
      </c>
      <c r="H38" s="7">
        <v>54.3857</v>
      </c>
      <c r="I38" s="7">
        <v>59.055800000000005</v>
      </c>
      <c r="J38" s="7">
        <v>39.501100000000008</v>
      </c>
      <c r="K38" s="7">
        <v>30.852498839947121</v>
      </c>
      <c r="L38" s="55">
        <f>IF(ISBLANK(Gob_EOG!L29)," ",Gob_EOG!L29)</f>
        <v>32.729353720947117</v>
      </c>
    </row>
    <row r="39" spans="2:16384">
      <c r="B39" s="5"/>
      <c r="C39" s="18" t="s">
        <v>705</v>
      </c>
      <c r="D39" s="7">
        <v>-121.05780000000024</v>
      </c>
      <c r="E39" s="7">
        <v>77.5692099999996</v>
      </c>
      <c r="F39" s="7">
        <v>94.503380000000945</v>
      </c>
      <c r="G39" s="7">
        <v>-573.04100000000062</v>
      </c>
      <c r="H39" s="7">
        <v>-994.21539999999936</v>
      </c>
      <c r="I39" s="7">
        <v>-845.94060000000115</v>
      </c>
      <c r="J39" s="7">
        <v>-1003.1794999999993</v>
      </c>
      <c r="K39" s="7">
        <v>-1879.8373096641776</v>
      </c>
      <c r="L39" s="55">
        <f>IF(ISBLANK(Gob_EOG!L35)," ",Gob_EOG!L35)</f>
        <v>-3351.6686589170004</v>
      </c>
    </row>
    <row r="40" spans="2:16384">
      <c r="B40" s="5"/>
      <c r="C40" s="18" t="s">
        <v>720</v>
      </c>
      <c r="D40" s="7">
        <v>330.94219999999973</v>
      </c>
      <c r="E40" s="7">
        <v>525.38570999999956</v>
      </c>
      <c r="F40" s="7">
        <v>487.04058000000094</v>
      </c>
      <c r="G40" s="7">
        <v>-141.81470000000064</v>
      </c>
      <c r="H40" s="7">
        <v>-538.28859999999963</v>
      </c>
      <c r="I40" s="7">
        <v>-337.5067000000011</v>
      </c>
      <c r="J40" s="7">
        <v>-492.09189999999933</v>
      </c>
      <c r="K40" s="7">
        <v>-1030.0821665525459</v>
      </c>
      <c r="L40" s="55">
        <f>IF(ISBLANK(Gob_EOG!L51)," ",Gob_EOG!L51)</f>
        <v>-1916.3675493171011</v>
      </c>
    </row>
    <row r="41" spans="2:16384">
      <c r="B41" s="5"/>
      <c r="C41" s="18" t="s">
        <v>337</v>
      </c>
      <c r="D41" s="7">
        <v>-499.05780000000027</v>
      </c>
      <c r="E41" s="7">
        <v>-280.4307900000004</v>
      </c>
      <c r="F41" s="7">
        <v>85.503380000000945</v>
      </c>
      <c r="G41" s="7">
        <v>-586.04100000000062</v>
      </c>
      <c r="H41" s="7">
        <v>-1074.2153999999994</v>
      </c>
      <c r="I41" s="7">
        <v>-949.94060000000115</v>
      </c>
      <c r="J41" s="7">
        <v>-1241.1794999999993</v>
      </c>
      <c r="K41" s="7">
        <v>-1879.8373096641776</v>
      </c>
      <c r="L41" s="55">
        <f>IF(ISBLANK(Gob_EOG!L52)," ",Gob_EOG!L52)</f>
        <v>-3351.6686589170004</v>
      </c>
    </row>
    <row r="42" spans="2:16384" ht="15.75" thickBot="1">
      <c r="B42" s="5"/>
      <c r="C42" s="18" t="s">
        <v>706</v>
      </c>
      <c r="D42" s="7">
        <v>-62.355700000000297</v>
      </c>
      <c r="E42" s="7">
        <v>139.21150999999958</v>
      </c>
      <c r="F42" s="7">
        <v>425.58918000000097</v>
      </c>
      <c r="G42" s="7">
        <v>-225.93430000000063</v>
      </c>
      <c r="H42" s="7">
        <v>-672.67429999999922</v>
      </c>
      <c r="I42" s="7">
        <v>-500.56250000000108</v>
      </c>
      <c r="J42" s="7">
        <v>-769.59299999999928</v>
      </c>
      <c r="K42" s="7">
        <v>-1060.9346653924931</v>
      </c>
      <c r="L42" s="55">
        <f>IF(ISBLANK(Gob_EOG!L53)," ",Gob_EOG!L53)</f>
        <v>-1949.0969030380481</v>
      </c>
    </row>
    <row r="43" spans="2:16384" ht="15.75" thickBot="1">
      <c r="B43" s="5"/>
      <c r="C43" s="18" t="s">
        <v>721</v>
      </c>
      <c r="D43" s="7">
        <v>590.92840000000012</v>
      </c>
      <c r="E43" s="7">
        <v>673.30510000000004</v>
      </c>
      <c r="F43" s="7">
        <v>808.33770000000015</v>
      </c>
      <c r="G43" s="7">
        <v>1043.2160000000001</v>
      </c>
      <c r="H43" s="7">
        <v>1254.4847</v>
      </c>
      <c r="I43" s="7">
        <v>1403.8265999999999</v>
      </c>
      <c r="J43" s="7">
        <v>1522.9592000000002</v>
      </c>
      <c r="K43" s="7">
        <v>2169.1777387678339</v>
      </c>
      <c r="L43" s="415">
        <f>Gob_EOG!L16+Gob_EOG!L17</f>
        <v>2794.5666799060377</v>
      </c>
    </row>
    <row r="44" spans="2:16384" ht="15.75" thickBot="1">
      <c r="B44" s="5"/>
      <c r="C44" s="18" t="s">
        <v>722</v>
      </c>
      <c r="D44" s="7">
        <v>15.297899999999998</v>
      </c>
      <c r="E44" s="7">
        <v>28.174199999999999</v>
      </c>
      <c r="F44" s="7">
        <v>52.451399999999992</v>
      </c>
      <c r="G44" s="7">
        <v>71.119600000000005</v>
      </c>
      <c r="H44" s="7">
        <v>54.3857</v>
      </c>
      <c r="I44" s="7">
        <v>59.055800000000005</v>
      </c>
      <c r="J44" s="7">
        <v>39.501100000000008</v>
      </c>
      <c r="K44" s="7">
        <v>30.852498839947121</v>
      </c>
      <c r="L44" s="415">
        <f>Gob_EOG!L29</f>
        <v>32.729353720947117</v>
      </c>
    </row>
    <row r="45" spans="2:16384">
      <c r="B45" s="5"/>
      <c r="C45" s="18" t="s">
        <v>723</v>
      </c>
      <c r="D45" s="7">
        <v>1076.23406497416</v>
      </c>
      <c r="E45" s="7">
        <v>1265.7068850630199</v>
      </c>
      <c r="F45" s="7">
        <v>1555.4684031117501</v>
      </c>
      <c r="G45" s="7">
        <v>1931.9534933418499</v>
      </c>
      <c r="H45" s="7">
        <v>2298.9000290041299</v>
      </c>
      <c r="I45" s="7">
        <v>2496.35003022917</v>
      </c>
      <c r="J45" s="7">
        <v>2733.1145431750042</v>
      </c>
      <c r="K45" s="7">
        <v>3337.8524368829435</v>
      </c>
      <c r="L45" s="8">
        <f>PIB_Nominal!L9</f>
        <v>4300.178374435458</v>
      </c>
    </row>
    <row r="46" spans="2:16384">
      <c r="B46" s="5"/>
      <c r="C46" s="18" t="s">
        <v>724</v>
      </c>
      <c r="D46" s="7">
        <v>234.02446092770001</v>
      </c>
      <c r="E46" s="7">
        <v>286.08395379112</v>
      </c>
      <c r="F46" s="7">
        <v>335.24812478955999</v>
      </c>
      <c r="G46" s="7">
        <v>328.85774901422667</v>
      </c>
      <c r="H46" s="7">
        <v>425.53619082492668</v>
      </c>
      <c r="I46" s="7">
        <v>510.29971704969</v>
      </c>
      <c r="J46" s="7">
        <v>534.88768087422363</v>
      </c>
      <c r="K46" s="7">
        <v>590.02672908236457</v>
      </c>
      <c r="L46" s="8">
        <f>PIB_Nominal!L12</f>
        <v>666.38522624109351</v>
      </c>
    </row>
    <row r="47" spans="2:16384">
      <c r="B47" s="5"/>
      <c r="C47" s="18"/>
      <c r="D47" s="7"/>
      <c r="E47" s="7"/>
      <c r="F47" s="7"/>
      <c r="G47" s="7"/>
      <c r="H47" s="7"/>
      <c r="I47" s="7"/>
      <c r="J47" s="7"/>
      <c r="K47" s="7"/>
      <c r="L47" s="8"/>
    </row>
    <row r="48" spans="2:16384">
      <c r="B48" s="5"/>
      <c r="C48" s="21" t="s">
        <v>683</v>
      </c>
      <c r="D48" s="7"/>
      <c r="E48" s="7"/>
      <c r="F48" s="7"/>
      <c r="G48" s="7"/>
      <c r="H48" s="7"/>
      <c r="I48" s="7"/>
      <c r="J48" s="7"/>
      <c r="K48" s="7"/>
      <c r="L48" s="8"/>
    </row>
    <row r="49" spans="2:12">
      <c r="B49" s="5"/>
      <c r="C49" s="18" t="s">
        <v>725</v>
      </c>
      <c r="D49" s="7"/>
      <c r="E49" s="7"/>
      <c r="F49" s="7"/>
      <c r="G49" s="7"/>
      <c r="H49" s="7"/>
      <c r="I49" s="7"/>
      <c r="J49" s="7"/>
      <c r="K49" s="7"/>
      <c r="L49" s="8"/>
    </row>
    <row r="50" spans="2:12" ht="15.75" thickBot="1">
      <c r="B50" s="10"/>
      <c r="C50" s="17"/>
      <c r="D50" s="11"/>
      <c r="E50" s="11"/>
      <c r="F50" s="11"/>
      <c r="G50" s="11"/>
      <c r="H50" s="11"/>
      <c r="I50" s="11"/>
      <c r="J50" s="11"/>
      <c r="K50" s="11"/>
      <c r="L50" s="12"/>
    </row>
  </sheetData>
  <hyperlinks>
    <hyperlink ref="P8" r:id="rId1" xr:uid="{00000000-0004-0000-1800-000000000000}"/>
  </hyperlinks>
  <pageMargins left="0.7" right="0.7" top="0.75" bottom="0.75" header="0.3" footer="0.3"/>
  <pageSetup orientation="portrait" r:id="rId2"/>
  <drawing r:id="rId3"/>
  <legacy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B1:T80"/>
  <sheetViews>
    <sheetView topLeftCell="A13" workbookViewId="0"/>
  </sheetViews>
  <sheetFormatPr baseColWidth="10" defaultColWidth="9.42578125" defaultRowHeight="15"/>
  <cols>
    <col min="1" max="1" width="9.42578125" style="2"/>
    <col min="2" max="2" width="2.5703125" style="3" customWidth="1"/>
    <col min="3" max="3" width="75.85546875" style="3" customWidth="1"/>
    <col min="4" max="11" width="10.28515625" style="4" customWidth="1"/>
    <col min="12" max="12" width="10.28515625" style="2" customWidth="1"/>
    <col min="13" max="13" width="9.42578125" style="2"/>
    <col min="14" max="14" width="10.42578125" style="2" bestFit="1" customWidth="1"/>
    <col min="15" max="16384" width="9.42578125" style="2"/>
  </cols>
  <sheetData>
    <row r="1" spans="2:14" ht="15.75" thickBot="1"/>
    <row r="2" spans="2:14" s="1" customFormat="1" ht="33" customHeight="1">
      <c r="B2" s="393" t="s">
        <v>726</v>
      </c>
      <c r="C2" s="282"/>
      <c r="D2" s="282"/>
      <c r="E2" s="282"/>
      <c r="F2" s="282"/>
      <c r="G2" s="282"/>
      <c r="H2" s="282"/>
      <c r="I2" s="282"/>
      <c r="J2" s="282"/>
      <c r="K2" s="282"/>
      <c r="L2" s="417"/>
    </row>
    <row r="3" spans="2:14" s="1" customFormat="1" ht="33" customHeight="1">
      <c r="B3" s="14"/>
      <c r="C3" s="16"/>
      <c r="D3" s="351">
        <v>2006</v>
      </c>
      <c r="E3" s="351">
        <v>2007</v>
      </c>
      <c r="F3" s="351">
        <v>2008</v>
      </c>
      <c r="G3" s="351">
        <v>2009</v>
      </c>
      <c r="H3" s="351">
        <v>2010</v>
      </c>
      <c r="I3" s="351">
        <v>2011</v>
      </c>
      <c r="J3" s="351">
        <v>2012</v>
      </c>
      <c r="K3" s="351">
        <v>2013</v>
      </c>
      <c r="L3" s="354">
        <v>2014</v>
      </c>
    </row>
    <row r="4" spans="2:14" s="1" customFormat="1" ht="33" customHeight="1">
      <c r="B4" s="109" t="s">
        <v>225</v>
      </c>
      <c r="C4" s="110"/>
      <c r="D4" s="110"/>
      <c r="E4" s="110"/>
      <c r="F4" s="110"/>
      <c r="G4" s="110"/>
      <c r="H4" s="110"/>
      <c r="I4" s="110"/>
      <c r="J4" s="110"/>
      <c r="K4" s="110"/>
      <c r="L4" s="111"/>
    </row>
    <row r="5" spans="2:14" ht="15.75" thickBot="1">
      <c r="B5" s="6"/>
      <c r="C5" s="180" t="s">
        <v>727</v>
      </c>
      <c r="D5" s="7"/>
      <c r="E5" s="7"/>
      <c r="F5" s="7"/>
      <c r="G5" s="7"/>
      <c r="H5" s="7"/>
      <c r="I5" s="7"/>
      <c r="J5" s="7"/>
      <c r="K5" s="7"/>
      <c r="L5" s="171"/>
    </row>
    <row r="6" spans="2:14" s="1" customFormat="1" ht="15" customHeight="1" thickBot="1">
      <c r="B6" s="30"/>
      <c r="C6" s="213" t="s">
        <v>360</v>
      </c>
      <c r="D6" s="26">
        <v>7857.2352709103461</v>
      </c>
      <c r="E6" s="26">
        <v>7566.4094709103465</v>
      </c>
      <c r="F6" s="26">
        <v>7772.7655709103456</v>
      </c>
      <c r="G6" s="26">
        <v>7888.8851709103456</v>
      </c>
      <c r="H6" s="26">
        <v>7958.2708709103463</v>
      </c>
      <c r="I6" s="26">
        <v>8044.3266709103464</v>
      </c>
      <c r="J6" s="26">
        <v>7213.8277709103459</v>
      </c>
      <c r="K6" s="418">
        <v>7255.4257455698589</v>
      </c>
      <c r="L6" s="419">
        <f>L7+L8</f>
        <v>7295.8387555325462</v>
      </c>
      <c r="N6" s="221"/>
    </row>
    <row r="7" spans="2:14" s="1" customFormat="1" ht="15" customHeight="1" thickBot="1">
      <c r="B7" s="30"/>
      <c r="C7" s="19" t="s">
        <v>728</v>
      </c>
      <c r="D7" s="24">
        <v>3210.2352709103461</v>
      </c>
      <c r="E7" s="24">
        <v>3249.409470910346</v>
      </c>
      <c r="F7" s="24">
        <v>3296.860870910346</v>
      </c>
      <c r="G7" s="24">
        <v>3374.980470910346</v>
      </c>
      <c r="H7" s="24">
        <v>3404.3661709103458</v>
      </c>
      <c r="I7" s="24">
        <v>3476.4219709103459</v>
      </c>
      <c r="J7" s="24">
        <v>2724.9230709103458</v>
      </c>
      <c r="K7" s="7">
        <v>2755.775569750293</v>
      </c>
      <c r="L7" s="398">
        <f>K7+L26+L42</f>
        <v>2788.5049234712401</v>
      </c>
      <c r="N7" s="221"/>
    </row>
    <row r="8" spans="2:14" ht="15.75" thickBot="1">
      <c r="B8" s="6"/>
      <c r="C8" s="19" t="s">
        <v>729</v>
      </c>
      <c r="D8" s="7">
        <v>4647</v>
      </c>
      <c r="E8" s="7">
        <v>4317</v>
      </c>
      <c r="F8" s="7">
        <v>4475.9047</v>
      </c>
      <c r="G8" s="7">
        <v>4513.9047</v>
      </c>
      <c r="H8" s="7">
        <v>4553.9047</v>
      </c>
      <c r="I8" s="7">
        <v>4567.9047</v>
      </c>
      <c r="J8" s="24">
        <v>4488.9047</v>
      </c>
      <c r="K8" s="7">
        <v>4499.6501758195664</v>
      </c>
      <c r="L8" s="398">
        <f>L9+L12</f>
        <v>4507.3338320613066</v>
      </c>
      <c r="N8" s="221"/>
    </row>
    <row r="9" spans="2:14" ht="15.75" thickBot="1">
      <c r="B9" s="6"/>
      <c r="C9" s="27" t="s">
        <v>670</v>
      </c>
      <c r="D9" s="7">
        <v>4532</v>
      </c>
      <c r="E9" s="7">
        <v>4226</v>
      </c>
      <c r="F9" s="7">
        <v>4364.9047</v>
      </c>
      <c r="G9" s="7">
        <v>4394.9047</v>
      </c>
      <c r="H9" s="7">
        <v>4429.9047</v>
      </c>
      <c r="I9" s="7">
        <v>4440.9047</v>
      </c>
      <c r="J9" s="24">
        <v>4345.9047</v>
      </c>
      <c r="K9" s="7">
        <v>4345.9047</v>
      </c>
      <c r="L9" s="398">
        <f>L10+L11</f>
        <v>4345.9047</v>
      </c>
      <c r="N9" s="221"/>
    </row>
    <row r="10" spans="2:14" ht="15.75" thickBot="1">
      <c r="B10" s="6"/>
      <c r="C10" s="209" t="s">
        <v>730</v>
      </c>
      <c r="D10" s="24">
        <v>185</v>
      </c>
      <c r="E10" s="24">
        <v>183</v>
      </c>
      <c r="F10" s="24">
        <v>188</v>
      </c>
      <c r="G10" s="24">
        <v>190</v>
      </c>
      <c r="H10" s="24">
        <v>165</v>
      </c>
      <c r="I10" s="24">
        <v>135</v>
      </c>
      <c r="J10" s="24">
        <v>88</v>
      </c>
      <c r="K10" s="7">
        <v>88</v>
      </c>
      <c r="L10" s="398">
        <f t="shared" ref="L10:L12" si="0">K10+L29+L45</f>
        <v>88</v>
      </c>
      <c r="N10" s="221"/>
    </row>
    <row r="11" spans="2:14" ht="15.75" thickBot="1">
      <c r="B11" s="6"/>
      <c r="C11" s="209" t="s">
        <v>731</v>
      </c>
      <c r="D11" s="7">
        <v>4347</v>
      </c>
      <c r="E11" s="7">
        <v>4043</v>
      </c>
      <c r="F11" s="7">
        <v>4176.9047</v>
      </c>
      <c r="G11" s="7">
        <v>4204.9047</v>
      </c>
      <c r="H11" s="7">
        <v>4264.9047</v>
      </c>
      <c r="I11" s="7">
        <v>4305.9047</v>
      </c>
      <c r="J11" s="24">
        <v>4257.9047</v>
      </c>
      <c r="K11" s="7">
        <v>4257.9047</v>
      </c>
      <c r="L11" s="398">
        <f t="shared" si="0"/>
        <v>4257.9047</v>
      </c>
      <c r="N11" s="221"/>
    </row>
    <row r="12" spans="2:14" ht="15.75" thickBot="1">
      <c r="B12" s="6"/>
      <c r="C12" s="27" t="s">
        <v>732</v>
      </c>
      <c r="D12" s="7">
        <v>115</v>
      </c>
      <c r="E12" s="7">
        <v>91</v>
      </c>
      <c r="F12" s="7">
        <v>111</v>
      </c>
      <c r="G12" s="7">
        <v>119</v>
      </c>
      <c r="H12" s="7">
        <v>124</v>
      </c>
      <c r="I12" s="7">
        <v>127</v>
      </c>
      <c r="J12" s="24">
        <v>143</v>
      </c>
      <c r="K12" s="7">
        <v>153.74547581956668</v>
      </c>
      <c r="L12" s="398">
        <f t="shared" si="0"/>
        <v>161.4291320613064</v>
      </c>
      <c r="N12" s="221"/>
    </row>
    <row r="13" spans="2:14" ht="15.75" thickBot="1">
      <c r="B13" s="6"/>
      <c r="C13" s="19"/>
      <c r="D13" s="24"/>
      <c r="E13" s="24"/>
      <c r="F13" s="24"/>
      <c r="G13" s="24"/>
      <c r="H13" s="24"/>
      <c r="I13" s="24"/>
      <c r="J13" s="26"/>
      <c r="K13" s="7"/>
      <c r="L13" s="171"/>
    </row>
    <row r="14" spans="2:14" ht="15.75" thickBot="1">
      <c r="B14" s="6"/>
      <c r="C14" s="213" t="s">
        <v>367</v>
      </c>
      <c r="D14" s="25">
        <v>6498.076271690642</v>
      </c>
      <c r="E14" s="25">
        <v>6152.5070616906432</v>
      </c>
      <c r="F14" s="25">
        <v>6149.9083816906423</v>
      </c>
      <c r="G14" s="25">
        <v>6762.9493816906433</v>
      </c>
      <c r="H14" s="25">
        <v>7747.1647816906425</v>
      </c>
      <c r="I14" s="25">
        <v>8559.1053816906424</v>
      </c>
      <c r="J14" s="26">
        <v>9436.2848816906426</v>
      </c>
      <c r="K14" s="25">
        <v>11374.462784132262</v>
      </c>
      <c r="L14" s="395">
        <f>L15+L18</f>
        <v>14813.915651786461</v>
      </c>
      <c r="N14" s="221"/>
    </row>
    <row r="15" spans="2:14" ht="15.75" thickBot="1">
      <c r="B15" s="6"/>
      <c r="C15" s="19" t="s">
        <v>670</v>
      </c>
      <c r="D15" s="7">
        <v>5705.4379741906423</v>
      </c>
      <c r="E15" s="7">
        <v>5339.9565316906428</v>
      </c>
      <c r="F15" s="7">
        <v>5400.3016166906418</v>
      </c>
      <c r="G15" s="7">
        <v>5955.2779456906428</v>
      </c>
      <c r="H15" s="7">
        <v>6708.7596106906421</v>
      </c>
      <c r="I15" s="7">
        <v>7622.1767256906433</v>
      </c>
      <c r="J15" s="24">
        <v>8169.4070366247106</v>
      </c>
      <c r="K15" s="7">
        <v>9764.2951572229558</v>
      </c>
      <c r="L15" s="397">
        <f>L16+L17</f>
        <v>12815.963816139956</v>
      </c>
      <c r="N15" s="221"/>
    </row>
    <row r="16" spans="2:14" ht="15.75" thickBot="1">
      <c r="B16" s="6"/>
      <c r="C16" s="27" t="s">
        <v>733</v>
      </c>
      <c r="D16" s="7">
        <v>709.20198117884229</v>
      </c>
      <c r="E16" s="7">
        <v>490.76353431440947</v>
      </c>
      <c r="F16" s="7">
        <v>523.90161553462258</v>
      </c>
      <c r="G16" s="7">
        <v>784.51079682865793</v>
      </c>
      <c r="H16" s="7">
        <v>782.7412347708721</v>
      </c>
      <c r="I16" s="7">
        <v>979.47410862403706</v>
      </c>
      <c r="J16" s="24">
        <v>555.47592566507194</v>
      </c>
      <c r="K16" s="7">
        <v>1033.9423618445458</v>
      </c>
      <c r="L16" s="398">
        <f t="shared" ref="L16:L18" si="1">K16+L35+L51</f>
        <v>1949.4429595196457</v>
      </c>
      <c r="N16" s="221"/>
    </row>
    <row r="17" spans="2:14">
      <c r="B17" s="6"/>
      <c r="C17" s="27" t="s">
        <v>734</v>
      </c>
      <c r="D17" s="7">
        <v>4996.2359930118</v>
      </c>
      <c r="E17" s="7">
        <v>4849.1929973762335</v>
      </c>
      <c r="F17" s="7">
        <v>4876.4000011560192</v>
      </c>
      <c r="G17" s="7">
        <v>5170.7671488619844</v>
      </c>
      <c r="H17" s="7">
        <v>5926.0183759197698</v>
      </c>
      <c r="I17" s="7">
        <v>6642.7026170666059</v>
      </c>
      <c r="J17" s="24">
        <v>7613.9311109596383</v>
      </c>
      <c r="K17" s="7">
        <v>8730.3527953784105</v>
      </c>
      <c r="L17" s="397">
        <f t="shared" si="1"/>
        <v>10866.520856620311</v>
      </c>
      <c r="M17" s="221"/>
      <c r="N17" s="221"/>
    </row>
    <row r="18" spans="2:14">
      <c r="B18" s="6"/>
      <c r="C18" s="19" t="s">
        <v>732</v>
      </c>
      <c r="D18" s="7">
        <v>792.63829750000002</v>
      </c>
      <c r="E18" s="7">
        <v>812.55052999999998</v>
      </c>
      <c r="F18" s="7">
        <v>749.606765</v>
      </c>
      <c r="G18" s="7">
        <v>807.67143600000009</v>
      </c>
      <c r="H18" s="7">
        <v>1038.4051710000001</v>
      </c>
      <c r="I18" s="7">
        <v>936.92865599999993</v>
      </c>
      <c r="J18" s="24">
        <v>1223</v>
      </c>
      <c r="K18" s="7">
        <v>1610.1676269093064</v>
      </c>
      <c r="L18" s="397">
        <f t="shared" si="1"/>
        <v>1997.9518356465057</v>
      </c>
      <c r="M18" s="221"/>
      <c r="N18" s="221"/>
    </row>
    <row r="19" spans="2:14" ht="15.75" thickBot="1">
      <c r="B19" s="6"/>
      <c r="C19" s="18"/>
      <c r="D19" s="7"/>
      <c r="E19" s="7"/>
      <c r="F19" s="7"/>
      <c r="G19" s="7"/>
      <c r="H19" s="7"/>
      <c r="I19" s="7"/>
      <c r="J19" s="7"/>
      <c r="K19" s="7"/>
      <c r="L19" s="171"/>
    </row>
    <row r="20" spans="2:14" ht="15.75" thickBot="1">
      <c r="B20" s="6"/>
      <c r="C20" s="213" t="s">
        <v>735</v>
      </c>
      <c r="D20" s="25">
        <v>1359.1589992197041</v>
      </c>
      <c r="E20" s="25">
        <v>1413.9024092197033</v>
      </c>
      <c r="F20" s="25">
        <v>1622.8571892197033</v>
      </c>
      <c r="G20" s="25">
        <v>1125.9357892197022</v>
      </c>
      <c r="H20" s="25">
        <v>211.10608921970379</v>
      </c>
      <c r="I20" s="25">
        <v>-514.77871078029602</v>
      </c>
      <c r="J20" s="7">
        <v>-2222.4571107802967</v>
      </c>
      <c r="K20" s="7">
        <v>-4119.0370385624028</v>
      </c>
      <c r="L20" s="398">
        <f>L6-L14</f>
        <v>-7518.076896253915</v>
      </c>
    </row>
    <row r="21" spans="2:14" ht="15.75" thickBot="1">
      <c r="B21" s="6"/>
      <c r="C21" s="213" t="s">
        <v>736</v>
      </c>
      <c r="D21" s="26">
        <v>-1851.076271690642</v>
      </c>
      <c r="E21" s="26">
        <v>-1835.5070616906432</v>
      </c>
      <c r="F21" s="26">
        <v>-1674.0036816906422</v>
      </c>
      <c r="G21" s="26">
        <v>-2249.0446816906433</v>
      </c>
      <c r="H21" s="26">
        <v>-3193.2600816906424</v>
      </c>
      <c r="I21" s="26">
        <v>-3991.2006816906423</v>
      </c>
      <c r="J21" s="7">
        <v>-4947.3801816906425</v>
      </c>
      <c r="K21" s="7">
        <v>-6874.8126083126954</v>
      </c>
      <c r="L21" s="420">
        <f>L8-L14</f>
        <v>-10306.581819725154</v>
      </c>
    </row>
    <row r="22" spans="2:14">
      <c r="B22" s="6"/>
      <c r="C22" s="19"/>
      <c r="D22" s="7"/>
      <c r="E22" s="7"/>
      <c r="F22" s="7"/>
      <c r="G22" s="7"/>
      <c r="H22" s="7"/>
      <c r="I22" s="7"/>
      <c r="J22" s="7"/>
      <c r="K22" s="7"/>
      <c r="L22" s="171"/>
    </row>
    <row r="23" spans="2:14">
      <c r="B23" s="6"/>
      <c r="C23" s="214"/>
      <c r="D23" s="7"/>
      <c r="E23" s="7"/>
      <c r="F23" s="7"/>
      <c r="G23" s="7"/>
      <c r="H23" s="7"/>
      <c r="I23" s="7"/>
      <c r="J23" s="7"/>
      <c r="K23" s="7"/>
      <c r="L23" s="171"/>
    </row>
    <row r="24" spans="2:14" ht="15.75" thickBot="1">
      <c r="B24" s="6"/>
      <c r="C24" s="180" t="s">
        <v>737</v>
      </c>
      <c r="D24" s="7"/>
      <c r="E24" s="7"/>
      <c r="F24" s="7"/>
      <c r="G24" s="7"/>
      <c r="H24" s="7"/>
      <c r="I24" s="7"/>
      <c r="J24" s="7"/>
      <c r="K24" s="7"/>
      <c r="L24" s="171"/>
    </row>
    <row r="25" spans="2:14" s="1" customFormat="1" ht="15" customHeight="1" thickBot="1">
      <c r="B25" s="30"/>
      <c r="C25" s="213" t="s">
        <v>327</v>
      </c>
      <c r="D25" s="26">
        <v>-279.70209999999997</v>
      </c>
      <c r="E25" s="26">
        <v>-239.82580000000002</v>
      </c>
      <c r="F25" s="26">
        <v>144.35609999999997</v>
      </c>
      <c r="G25" s="26">
        <v>111.11960000000001</v>
      </c>
      <c r="H25" s="26">
        <v>44.3857</v>
      </c>
      <c r="I25" s="26">
        <v>25.055800000000005</v>
      </c>
      <c r="J25" s="26">
        <v>-86.498899999999992</v>
      </c>
      <c r="K25" s="26">
        <v>30.852498839947121</v>
      </c>
      <c r="L25" s="421">
        <f>L26+L27</f>
        <v>32.729353720947117</v>
      </c>
    </row>
    <row r="26" spans="2:14" s="1" customFormat="1" ht="15" customHeight="1" thickBot="1">
      <c r="B26" s="30"/>
      <c r="C26" s="19" t="s">
        <v>728</v>
      </c>
      <c r="D26" s="24">
        <v>15.297899999999998</v>
      </c>
      <c r="E26" s="24">
        <v>28.174199999999999</v>
      </c>
      <c r="F26" s="24">
        <v>52.451399999999992</v>
      </c>
      <c r="G26" s="24">
        <v>71.119600000000005</v>
      </c>
      <c r="H26" s="24">
        <v>54.3857</v>
      </c>
      <c r="I26" s="24">
        <v>59.055800000000005</v>
      </c>
      <c r="J26" s="24">
        <v>39.501100000000008</v>
      </c>
      <c r="K26" s="24">
        <v>30.852498839947121</v>
      </c>
      <c r="L26" s="424">
        <f>Gob_EOG!L29</f>
        <v>32.729353720947117</v>
      </c>
    </row>
    <row r="27" spans="2:14" ht="15.75" thickBot="1">
      <c r="B27" s="6"/>
      <c r="C27" s="19" t="s">
        <v>729</v>
      </c>
      <c r="D27" s="7">
        <v>-295</v>
      </c>
      <c r="E27" s="7">
        <v>-268</v>
      </c>
      <c r="F27" s="7">
        <v>91.904699999999991</v>
      </c>
      <c r="G27" s="7">
        <v>40</v>
      </c>
      <c r="H27" s="7">
        <v>-10</v>
      </c>
      <c r="I27" s="7">
        <v>-34</v>
      </c>
      <c r="J27" s="7">
        <v>-126</v>
      </c>
      <c r="K27" s="7">
        <v>0</v>
      </c>
      <c r="L27" s="423">
        <f>Gob_EOG!L36</f>
        <v>0</v>
      </c>
    </row>
    <row r="28" spans="2:14" ht="15.75" thickBot="1">
      <c r="B28" s="6"/>
      <c r="C28" s="27" t="s">
        <v>670</v>
      </c>
      <c r="D28" s="7">
        <v>-297</v>
      </c>
      <c r="E28" s="7">
        <v>-265</v>
      </c>
      <c r="F28" s="7">
        <v>86.904699999999991</v>
      </c>
      <c r="G28" s="7">
        <v>39</v>
      </c>
      <c r="H28" s="7">
        <v>-12</v>
      </c>
      <c r="I28" s="7">
        <v>-30</v>
      </c>
      <c r="J28" s="7">
        <v>-132</v>
      </c>
      <c r="K28" s="7">
        <v>0</v>
      </c>
      <c r="L28" s="415">
        <f>Gob_EOG!L37</f>
        <v>0</v>
      </c>
    </row>
    <row r="29" spans="2:14" ht="15.75" thickBot="1">
      <c r="B29" s="6"/>
      <c r="C29" s="209" t="s">
        <v>730</v>
      </c>
      <c r="D29" s="7">
        <v>-10</v>
      </c>
      <c r="E29" s="24">
        <v>-2</v>
      </c>
      <c r="F29" s="24">
        <v>5</v>
      </c>
      <c r="G29" s="24">
        <v>2</v>
      </c>
      <c r="H29" s="24">
        <v>-25</v>
      </c>
      <c r="I29" s="24">
        <v>-30</v>
      </c>
      <c r="J29" s="24">
        <v>-47</v>
      </c>
      <c r="K29" s="24">
        <v>0</v>
      </c>
      <c r="L29" s="422">
        <f>Gob_EOG!L38</f>
        <v>0</v>
      </c>
    </row>
    <row r="30" spans="2:14" ht="15.75" thickBot="1">
      <c r="B30" s="6"/>
      <c r="C30" s="209" t="s">
        <v>731</v>
      </c>
      <c r="D30" s="7">
        <v>-287</v>
      </c>
      <c r="E30" s="7">
        <v>-263</v>
      </c>
      <c r="F30" s="7">
        <v>81.904699999999991</v>
      </c>
      <c r="G30" s="7">
        <v>37</v>
      </c>
      <c r="H30" s="7">
        <v>13</v>
      </c>
      <c r="I30" s="7">
        <v>0</v>
      </c>
      <c r="J30" s="7">
        <v>-85</v>
      </c>
      <c r="K30" s="7">
        <v>0</v>
      </c>
      <c r="L30" s="415">
        <f>Gob_EOG!L39</f>
        <v>0</v>
      </c>
    </row>
    <row r="31" spans="2:14" ht="15.75" thickBot="1">
      <c r="B31" s="6"/>
      <c r="C31" s="27" t="s">
        <v>732</v>
      </c>
      <c r="D31" s="7">
        <v>2</v>
      </c>
      <c r="E31" s="7">
        <v>-3</v>
      </c>
      <c r="F31" s="7">
        <v>5</v>
      </c>
      <c r="G31" s="7">
        <v>1</v>
      </c>
      <c r="H31" s="7">
        <v>2</v>
      </c>
      <c r="I31" s="7">
        <v>-4</v>
      </c>
      <c r="J31" s="7">
        <v>6</v>
      </c>
      <c r="K31" s="7">
        <v>0</v>
      </c>
      <c r="L31" s="414">
        <f>Gob_EOG!L42</f>
        <v>0</v>
      </c>
    </row>
    <row r="32" spans="2:14" ht="15.75" thickBot="1">
      <c r="B32" s="6"/>
      <c r="C32" s="18"/>
      <c r="D32" s="24"/>
      <c r="E32" s="24"/>
      <c r="F32" s="24"/>
      <c r="G32" s="24"/>
      <c r="H32" s="24"/>
      <c r="I32" s="24"/>
      <c r="J32" s="24"/>
      <c r="K32" s="24"/>
      <c r="L32" s="171"/>
    </row>
    <row r="33" spans="2:20" ht="15.75" thickBot="1">
      <c r="B33" s="6"/>
      <c r="C33" s="213" t="s">
        <v>328</v>
      </c>
      <c r="D33" s="25">
        <v>-173.94219999999976</v>
      </c>
      <c r="E33" s="25">
        <v>-345.5692099999996</v>
      </c>
      <c r="F33" s="25">
        <v>-2.5986800000009538</v>
      </c>
      <c r="G33" s="25">
        <v>613.04100000000062</v>
      </c>
      <c r="H33" s="25">
        <v>984.21539999999936</v>
      </c>
      <c r="I33" s="25">
        <v>811.94060000000115</v>
      </c>
      <c r="J33" s="25">
        <v>877.17949999999928</v>
      </c>
      <c r="K33" s="25">
        <v>1879.8373096641776</v>
      </c>
      <c r="L33" s="415">
        <f>Gob_EOG!L43</f>
        <v>3351.6686589170004</v>
      </c>
    </row>
    <row r="34" spans="2:20" ht="15.75" thickBot="1">
      <c r="B34" s="6"/>
      <c r="C34" s="19" t="s">
        <v>670</v>
      </c>
      <c r="D34" s="7">
        <v>-185.30285749999976</v>
      </c>
      <c r="E34" s="7">
        <v>-415.48144249999956</v>
      </c>
      <c r="F34" s="7">
        <v>47.345084999999031</v>
      </c>
      <c r="G34" s="7">
        <v>577.97632900000053</v>
      </c>
      <c r="H34" s="7">
        <v>764.48166499999934</v>
      </c>
      <c r="I34" s="7">
        <v>940.41711500000133</v>
      </c>
      <c r="J34" s="7">
        <v>592.23031093406746</v>
      </c>
      <c r="K34" s="7">
        <v>1594.8881205982457</v>
      </c>
      <c r="L34" s="415">
        <f>Gob_EOG!L44</f>
        <v>3051.6686589170004</v>
      </c>
    </row>
    <row r="35" spans="2:20" ht="15.75" thickBot="1">
      <c r="B35" s="6"/>
      <c r="C35" s="27" t="s">
        <v>733</v>
      </c>
      <c r="D35" s="7">
        <v>-131.39650726686148</v>
      </c>
      <c r="E35" s="7">
        <v>-218.43844686443282</v>
      </c>
      <c r="F35" s="7">
        <v>33.138081220213053</v>
      </c>
      <c r="G35" s="7">
        <v>260.60918129403541</v>
      </c>
      <c r="H35" s="7">
        <v>-1.7695620577858335</v>
      </c>
      <c r="I35" s="7">
        <v>196.73287385316496</v>
      </c>
      <c r="J35" s="7">
        <v>177.66909328022024</v>
      </c>
      <c r="K35" s="7">
        <v>478.4664361794737</v>
      </c>
      <c r="L35" s="423">
        <f>Gob_EOG!L45</f>
        <v>915.50059767510004</v>
      </c>
    </row>
    <row r="36" spans="2:20" ht="15.75" thickBot="1">
      <c r="B36" s="6"/>
      <c r="C36" s="27" t="s">
        <v>734</v>
      </c>
      <c r="D36" s="7">
        <v>-53.906350233138284</v>
      </c>
      <c r="E36" s="7">
        <v>-197.04299563556674</v>
      </c>
      <c r="F36" s="7">
        <v>14.207003779785978</v>
      </c>
      <c r="G36" s="7">
        <v>317.36714770596512</v>
      </c>
      <c r="H36" s="7">
        <v>766.25122705778517</v>
      </c>
      <c r="I36" s="7">
        <v>743.68424114683637</v>
      </c>
      <c r="J36" s="7">
        <v>414.56121765384722</v>
      </c>
      <c r="K36" s="7">
        <v>1116.421684418772</v>
      </c>
      <c r="L36" s="415">
        <f>Gob_EOG!L46</f>
        <v>2136.1680612419004</v>
      </c>
    </row>
    <row r="37" spans="2:20" ht="15.75" thickBot="1">
      <c r="B37" s="6"/>
      <c r="C37" s="19" t="s">
        <v>732</v>
      </c>
      <c r="D37" s="7">
        <v>11.360657500000002</v>
      </c>
      <c r="E37" s="7">
        <v>69.912232499999959</v>
      </c>
      <c r="F37" s="7">
        <v>-49.943764999999985</v>
      </c>
      <c r="G37" s="7">
        <v>35.064671000000089</v>
      </c>
      <c r="H37" s="7">
        <v>219.73373500000002</v>
      </c>
      <c r="I37" s="7">
        <v>-128.47651500000018</v>
      </c>
      <c r="J37" s="7">
        <v>284.94918906593182</v>
      </c>
      <c r="K37" s="7">
        <v>284.94918906593182</v>
      </c>
      <c r="L37" s="414">
        <f>Gob_EOG!L47</f>
        <v>300</v>
      </c>
      <c r="M37" s="221"/>
    </row>
    <row r="38" spans="2:20">
      <c r="B38" s="6"/>
      <c r="C38" s="19"/>
      <c r="D38" s="7"/>
      <c r="E38" s="7"/>
      <c r="F38" s="7"/>
      <c r="G38" s="7"/>
      <c r="H38" s="7"/>
      <c r="I38" s="7"/>
      <c r="J38" s="7"/>
      <c r="K38" s="7"/>
      <c r="L38" s="171"/>
    </row>
    <row r="39" spans="2:20">
      <c r="B39" s="6"/>
      <c r="C39" s="19"/>
      <c r="D39" s="7"/>
      <c r="E39" s="7"/>
      <c r="F39" s="7"/>
      <c r="G39" s="7"/>
      <c r="H39" s="7"/>
      <c r="I39" s="7"/>
      <c r="J39" s="7"/>
      <c r="K39" s="7"/>
      <c r="L39" s="171"/>
    </row>
    <row r="40" spans="2:20">
      <c r="B40" s="6"/>
      <c r="C40" s="213" t="s">
        <v>738</v>
      </c>
      <c r="D40" s="25">
        <v>96</v>
      </c>
      <c r="E40" s="25">
        <v>-51</v>
      </c>
      <c r="F40" s="25">
        <v>62</v>
      </c>
      <c r="G40" s="25">
        <v>5</v>
      </c>
      <c r="H40" s="25">
        <v>25</v>
      </c>
      <c r="I40" s="25">
        <v>61</v>
      </c>
      <c r="J40" s="25">
        <v>-744</v>
      </c>
      <c r="K40" s="25">
        <v>-91.472962023807639</v>
      </c>
      <c r="L40" s="48">
        <f t="shared" ref="L40" si="2">L41-L49</f>
        <v>-80.100552495459553</v>
      </c>
    </row>
    <row r="41" spans="2:20">
      <c r="B41" s="6"/>
      <c r="C41" s="213" t="s">
        <v>360</v>
      </c>
      <c r="D41" s="25">
        <v>96</v>
      </c>
      <c r="E41" s="25">
        <v>-51</v>
      </c>
      <c r="F41" s="25">
        <v>62</v>
      </c>
      <c r="G41" s="25">
        <v>5</v>
      </c>
      <c r="H41" s="25">
        <v>25</v>
      </c>
      <c r="I41" s="25">
        <v>61</v>
      </c>
      <c r="J41" s="25">
        <v>-744</v>
      </c>
      <c r="K41" s="7">
        <v>10.74547581956668</v>
      </c>
      <c r="L41" s="8">
        <f>L42+L43</f>
        <v>7.6836562417397349</v>
      </c>
    </row>
    <row r="42" spans="2:20">
      <c r="B42" s="5"/>
      <c r="C42" s="19" t="s">
        <v>739</v>
      </c>
      <c r="D42" s="7">
        <v>23</v>
      </c>
      <c r="E42" s="7">
        <v>11</v>
      </c>
      <c r="F42" s="7">
        <v>-5</v>
      </c>
      <c r="G42" s="7">
        <v>7</v>
      </c>
      <c r="H42" s="7">
        <v>-25</v>
      </c>
      <c r="I42" s="7">
        <v>13</v>
      </c>
      <c r="J42" s="7">
        <v>-791</v>
      </c>
      <c r="K42" s="7">
        <v>0</v>
      </c>
      <c r="L42" s="8">
        <v>0</v>
      </c>
    </row>
    <row r="43" spans="2:20" s="1" customFormat="1" ht="15" customHeight="1">
      <c r="B43" s="30"/>
      <c r="C43" s="19" t="s">
        <v>729</v>
      </c>
      <c r="D43" s="7">
        <v>73</v>
      </c>
      <c r="E43" s="7">
        <v>-62</v>
      </c>
      <c r="F43" s="7">
        <v>67</v>
      </c>
      <c r="G43" s="7">
        <v>-2</v>
      </c>
      <c r="H43" s="7">
        <v>50</v>
      </c>
      <c r="I43" s="7">
        <v>48</v>
      </c>
      <c r="J43" s="7">
        <v>47</v>
      </c>
      <c r="K43" s="7">
        <v>10.74547581956668</v>
      </c>
      <c r="L43" s="8">
        <f>L44+L47</f>
        <v>7.6836562417397349</v>
      </c>
      <c r="N43" s="2"/>
      <c r="O43" s="2"/>
      <c r="P43" s="2"/>
      <c r="Q43" s="2"/>
      <c r="R43" s="2"/>
      <c r="S43" s="2"/>
      <c r="T43" s="2"/>
    </row>
    <row r="44" spans="2:20">
      <c r="B44" s="5"/>
      <c r="C44" s="27" t="s">
        <v>670</v>
      </c>
      <c r="D44" s="7">
        <v>63</v>
      </c>
      <c r="E44" s="7">
        <v>-41</v>
      </c>
      <c r="F44" s="7">
        <v>52</v>
      </c>
      <c r="G44" s="7">
        <v>-9</v>
      </c>
      <c r="H44" s="7">
        <v>47</v>
      </c>
      <c r="I44" s="7">
        <v>41</v>
      </c>
      <c r="J44" s="7">
        <v>37</v>
      </c>
      <c r="K44" s="7">
        <v>0</v>
      </c>
      <c r="L44" s="8">
        <f>L45+L46</f>
        <v>0</v>
      </c>
    </row>
    <row r="45" spans="2:20">
      <c r="B45" s="5"/>
      <c r="C45" s="209" t="s">
        <v>730</v>
      </c>
      <c r="D45" s="7">
        <v>0</v>
      </c>
      <c r="E45" s="7">
        <v>0</v>
      </c>
      <c r="F45" s="7">
        <v>0</v>
      </c>
      <c r="G45" s="7">
        <v>0</v>
      </c>
      <c r="H45" s="7">
        <v>0</v>
      </c>
      <c r="I45" s="7">
        <v>0</v>
      </c>
      <c r="J45" s="7">
        <v>0</v>
      </c>
      <c r="K45" s="7">
        <v>0</v>
      </c>
      <c r="L45" s="8">
        <v>0</v>
      </c>
    </row>
    <row r="46" spans="2:20">
      <c r="B46" s="5"/>
      <c r="C46" s="209" t="s">
        <v>731</v>
      </c>
      <c r="D46" s="7">
        <v>63</v>
      </c>
      <c r="E46" s="7">
        <v>-41</v>
      </c>
      <c r="F46" s="7">
        <v>52</v>
      </c>
      <c r="G46" s="7">
        <v>-9</v>
      </c>
      <c r="H46" s="7">
        <v>47</v>
      </c>
      <c r="I46" s="7">
        <v>41</v>
      </c>
      <c r="J46" s="7">
        <v>37</v>
      </c>
      <c r="K46" s="7">
        <v>0</v>
      </c>
      <c r="L46" s="8">
        <v>0</v>
      </c>
    </row>
    <row r="47" spans="2:20">
      <c r="B47" s="5"/>
      <c r="C47" s="27" t="s">
        <v>732</v>
      </c>
      <c r="D47" s="7">
        <v>10</v>
      </c>
      <c r="E47" s="7">
        <v>-21</v>
      </c>
      <c r="F47" s="7">
        <v>15</v>
      </c>
      <c r="G47" s="7">
        <v>7</v>
      </c>
      <c r="H47" s="7">
        <v>3</v>
      </c>
      <c r="I47" s="7">
        <v>7</v>
      </c>
      <c r="J47" s="7">
        <v>10</v>
      </c>
      <c r="K47" s="7">
        <v>10.74547581956668</v>
      </c>
      <c r="L47" s="8">
        <f>(K12/'TC nominal'!H$14)*('TC nominal'!I$14-'TC nominal'!H$14)</f>
        <v>7.6836562417397349</v>
      </c>
    </row>
    <row r="48" spans="2:20">
      <c r="B48" s="5"/>
      <c r="C48" s="18"/>
      <c r="D48" s="7"/>
      <c r="E48" s="7"/>
      <c r="F48" s="7"/>
      <c r="G48" s="7"/>
      <c r="H48" s="7"/>
      <c r="I48" s="7"/>
      <c r="J48" s="7"/>
      <c r="K48" s="7"/>
      <c r="L48" s="8"/>
    </row>
    <row r="49" spans="2:12">
      <c r="B49" s="5"/>
      <c r="C49" s="213" t="s">
        <v>367</v>
      </c>
      <c r="D49" s="25">
        <v>0</v>
      </c>
      <c r="E49" s="25">
        <v>0</v>
      </c>
      <c r="F49" s="25">
        <v>0</v>
      </c>
      <c r="G49" s="25">
        <v>0</v>
      </c>
      <c r="H49" s="25">
        <v>0</v>
      </c>
      <c r="I49" s="25">
        <v>0</v>
      </c>
      <c r="J49" s="25">
        <v>0</v>
      </c>
      <c r="K49" s="7">
        <v>102.21843784337432</v>
      </c>
      <c r="L49" s="8">
        <f>L50+L53</f>
        <v>87.784208737199293</v>
      </c>
    </row>
    <row r="50" spans="2:12">
      <c r="B50" s="5"/>
      <c r="C50" s="19" t="s">
        <v>670</v>
      </c>
      <c r="D50" s="7">
        <v>0</v>
      </c>
      <c r="E50" s="7">
        <v>50</v>
      </c>
      <c r="F50" s="7">
        <v>13</v>
      </c>
      <c r="G50" s="7">
        <v>-23</v>
      </c>
      <c r="H50" s="7">
        <v>-11</v>
      </c>
      <c r="I50" s="7">
        <v>-27</v>
      </c>
      <c r="J50" s="7">
        <v>-45</v>
      </c>
      <c r="K50" s="7">
        <v>0</v>
      </c>
      <c r="L50" s="8">
        <f>L51+L52</f>
        <v>0</v>
      </c>
    </row>
    <row r="51" spans="2:12">
      <c r="B51" s="5"/>
      <c r="C51" s="27" t="s">
        <v>733</v>
      </c>
      <c r="D51" s="7">
        <v>0</v>
      </c>
      <c r="E51" s="7">
        <v>0</v>
      </c>
      <c r="F51" s="7">
        <v>0</v>
      </c>
      <c r="G51" s="7">
        <v>0</v>
      </c>
      <c r="H51" s="7">
        <v>0</v>
      </c>
      <c r="I51" s="7">
        <v>0</v>
      </c>
      <c r="J51" s="7">
        <v>0</v>
      </c>
      <c r="K51" s="7">
        <v>0</v>
      </c>
      <c r="L51" s="8">
        <v>0</v>
      </c>
    </row>
    <row r="52" spans="2:12">
      <c r="B52" s="5"/>
      <c r="C52" s="27" t="s">
        <v>734</v>
      </c>
      <c r="D52" s="7">
        <v>0</v>
      </c>
      <c r="E52" s="7">
        <v>50</v>
      </c>
      <c r="F52" s="7">
        <v>13</v>
      </c>
      <c r="G52" s="7">
        <v>-23</v>
      </c>
      <c r="H52" s="7">
        <v>-11</v>
      </c>
      <c r="I52" s="7">
        <v>-27</v>
      </c>
      <c r="J52" s="7">
        <v>-45</v>
      </c>
      <c r="K52" s="7">
        <v>0</v>
      </c>
      <c r="L52" s="8">
        <v>0</v>
      </c>
    </row>
    <row r="53" spans="2:12">
      <c r="B53" s="5"/>
      <c r="C53" s="19" t="s">
        <v>740</v>
      </c>
      <c r="D53" s="7">
        <v>0</v>
      </c>
      <c r="E53" s="7">
        <v>-50</v>
      </c>
      <c r="F53" s="7">
        <v>-13</v>
      </c>
      <c r="G53" s="7">
        <v>23</v>
      </c>
      <c r="H53" s="7">
        <v>11</v>
      </c>
      <c r="I53" s="7">
        <v>27</v>
      </c>
      <c r="J53" s="7">
        <v>45</v>
      </c>
      <c r="K53" s="7">
        <v>102.21843784337432</v>
      </c>
      <c r="L53" s="8">
        <f>(K18/'TC nominal'!H$14)*('TC nominal'!I$14-'TC nominal'!H$14)+(L37/'TC nominal'!I13)*('TC nominal'!I14-'TC nominal'!I13)</f>
        <v>87.784208737199293</v>
      </c>
    </row>
    <row r="54" spans="2:12">
      <c r="B54" s="5"/>
      <c r="C54" s="19"/>
      <c r="D54" s="7"/>
      <c r="E54" s="7"/>
      <c r="F54" s="7"/>
      <c r="G54" s="7"/>
      <c r="H54" s="7"/>
      <c r="I54" s="7"/>
      <c r="J54" s="7"/>
      <c r="K54" s="7"/>
      <c r="L54" s="8"/>
    </row>
    <row r="55" spans="2:12">
      <c r="B55" s="5"/>
      <c r="C55" s="19"/>
      <c r="D55" s="7"/>
      <c r="E55" s="7"/>
      <c r="F55" s="7"/>
      <c r="G55" s="7"/>
      <c r="H55" s="7"/>
      <c r="I55" s="7"/>
      <c r="J55" s="7"/>
      <c r="K55" s="7"/>
      <c r="L55" s="8"/>
    </row>
    <row r="56" spans="2:12" ht="15.75" thickBot="1">
      <c r="B56" s="5"/>
      <c r="C56" s="180" t="s">
        <v>741</v>
      </c>
      <c r="D56" s="7"/>
      <c r="E56" s="7"/>
      <c r="F56" s="7"/>
      <c r="G56" s="7"/>
      <c r="H56" s="7"/>
      <c r="I56" s="7"/>
      <c r="J56" s="7"/>
      <c r="K56" s="7"/>
      <c r="L56" s="8"/>
    </row>
    <row r="57" spans="2:12" ht="18.75" thickBot="1">
      <c r="B57" s="5"/>
      <c r="C57" s="18" t="s">
        <v>742</v>
      </c>
      <c r="D57" s="33" t="s">
        <v>151</v>
      </c>
      <c r="E57" s="7">
        <v>0</v>
      </c>
      <c r="F57" s="7">
        <v>0</v>
      </c>
      <c r="G57" s="7">
        <v>0</v>
      </c>
      <c r="H57" s="7">
        <v>-1.3642420526593924E-12</v>
      </c>
      <c r="I57" s="7">
        <v>-1.3642420526593924E-12</v>
      </c>
      <c r="J57" s="7">
        <v>0</v>
      </c>
      <c r="K57" s="7">
        <v>-43.877845065931979</v>
      </c>
      <c r="L57" s="415">
        <f t="shared" ref="L57" si="3">K20+L62+L40-L20</f>
        <v>0</v>
      </c>
    </row>
    <row r="58" spans="2:12" ht="15.75" thickBot="1">
      <c r="B58" s="5"/>
      <c r="C58" s="18" t="s">
        <v>743</v>
      </c>
      <c r="D58" s="33" t="s">
        <v>151</v>
      </c>
      <c r="E58" s="7">
        <v>0</v>
      </c>
      <c r="F58" s="7">
        <v>0</v>
      </c>
      <c r="G58" s="7">
        <v>0</v>
      </c>
      <c r="H58" s="7">
        <v>0</v>
      </c>
      <c r="I58" s="7">
        <v>0</v>
      </c>
      <c r="J58" s="7">
        <v>0</v>
      </c>
      <c r="K58" s="7">
        <v>-43.877845065932888</v>
      </c>
      <c r="L58" s="414">
        <f t="shared" ref="L58" si="4">K21+L63+L43-L49-L21</f>
        <v>0</v>
      </c>
    </row>
    <row r="59" spans="2:12">
      <c r="B59" s="5"/>
      <c r="C59" s="246"/>
      <c r="D59" s="247"/>
      <c r="E59" s="247"/>
      <c r="F59" s="247"/>
      <c r="G59" s="247"/>
      <c r="H59" s="247"/>
      <c r="I59" s="247"/>
      <c r="J59" s="247"/>
      <c r="K59" s="247"/>
      <c r="L59" s="211"/>
    </row>
    <row r="60" spans="2:12">
      <c r="B60" s="5"/>
      <c r="C60" s="19"/>
      <c r="D60" s="7"/>
      <c r="E60" s="7"/>
      <c r="F60" s="7"/>
      <c r="G60" s="7"/>
      <c r="H60" s="7"/>
      <c r="I60" s="7"/>
      <c r="J60" s="7"/>
      <c r="K60" s="7"/>
      <c r="L60" s="211"/>
    </row>
    <row r="61" spans="2:12">
      <c r="B61" s="5"/>
      <c r="C61" s="21" t="s">
        <v>378</v>
      </c>
      <c r="D61" s="7"/>
      <c r="E61" s="7"/>
      <c r="F61" s="7"/>
      <c r="G61" s="7"/>
      <c r="H61" s="7"/>
      <c r="I61" s="7"/>
      <c r="J61" s="7"/>
      <c r="K61" s="7"/>
      <c r="L61" s="211"/>
    </row>
    <row r="62" spans="2:12">
      <c r="B62" s="5"/>
      <c r="C62" s="18" t="s">
        <v>744</v>
      </c>
      <c r="D62" s="7">
        <v>-105.75990000000024</v>
      </c>
      <c r="E62" s="7">
        <v>105.74340999999959</v>
      </c>
      <c r="F62" s="7">
        <v>146.95478000000094</v>
      </c>
      <c r="G62" s="7">
        <v>-501.92140000000063</v>
      </c>
      <c r="H62" s="7">
        <v>-939.82969999999978</v>
      </c>
      <c r="I62" s="7">
        <v>-786.88480000000118</v>
      </c>
      <c r="J62" s="7">
        <v>-963.67839999999933</v>
      </c>
      <c r="K62" s="7">
        <v>-1848.9848108242304</v>
      </c>
      <c r="L62" s="8">
        <f>IF(ISBLANK(Gob_EOG!L27)," ",Gob_EOG!L27)</f>
        <v>-3318.9393051960533</v>
      </c>
    </row>
    <row r="63" spans="2:12">
      <c r="B63" s="5"/>
      <c r="C63" s="18" t="s">
        <v>745</v>
      </c>
      <c r="D63" s="7">
        <v>-121.05780000000024</v>
      </c>
      <c r="E63" s="7">
        <v>77.5692099999996</v>
      </c>
      <c r="F63" s="7">
        <v>94.503380000000945</v>
      </c>
      <c r="G63" s="7">
        <v>-573.04100000000062</v>
      </c>
      <c r="H63" s="7">
        <v>-994.21539999999936</v>
      </c>
      <c r="I63" s="7">
        <v>-845.94060000000115</v>
      </c>
      <c r="J63" s="7">
        <v>-1003.1794999999993</v>
      </c>
      <c r="K63" s="7">
        <v>-1879.8373096641776</v>
      </c>
      <c r="L63" s="8">
        <f>IF(ISBLANK(Gob_EOG!L35)," ",Gob_EOG!L35)</f>
        <v>-3351.6686589170004</v>
      </c>
    </row>
    <row r="64" spans="2:12">
      <c r="B64" s="5"/>
      <c r="C64" s="18"/>
      <c r="D64" s="7"/>
      <c r="E64" s="7"/>
      <c r="F64" s="7"/>
      <c r="G64" s="7"/>
      <c r="H64" s="7"/>
      <c r="I64" s="7"/>
      <c r="J64" s="7"/>
      <c r="K64" s="7"/>
      <c r="L64" s="211"/>
    </row>
    <row r="65" spans="2:12">
      <c r="B65" s="5"/>
      <c r="C65" s="21" t="s">
        <v>683</v>
      </c>
      <c r="D65" s="7"/>
      <c r="E65" s="7"/>
      <c r="F65" s="7"/>
      <c r="G65" s="7"/>
      <c r="H65" s="7"/>
      <c r="I65" s="7"/>
      <c r="J65" s="7"/>
      <c r="K65" s="7"/>
      <c r="L65" s="211"/>
    </row>
    <row r="66" spans="2:12">
      <c r="B66" s="5"/>
      <c r="C66" s="18" t="s">
        <v>746</v>
      </c>
      <c r="D66" s="7"/>
      <c r="E66" s="7"/>
      <c r="F66" s="7"/>
      <c r="G66" s="7"/>
      <c r="H66" s="7"/>
      <c r="I66" s="7"/>
      <c r="J66" s="7"/>
      <c r="K66" s="7"/>
      <c r="L66" s="211"/>
    </row>
    <row r="67" spans="2:12" ht="15.75" thickBot="1">
      <c r="B67" s="10"/>
      <c r="C67" s="17"/>
      <c r="D67" s="11"/>
      <c r="E67" s="11"/>
      <c r="F67" s="11"/>
      <c r="G67" s="11"/>
      <c r="H67" s="11"/>
      <c r="I67" s="11"/>
      <c r="J67" s="11"/>
      <c r="K67" s="11"/>
      <c r="L67" s="173"/>
    </row>
    <row r="69" spans="2:12">
      <c r="D69" s="221"/>
      <c r="E69" s="221"/>
      <c r="F69" s="221"/>
      <c r="G69" s="221"/>
      <c r="H69" s="221"/>
      <c r="I69" s="221"/>
      <c r="J69" s="221"/>
      <c r="K69" s="221"/>
    </row>
    <row r="70" spans="2:12">
      <c r="C70" s="2"/>
      <c r="D70" s="2"/>
      <c r="E70" s="2"/>
      <c r="F70" s="2"/>
      <c r="G70" s="2"/>
      <c r="H70" s="2"/>
      <c r="I70" s="2"/>
      <c r="J70" s="2"/>
      <c r="K70" s="2"/>
    </row>
    <row r="71" spans="2:12">
      <c r="C71" s="2"/>
      <c r="D71" s="2"/>
      <c r="E71" s="2"/>
      <c r="F71" s="2"/>
      <c r="G71" s="2"/>
      <c r="H71" s="2"/>
      <c r="I71" s="2"/>
      <c r="J71" s="2"/>
      <c r="K71" s="2"/>
    </row>
    <row r="72" spans="2:12">
      <c r="C72" s="2"/>
      <c r="D72" s="2"/>
      <c r="E72" s="2"/>
      <c r="F72" s="2"/>
      <c r="G72" s="2"/>
      <c r="H72" s="2"/>
      <c r="I72" s="2"/>
      <c r="J72" s="2"/>
      <c r="K72" s="2"/>
    </row>
    <row r="73" spans="2:12">
      <c r="C73" s="2"/>
      <c r="D73" s="2"/>
      <c r="E73" s="2"/>
      <c r="F73" s="2"/>
      <c r="G73" s="2"/>
      <c r="H73" s="2"/>
      <c r="I73" s="2"/>
      <c r="J73" s="2"/>
      <c r="K73" s="2"/>
    </row>
    <row r="74" spans="2:12">
      <c r="C74" s="2"/>
      <c r="D74" s="2"/>
      <c r="E74" s="2"/>
      <c r="F74" s="2"/>
      <c r="G74" s="2"/>
      <c r="H74" s="2"/>
      <c r="I74" s="2"/>
      <c r="J74" s="2"/>
      <c r="K74" s="2"/>
    </row>
    <row r="75" spans="2:12">
      <c r="C75" s="2"/>
      <c r="D75" s="2"/>
      <c r="E75" s="2"/>
      <c r="F75" s="2"/>
      <c r="G75" s="2"/>
      <c r="H75" s="2"/>
      <c r="I75" s="2"/>
      <c r="J75" s="2"/>
      <c r="K75" s="2"/>
    </row>
    <row r="76" spans="2:12">
      <c r="C76" s="2"/>
      <c r="D76" s="2"/>
      <c r="E76" s="2"/>
      <c r="F76" s="2"/>
      <c r="G76" s="2"/>
      <c r="H76" s="2"/>
      <c r="I76" s="2"/>
      <c r="J76" s="2"/>
      <c r="K76" s="2"/>
    </row>
    <row r="77" spans="2:12">
      <c r="C77" s="2"/>
      <c r="D77" s="2"/>
      <c r="E77" s="2"/>
      <c r="F77" s="2"/>
      <c r="G77" s="2"/>
      <c r="H77" s="2"/>
      <c r="I77" s="2"/>
      <c r="J77" s="2"/>
      <c r="K77" s="2"/>
    </row>
    <row r="78" spans="2:12">
      <c r="C78" s="2"/>
      <c r="D78" s="2"/>
      <c r="E78" s="2"/>
      <c r="F78" s="2"/>
      <c r="G78" s="2"/>
      <c r="H78" s="2"/>
      <c r="I78" s="2"/>
      <c r="J78" s="2"/>
      <c r="K78" s="2"/>
    </row>
    <row r="79" spans="2:12">
      <c r="C79" s="2"/>
      <c r="D79" s="2"/>
      <c r="E79" s="2"/>
      <c r="F79" s="2"/>
      <c r="G79" s="2"/>
      <c r="H79" s="2"/>
      <c r="I79" s="2"/>
      <c r="J79" s="2"/>
      <c r="K79" s="2"/>
    </row>
    <row r="80" spans="2:12">
      <c r="C80" s="2"/>
      <c r="D80" s="2"/>
      <c r="E80" s="2"/>
      <c r="F80" s="2"/>
      <c r="G80" s="2"/>
      <c r="H80" s="2"/>
      <c r="I80" s="2"/>
      <c r="J80" s="2"/>
      <c r="K80" s="2"/>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AB194"/>
  <sheetViews>
    <sheetView zoomScaleNormal="100" workbookViewId="0">
      <selection activeCell="L28" sqref="L28"/>
    </sheetView>
  </sheetViews>
  <sheetFormatPr baseColWidth="10" defaultColWidth="9.42578125" defaultRowHeight="15" outlineLevelRow="1" outlineLevelCol="1"/>
  <cols>
    <col min="1" max="1" width="11.5703125" style="2" customWidth="1"/>
    <col min="2" max="2" width="2.5703125" style="3" customWidth="1"/>
    <col min="3" max="3" width="70.85546875" style="3" customWidth="1"/>
    <col min="4" max="4" width="9.42578125" style="4" hidden="1" customWidth="1" outlineLevel="1"/>
    <col min="5" max="9" width="0" style="4" hidden="1" customWidth="1" outlineLevel="1"/>
    <col min="10" max="10" width="9.42578125" style="4" collapsed="1"/>
    <col min="11" max="11" width="11.42578125" style="4" customWidth="1"/>
    <col min="12" max="12" width="10.42578125" style="4" customWidth="1"/>
    <col min="13" max="16384" width="9.42578125" style="2"/>
  </cols>
  <sheetData>
    <row r="1" spans="1:12" ht="15.75" thickBot="1"/>
    <row r="2" spans="1:12" s="1" customFormat="1" ht="33" customHeight="1">
      <c r="B2" s="393" t="s">
        <v>698</v>
      </c>
      <c r="C2" s="282"/>
      <c r="D2" s="282"/>
      <c r="E2" s="282"/>
      <c r="F2" s="282"/>
      <c r="G2" s="282"/>
      <c r="H2" s="282"/>
      <c r="I2" s="282"/>
      <c r="J2" s="282"/>
      <c r="K2" s="282"/>
      <c r="L2" s="394"/>
    </row>
    <row r="3" spans="1:12" s="1" customFormat="1" ht="33" customHeight="1">
      <c r="B3" s="14"/>
      <c r="C3" s="16"/>
      <c r="D3" s="351">
        <v>2006</v>
      </c>
      <c r="E3" s="351">
        <v>2007</v>
      </c>
      <c r="F3" s="351">
        <v>2008</v>
      </c>
      <c r="G3" s="351">
        <v>2009</v>
      </c>
      <c r="H3" s="351">
        <v>2010</v>
      </c>
      <c r="I3" s="351">
        <v>2011</v>
      </c>
      <c r="J3" s="351">
        <v>2012</v>
      </c>
      <c r="K3" s="351">
        <v>2013</v>
      </c>
      <c r="L3" s="15">
        <v>2014</v>
      </c>
    </row>
    <row r="4" spans="1:12" s="1" customFormat="1" ht="33" customHeight="1">
      <c r="B4" s="109" t="s">
        <v>747</v>
      </c>
      <c r="C4" s="110"/>
      <c r="D4" s="110"/>
      <c r="E4" s="110"/>
      <c r="F4" s="110"/>
      <c r="G4" s="110"/>
      <c r="H4" s="110"/>
      <c r="I4" s="110"/>
      <c r="J4" s="110"/>
      <c r="K4" s="110"/>
      <c r="L4" s="111"/>
    </row>
    <row r="5" spans="1:12" ht="15.75" hidden="1" outlineLevel="1" thickBot="1">
      <c r="B5" s="5"/>
      <c r="C5" s="21" t="s">
        <v>1129</v>
      </c>
      <c r="D5" s="7"/>
      <c r="E5" s="7"/>
      <c r="F5" s="7"/>
      <c r="G5" s="7"/>
      <c r="H5" s="7"/>
      <c r="I5" s="7"/>
      <c r="J5" s="7"/>
      <c r="K5" s="7"/>
      <c r="L5" s="8"/>
    </row>
    <row r="6" spans="1:12" ht="15.75" hidden="1" outlineLevel="1" thickBot="1">
      <c r="B6" s="5"/>
      <c r="C6" s="18" t="s">
        <v>1130</v>
      </c>
      <c r="D6" s="13">
        <v>71.659894948860398</v>
      </c>
      <c r="E6" s="13">
        <v>58.399362472326345</v>
      </c>
      <c r="F6" s="13">
        <v>52.742535844327612</v>
      </c>
      <c r="G6" s="13">
        <v>50.097673498708005</v>
      </c>
      <c r="H6" s="13">
        <v>45.142865246231487</v>
      </c>
      <c r="I6" s="13">
        <v>41.406161903091544</v>
      </c>
      <c r="J6" s="13">
        <v>34.09617532043189</v>
      </c>
      <c r="K6" s="13">
        <v>30.68328132340714</v>
      </c>
      <c r="L6" s="425">
        <f>L25/L$24*100</f>
        <v>27.319342131799377</v>
      </c>
    </row>
    <row r="7" spans="1:12" ht="15.75" hidden="1" outlineLevel="1" thickBot="1">
      <c r="B7" s="5"/>
      <c r="C7" s="18" t="s">
        <v>1131</v>
      </c>
      <c r="D7" s="13">
        <v>59.264034605531556</v>
      </c>
      <c r="E7" s="13">
        <v>47.486524670728684</v>
      </c>
      <c r="F7" s="13">
        <v>41.730547551128616</v>
      </c>
      <c r="G7" s="13">
        <v>42.947517002979772</v>
      </c>
      <c r="H7" s="13">
        <v>43.945377262612013</v>
      </c>
      <c r="I7" s="13">
        <v>44.055856714704845</v>
      </c>
      <c r="J7" s="13">
        <v>44.600624511314479</v>
      </c>
      <c r="K7" s="13">
        <v>48.102737695476648</v>
      </c>
      <c r="L7" s="416">
        <f>L26/L$24*100</f>
        <v>55.470857232950365</v>
      </c>
    </row>
    <row r="8" spans="1:12" ht="15.75" hidden="1" outlineLevel="1" thickBot="1">
      <c r="B8" s="5"/>
      <c r="C8" s="18" t="s">
        <v>1132</v>
      </c>
      <c r="D8" s="13">
        <v>12.395860343328845</v>
      </c>
      <c r="E8" s="13">
        <v>10.912837801597654</v>
      </c>
      <c r="F8" s="13">
        <v>11.011988293198998</v>
      </c>
      <c r="G8" s="13">
        <v>7.1501564957282353</v>
      </c>
      <c r="H8" s="13">
        <v>1.1974879836194718</v>
      </c>
      <c r="I8" s="13">
        <v>-2.6496948116133048</v>
      </c>
      <c r="J8" s="13">
        <v>-10.504449190882587</v>
      </c>
      <c r="K8" s="13">
        <v>-17.419456372069508</v>
      </c>
      <c r="L8" s="426">
        <f>L28/L$24*100</f>
        <v>-28.151515101150981</v>
      </c>
    </row>
    <row r="9" spans="1:12" ht="15.75" hidden="1" outlineLevel="1" thickBot="1">
      <c r="B9" s="5"/>
      <c r="C9" s="18" t="s">
        <v>1133</v>
      </c>
      <c r="D9" s="13">
        <v>-16.882265402282002</v>
      </c>
      <c r="E9" s="13">
        <v>-14.166883596281204</v>
      </c>
      <c r="F9" s="13">
        <v>-11.359045680669414</v>
      </c>
      <c r="G9" s="13">
        <v>-14.282361031545049</v>
      </c>
      <c r="H9" s="13">
        <v>-18.113596772742312</v>
      </c>
      <c r="I9" s="13">
        <v>-20.543708426389674</v>
      </c>
      <c r="J9" s="13">
        <v>-23.38380502123729</v>
      </c>
      <c r="K9" s="13">
        <v>-29.0736638625742</v>
      </c>
      <c r="L9" s="416">
        <f>L29/L$24*100</f>
        <v>-38.593100036501873</v>
      </c>
    </row>
    <row r="10" spans="1:12" s="487" customFormat="1" ht="15" hidden="1" customHeight="1" outlineLevel="1" thickBot="1">
      <c r="A10" s="487" t="s">
        <v>1134</v>
      </c>
      <c r="B10" s="493"/>
      <c r="C10" s="492" t="s">
        <v>1135</v>
      </c>
      <c r="D10" s="494">
        <v>59.264034605531556</v>
      </c>
      <c r="E10" s="494">
        <v>47.486524670728684</v>
      </c>
      <c r="F10" s="494">
        <v>41.730547551128616</v>
      </c>
      <c r="G10" s="494">
        <v>42.947517002979772</v>
      </c>
      <c r="H10" s="494">
        <v>43.945377262612013</v>
      </c>
      <c r="I10" s="494">
        <v>44.055856714704845</v>
      </c>
      <c r="J10" s="494">
        <v>44.600624511314479</v>
      </c>
      <c r="K10" s="494">
        <v>48.102737695476648</v>
      </c>
      <c r="L10" s="494">
        <f t="shared" ref="L10" si="0">L7</f>
        <v>55.470857232950365</v>
      </c>
    </row>
    <row r="11" spans="1:12" ht="15.75" hidden="1" outlineLevel="1" thickBot="1">
      <c r="B11" s="5"/>
      <c r="C11" s="18" t="s">
        <v>1136</v>
      </c>
      <c r="D11" s="13">
        <v>396.62257512153627</v>
      </c>
      <c r="E11" s="13">
        <v>292.32203024953185</v>
      </c>
      <c r="F11" s="13">
        <v>246.98123716594651</v>
      </c>
      <c r="G11" s="13">
        <v>286.16975531141873</v>
      </c>
      <c r="H11" s="13">
        <v>283.76159221079973</v>
      </c>
      <c r="I11" s="13">
        <v>283.05287440278266</v>
      </c>
      <c r="J11" s="13">
        <v>288.43679045356356</v>
      </c>
      <c r="K11" s="13">
        <v>313.72346443443513</v>
      </c>
      <c r="L11" s="416">
        <f t="shared" ref="L11" si="1">L26/L30*100</f>
        <v>362.94178844947874</v>
      </c>
    </row>
    <row r="12" spans="1:12" hidden="1" outlineLevel="1">
      <c r="B12" s="5"/>
      <c r="C12" s="18"/>
      <c r="D12" s="13"/>
      <c r="E12" s="13"/>
      <c r="F12" s="13"/>
      <c r="G12" s="13"/>
      <c r="H12" s="13"/>
      <c r="I12" s="13"/>
      <c r="J12" s="13"/>
      <c r="K12" s="13"/>
      <c r="L12" s="8"/>
    </row>
    <row r="13" spans="1:12" collapsed="1">
      <c r="B13" s="5"/>
      <c r="C13" s="18"/>
      <c r="D13" s="13"/>
      <c r="E13" s="13"/>
      <c r="F13" s="13"/>
      <c r="G13" s="13"/>
      <c r="H13" s="13"/>
      <c r="I13" s="13"/>
      <c r="J13" s="13"/>
      <c r="K13" s="13"/>
      <c r="L13" s="8"/>
    </row>
    <row r="14" spans="1:12" ht="15.75" thickBot="1">
      <c r="B14" s="5"/>
      <c r="C14" s="21" t="s">
        <v>748</v>
      </c>
      <c r="D14" s="13"/>
      <c r="E14" s="13"/>
      <c r="F14" s="13"/>
      <c r="G14" s="13"/>
      <c r="H14" s="13"/>
      <c r="I14" s="13"/>
      <c r="J14" s="13"/>
      <c r="K14" s="13"/>
      <c r="L14" s="8"/>
    </row>
    <row r="15" spans="1:12" ht="15.75" thickBot="1">
      <c r="B15" s="5"/>
      <c r="C15" s="18" t="s">
        <v>749</v>
      </c>
      <c r="D15" s="13">
        <v>3.9828292689422007</v>
      </c>
      <c r="E15" s="13">
        <v>3.2388998878053306</v>
      </c>
      <c r="F15" s="13">
        <v>2.307671231430958</v>
      </c>
      <c r="G15" s="13">
        <v>2.2868260204648654</v>
      </c>
      <c r="H15" s="13">
        <v>2.2777203819967555</v>
      </c>
      <c r="I15" s="13">
        <v>2.3130615060163855</v>
      </c>
      <c r="J15" s="13">
        <v>2.22895479257051</v>
      </c>
      <c r="K15" s="13">
        <v>3.463148971790158</v>
      </c>
      <c r="L15" s="425">
        <f t="shared" ref="L15" si="2">L31/L24*100</f>
        <v>5.2519441488751468</v>
      </c>
    </row>
    <row r="16" spans="1:12" ht="15.75" thickBot="1">
      <c r="B16" s="5"/>
      <c r="C16" s="18" t="s">
        <v>750</v>
      </c>
      <c r="D16" s="13">
        <v>25.03864286277404</v>
      </c>
      <c r="E16" s="13">
        <v>20.993048179491876</v>
      </c>
      <c r="F16" s="13">
        <v>14.514502565264836</v>
      </c>
      <c r="G16" s="13">
        <v>12.568352012572445</v>
      </c>
      <c r="H16" s="13">
        <v>10.94118482129343</v>
      </c>
      <c r="I16" s="13">
        <v>11.792414420857563</v>
      </c>
      <c r="J16" s="13">
        <v>11.134916861747762</v>
      </c>
      <c r="K16" s="13">
        <v>14.958168939090433</v>
      </c>
      <c r="L16" s="416">
        <f>L31/L33*100</f>
        <v>18.95223215264852</v>
      </c>
    </row>
    <row r="17" spans="1:13" ht="15.75" thickBot="1">
      <c r="B17" s="5"/>
      <c r="C17" s="18" t="s">
        <v>751</v>
      </c>
      <c r="D17" s="13">
        <v>26.654952053666591</v>
      </c>
      <c r="E17" s="13">
        <v>19.938325610125268</v>
      </c>
      <c r="F17" s="13">
        <v>13.6578964129999</v>
      </c>
      <c r="G17" s="13">
        <v>15.23767817987734</v>
      </c>
      <c r="H17" s="13">
        <v>14.707566585309001</v>
      </c>
      <c r="I17" s="13">
        <v>14.861104896635391</v>
      </c>
      <c r="J17" s="13">
        <v>14.414878120642227</v>
      </c>
      <c r="K17" s="13">
        <v>22.586471068666985</v>
      </c>
      <c r="L17" s="426">
        <f>L31/L30*100</f>
        <v>34.363088968043655</v>
      </c>
    </row>
    <row r="18" spans="1:13" ht="15.75" thickBot="1">
      <c r="B18" s="5"/>
      <c r="C18" s="18" t="s">
        <v>752</v>
      </c>
      <c r="D18" s="33" t="s">
        <v>1137</v>
      </c>
      <c r="E18" s="13">
        <v>6.6343549374942024</v>
      </c>
      <c r="F18" s="13">
        <v>5.5287646814588198</v>
      </c>
      <c r="G18" s="13">
        <v>5.5774903835958396</v>
      </c>
      <c r="H18" s="22">
        <v>5.534637363686036</v>
      </c>
      <c r="I18" s="13">
        <v>5.5117215095474235</v>
      </c>
      <c r="J18" s="13">
        <v>5.241192250880256</v>
      </c>
      <c r="K18" s="13">
        <v>7.8699973438873858</v>
      </c>
      <c r="L18" s="416">
        <f t="shared" ref="L18" si="3">L31/AVERAGE(K26:L26)*100</f>
        <v>10.711405895641496</v>
      </c>
    </row>
    <row r="19" spans="1:13" ht="15.75" thickBot="1">
      <c r="B19" s="5"/>
      <c r="C19" s="18" t="s">
        <v>753</v>
      </c>
      <c r="D19" s="13"/>
      <c r="E19" s="13">
        <v>6.0054677055382788</v>
      </c>
      <c r="F19" s="13">
        <v>4.7546101122063211</v>
      </c>
      <c r="G19" s="13">
        <v>4.942750802956807</v>
      </c>
      <c r="H19" s="13">
        <v>5.3164529637764861</v>
      </c>
      <c r="I19" s="13">
        <v>5.4550029506125153</v>
      </c>
      <c r="J19" s="13">
        <v>5.3773567792892187</v>
      </c>
      <c r="K19" s="13">
        <v>9.3329375645594066</v>
      </c>
      <c r="L19" s="425">
        <f>L20+L21</f>
        <v>11.785122947199387</v>
      </c>
    </row>
    <row r="20" spans="1:13" ht="15.75" thickBot="1">
      <c r="B20" s="5"/>
      <c r="C20" s="18" t="s">
        <v>754</v>
      </c>
      <c r="D20" s="13"/>
      <c r="E20" s="13">
        <v>7</v>
      </c>
      <c r="F20" s="13">
        <v>11.5</v>
      </c>
      <c r="G20" s="13">
        <v>8.25</v>
      </c>
      <c r="H20" s="13">
        <v>8</v>
      </c>
      <c r="I20" s="13">
        <v>8</v>
      </c>
      <c r="J20" s="13">
        <v>9.25</v>
      </c>
      <c r="K20" s="13">
        <v>12.2</v>
      </c>
      <c r="L20" s="1014">
        <f>'Regla de Taylor '!F32</f>
        <v>14.67169051571234</v>
      </c>
      <c r="M20" s="1069" t="s">
        <v>527</v>
      </c>
    </row>
    <row r="21" spans="1:13" ht="15.75" thickBot="1">
      <c r="A21" s="2" t="s">
        <v>410</v>
      </c>
      <c r="B21" s="5"/>
      <c r="C21" s="18" t="s">
        <v>755</v>
      </c>
      <c r="D21" s="13"/>
      <c r="E21" s="13"/>
      <c r="F21" s="13">
        <v>-4.4953898877936789</v>
      </c>
      <c r="G21" s="13">
        <v>-4.932249197043193</v>
      </c>
      <c r="H21" s="13">
        <v>-2.8085470362235139</v>
      </c>
      <c r="I21" s="13">
        <v>-2.5449970493874847</v>
      </c>
      <c r="J21" s="13">
        <v>-3.2476432207107813</v>
      </c>
      <c r="K21" s="13">
        <v>-2.8670624354405931</v>
      </c>
      <c r="L21" s="416">
        <f>AVERAGE(I21:K21)</f>
        <v>-2.886567568512953</v>
      </c>
    </row>
    <row r="22" spans="1:13" s="1" customFormat="1" ht="33" customHeight="1">
      <c r="B22" s="109" t="s">
        <v>225</v>
      </c>
      <c r="C22" s="110"/>
      <c r="D22" s="110"/>
      <c r="E22" s="110"/>
      <c r="F22" s="110"/>
      <c r="G22" s="110"/>
      <c r="H22" s="110"/>
      <c r="I22" s="110"/>
      <c r="J22" s="110"/>
      <c r="K22" s="110"/>
      <c r="L22" s="111"/>
    </row>
    <row r="23" spans="1:13">
      <c r="B23" s="5"/>
      <c r="C23" s="21" t="s">
        <v>378</v>
      </c>
      <c r="D23" s="7"/>
      <c r="E23" s="7"/>
      <c r="F23" s="7"/>
      <c r="G23" s="7"/>
      <c r="H23" s="7"/>
      <c r="I23" s="7"/>
      <c r="J23" s="7"/>
      <c r="K23" s="7"/>
      <c r="L23" s="8"/>
    </row>
    <row r="24" spans="1:13">
      <c r="B24" s="5"/>
      <c r="C24" s="18" t="s">
        <v>756</v>
      </c>
      <c r="D24" s="7">
        <v>10964.620135876014</v>
      </c>
      <c r="E24" s="7">
        <v>12956.322039467186</v>
      </c>
      <c r="F24" s="7">
        <v>14737.185928738949</v>
      </c>
      <c r="G24" s="7">
        <v>15747.009032492888</v>
      </c>
      <c r="H24" s="7">
        <v>17629.077878645952</v>
      </c>
      <c r="I24" s="7">
        <v>19427.849144138439</v>
      </c>
      <c r="J24" s="7">
        <v>21157.293165921488</v>
      </c>
      <c r="K24" s="7">
        <v>23646.185911788263</v>
      </c>
      <c r="L24" s="8">
        <f>PIB_Nominal!L6</f>
        <v>26705.762973114495</v>
      </c>
      <c r="M24" s="190"/>
    </row>
    <row r="25" spans="1:13">
      <c r="B25" s="5"/>
      <c r="C25" s="18" t="s">
        <v>360</v>
      </c>
      <c r="D25" s="7">
        <v>7857.2352709103461</v>
      </c>
      <c r="E25" s="7">
        <v>7566.4094709103465</v>
      </c>
      <c r="F25" s="7">
        <v>7772.7655709103456</v>
      </c>
      <c r="G25" s="7">
        <v>7888.8851709103456</v>
      </c>
      <c r="H25" s="7">
        <v>7958.2708709103463</v>
      </c>
      <c r="I25" s="7">
        <v>8044.3266709103464</v>
      </c>
      <c r="J25" s="7">
        <v>7213.8277709103459</v>
      </c>
      <c r="K25" s="7">
        <v>7255.4257455698589</v>
      </c>
      <c r="L25" s="8">
        <f>Gob_Balance!L6</f>
        <v>7295.8387555325462</v>
      </c>
      <c r="M25" s="190"/>
    </row>
    <row r="26" spans="1:13">
      <c r="B26" s="5"/>
      <c r="C26" s="18" t="s">
        <v>367</v>
      </c>
      <c r="D26" s="7">
        <v>6498.076271690642</v>
      </c>
      <c r="E26" s="7">
        <v>6152.5070616906432</v>
      </c>
      <c r="F26" s="7">
        <v>6149.9083816906423</v>
      </c>
      <c r="G26" s="7">
        <v>6762.9493816906433</v>
      </c>
      <c r="H26" s="7">
        <v>7747.1647816906425</v>
      </c>
      <c r="I26" s="7">
        <v>8559.1053816906424</v>
      </c>
      <c r="J26" s="7">
        <v>9436.2848816906426</v>
      </c>
      <c r="K26" s="7">
        <v>11374.462784132262</v>
      </c>
      <c r="L26" s="8">
        <f>Gob_Balance!L14</f>
        <v>14813.915651786461</v>
      </c>
      <c r="M26" s="190"/>
    </row>
    <row r="27" spans="1:13">
      <c r="B27" s="5"/>
      <c r="C27" s="18" t="s">
        <v>757</v>
      </c>
      <c r="D27" s="7">
        <v>5705.4379741906423</v>
      </c>
      <c r="E27" s="7">
        <v>5339.9565316906428</v>
      </c>
      <c r="F27" s="7">
        <v>5400.3016166906418</v>
      </c>
      <c r="G27" s="7">
        <v>5955.2779456906428</v>
      </c>
      <c r="H27" s="7">
        <v>6708.7596106906421</v>
      </c>
      <c r="I27" s="7">
        <v>7622.1767256906433</v>
      </c>
      <c r="J27" s="7">
        <v>8169.4070366247106</v>
      </c>
      <c r="K27" s="7">
        <v>9764.2951572229558</v>
      </c>
      <c r="L27" s="8">
        <f>Gob_Balance!L15</f>
        <v>12815.963816139956</v>
      </c>
      <c r="M27" s="190"/>
    </row>
    <row r="28" spans="1:13" s="1" customFormat="1" ht="15" customHeight="1">
      <c r="B28" s="30"/>
      <c r="C28" s="18" t="s">
        <v>758</v>
      </c>
      <c r="D28" s="24">
        <v>1359.1589992197041</v>
      </c>
      <c r="E28" s="24">
        <v>1413.9024092197033</v>
      </c>
      <c r="F28" s="24">
        <v>1622.8571892197033</v>
      </c>
      <c r="G28" s="24">
        <v>1125.9357892197022</v>
      </c>
      <c r="H28" s="24">
        <v>211.10608921970379</v>
      </c>
      <c r="I28" s="24">
        <v>-514.77871078029602</v>
      </c>
      <c r="J28" s="24">
        <v>-2222.4571107802967</v>
      </c>
      <c r="K28" s="24">
        <v>-4119.0370385624028</v>
      </c>
      <c r="L28" s="55">
        <f>IF(ISBLANK(Gob_Balance!L20)," ",Gob_Balance!L20)</f>
        <v>-7518.076896253915</v>
      </c>
      <c r="M28" s="190"/>
    </row>
    <row r="29" spans="1:13">
      <c r="B29" s="6"/>
      <c r="C29" s="18" t="s">
        <v>759</v>
      </c>
      <c r="D29" s="24">
        <v>-1851.076271690642</v>
      </c>
      <c r="E29" s="24">
        <v>-1835.5070616906432</v>
      </c>
      <c r="F29" s="24">
        <v>-1674.0036816906422</v>
      </c>
      <c r="G29" s="24">
        <v>-2249.0446816906433</v>
      </c>
      <c r="H29" s="24">
        <v>-3193.2600816906424</v>
      </c>
      <c r="I29" s="24">
        <v>-3991.2006816906423</v>
      </c>
      <c r="J29" s="24">
        <v>-4947.3801816906425</v>
      </c>
      <c r="K29" s="24">
        <v>-6874.8126083126954</v>
      </c>
      <c r="L29" s="55">
        <f>IF(ISBLANK(Gob_Balance!L21)," ",Gob_Balance!L21)</f>
        <v>-10306.581819725154</v>
      </c>
      <c r="M29" s="190"/>
    </row>
    <row r="30" spans="1:13">
      <c r="B30" s="5"/>
      <c r="C30" s="18" t="s">
        <v>57</v>
      </c>
      <c r="D30" s="7">
        <v>1638.3525999999999</v>
      </c>
      <c r="E30" s="7">
        <v>2104.7018099999996</v>
      </c>
      <c r="F30" s="7">
        <v>2490.0306000000005</v>
      </c>
      <c r="G30" s="7">
        <v>2363.2648999999997</v>
      </c>
      <c r="H30" s="7">
        <v>2730.1668000000004</v>
      </c>
      <c r="I30" s="7">
        <v>3023.8538999999992</v>
      </c>
      <c r="J30" s="7">
        <v>3271.5261000000005</v>
      </c>
      <c r="K30" s="7">
        <v>3625.6334235749855</v>
      </c>
      <c r="L30" s="8">
        <f>IF(ISBLANK(Gob_EOG!L5)," ",Gob_EOG!L5)</f>
        <v>4081.6230379733606</v>
      </c>
      <c r="M30" s="190"/>
    </row>
    <row r="31" spans="1:13">
      <c r="B31" s="5"/>
      <c r="C31" s="18" t="s">
        <v>760</v>
      </c>
      <c r="D31" s="7">
        <v>436.70209999999997</v>
      </c>
      <c r="E31" s="7">
        <v>419.64229999999998</v>
      </c>
      <c r="F31" s="7">
        <v>340.08580000000001</v>
      </c>
      <c r="G31" s="7">
        <v>360.10669999999999</v>
      </c>
      <c r="H31" s="7">
        <v>401.54110000000009</v>
      </c>
      <c r="I31" s="7">
        <v>449.37810000000007</v>
      </c>
      <c r="J31" s="7">
        <v>471.5865</v>
      </c>
      <c r="K31" s="7">
        <v>818.90264427168449</v>
      </c>
      <c r="L31" s="8">
        <f>Gob_EOG!L19</f>
        <v>1402.5717558789522</v>
      </c>
      <c r="M31" s="190"/>
    </row>
    <row r="32" spans="1:13">
      <c r="B32" s="5"/>
      <c r="C32" s="18" t="s">
        <v>761</v>
      </c>
      <c r="D32" s="7">
        <v>349.45429999999999</v>
      </c>
      <c r="E32" s="7">
        <v>331.66379999999998</v>
      </c>
      <c r="F32" s="7">
        <v>255.3287</v>
      </c>
      <c r="G32" s="7">
        <v>280.63900000000001</v>
      </c>
      <c r="H32" s="7">
        <v>336.63880000000006</v>
      </c>
      <c r="I32" s="7">
        <v>390.87650000000008</v>
      </c>
      <c r="J32" s="7">
        <v>424.5849</v>
      </c>
      <c r="K32" s="7">
        <v>762.44565812290705</v>
      </c>
      <c r="L32" s="8">
        <f>Gob_EOG!L20</f>
        <v>1330.5556409034207</v>
      </c>
      <c r="M32" s="190"/>
    </row>
    <row r="33" spans="2:14">
      <c r="B33" s="5"/>
      <c r="C33" s="18" t="s">
        <v>700</v>
      </c>
      <c r="D33" s="7">
        <v>1744.1125000000002</v>
      </c>
      <c r="E33" s="7">
        <v>1998.9584</v>
      </c>
      <c r="F33" s="7">
        <v>2343.0758199999996</v>
      </c>
      <c r="G33" s="7">
        <v>2865.1863000000003</v>
      </c>
      <c r="H33" s="7">
        <v>3669.9965000000002</v>
      </c>
      <c r="I33" s="7">
        <v>3810.7387000000003</v>
      </c>
      <c r="J33" s="7">
        <v>4235.2044999999998</v>
      </c>
      <c r="K33" s="7">
        <v>5474.6182343992159</v>
      </c>
      <c r="L33" s="8">
        <f>IF(ISBLANK(Gob_EOG!L15)," ",Gob_EOG!L15)</f>
        <v>7400.5623431694139</v>
      </c>
      <c r="M33" s="190"/>
    </row>
    <row r="34" spans="2:14" ht="15.75" thickBot="1">
      <c r="B34" s="10"/>
      <c r="C34" s="17"/>
      <c r="D34" s="11"/>
      <c r="E34" s="11"/>
      <c r="F34" s="11"/>
      <c r="G34" s="11"/>
      <c r="H34" s="11"/>
      <c r="I34" s="11"/>
      <c r="J34" s="11"/>
      <c r="K34" s="11"/>
      <c r="L34" s="12"/>
    </row>
    <row r="35" spans="2:14">
      <c r="M35" s="250"/>
    </row>
    <row r="36" spans="2:14">
      <c r="M36" s="250"/>
    </row>
    <row r="37" spans="2:14">
      <c r="M37" s="250"/>
    </row>
    <row r="38" spans="2:14">
      <c r="M38" s="250"/>
    </row>
    <row r="39" spans="2:14">
      <c r="M39" s="250"/>
    </row>
    <row r="40" spans="2:14">
      <c r="M40" s="250"/>
    </row>
    <row r="41" spans="2:14">
      <c r="M41" s="250"/>
    </row>
    <row r="42" spans="2:14">
      <c r="M42" s="250"/>
    </row>
    <row r="43" spans="2:14">
      <c r="M43" s="250"/>
    </row>
    <row r="44" spans="2:14">
      <c r="M44" s="250"/>
    </row>
    <row r="45" spans="2:14">
      <c r="N45" s="250"/>
    </row>
    <row r="46" spans="2:14">
      <c r="N46" s="250"/>
    </row>
    <row r="47" spans="2:14">
      <c r="N47" s="250"/>
    </row>
    <row r="48" spans="2:14">
      <c r="B48" s="2"/>
      <c r="C48" s="2"/>
      <c r="D48" s="2"/>
      <c r="E48" s="2"/>
      <c r="F48" s="2"/>
      <c r="G48" s="2"/>
      <c r="H48" s="2"/>
      <c r="I48" s="2"/>
      <c r="J48" s="2"/>
      <c r="K48" s="2"/>
      <c r="L48" s="2"/>
      <c r="N48" s="250"/>
    </row>
    <row r="49" spans="2:15">
      <c r="B49" s="2"/>
      <c r="C49" s="2"/>
      <c r="D49" s="2"/>
      <c r="E49" s="2"/>
      <c r="F49" s="2"/>
      <c r="G49" s="2"/>
      <c r="H49" s="2"/>
      <c r="I49" s="2"/>
      <c r="J49" s="2"/>
      <c r="K49" s="2"/>
      <c r="L49" s="2"/>
      <c r="N49" s="250"/>
    </row>
    <row r="50" spans="2:15">
      <c r="B50" s="2"/>
      <c r="C50" s="2"/>
      <c r="D50" s="2"/>
      <c r="E50" s="2"/>
      <c r="F50" s="2"/>
      <c r="G50" s="2"/>
      <c r="H50" s="2"/>
      <c r="I50" s="2"/>
      <c r="J50" s="2"/>
      <c r="K50" s="2"/>
      <c r="L50" s="2"/>
      <c r="N50" s="250"/>
    </row>
    <row r="51" spans="2:15">
      <c r="B51" s="2"/>
      <c r="C51" s="2"/>
      <c r="D51" s="2"/>
      <c r="E51" s="2"/>
      <c r="F51" s="2"/>
      <c r="G51" s="2"/>
      <c r="H51" s="2"/>
      <c r="I51" s="2"/>
      <c r="J51" s="2"/>
      <c r="K51" s="2"/>
      <c r="L51" s="2"/>
      <c r="N51" s="250"/>
    </row>
    <row r="52" spans="2:15">
      <c r="B52" s="2"/>
      <c r="C52" s="2"/>
      <c r="D52" s="2"/>
      <c r="E52" s="2"/>
      <c r="F52" s="2"/>
      <c r="G52" s="2"/>
      <c r="H52" s="2"/>
      <c r="I52" s="2"/>
      <c r="J52" s="2"/>
      <c r="K52" s="2"/>
      <c r="L52" s="2"/>
      <c r="N52" s="250"/>
    </row>
    <row r="53" spans="2:15">
      <c r="B53" s="2"/>
      <c r="C53" s="2"/>
      <c r="D53" s="2"/>
      <c r="E53" s="2"/>
      <c r="F53" s="2"/>
      <c r="G53" s="2"/>
      <c r="H53" s="2"/>
      <c r="I53" s="2"/>
      <c r="J53" s="2"/>
      <c r="K53" s="2"/>
      <c r="L53" s="2"/>
      <c r="N53" s="250"/>
    </row>
    <row r="54" spans="2:15">
      <c r="B54" s="2"/>
      <c r="C54" s="2"/>
      <c r="D54" s="2"/>
      <c r="E54" s="2"/>
      <c r="F54" s="2"/>
      <c r="G54" s="2"/>
      <c r="H54" s="2"/>
      <c r="I54" s="2"/>
      <c r="J54" s="2"/>
      <c r="K54" s="2"/>
      <c r="L54" s="2"/>
      <c r="N54" s="250"/>
    </row>
    <row r="55" spans="2:15">
      <c r="B55" s="2"/>
      <c r="C55" s="2"/>
      <c r="D55" s="2"/>
      <c r="E55" s="2"/>
      <c r="F55" s="2"/>
      <c r="G55" s="2"/>
      <c r="H55" s="2"/>
      <c r="I55" s="2"/>
      <c r="J55" s="2"/>
      <c r="K55" s="2"/>
      <c r="L55" s="2"/>
      <c r="O55" s="250"/>
    </row>
    <row r="56" spans="2:15">
      <c r="B56" s="2"/>
      <c r="C56" s="2"/>
      <c r="D56" s="2"/>
      <c r="E56" s="2"/>
      <c r="F56" s="2"/>
      <c r="G56" s="2"/>
      <c r="H56" s="2"/>
      <c r="I56" s="2"/>
      <c r="J56" s="2"/>
      <c r="K56" s="2"/>
      <c r="L56" s="2"/>
      <c r="O56" s="250"/>
    </row>
    <row r="57" spans="2:15">
      <c r="B57" s="2"/>
      <c r="C57" s="2"/>
      <c r="D57" s="2"/>
      <c r="E57" s="2"/>
      <c r="F57" s="2"/>
      <c r="G57" s="2"/>
      <c r="H57" s="2"/>
      <c r="I57" s="2"/>
      <c r="J57" s="2"/>
      <c r="K57" s="2"/>
      <c r="L57" s="2"/>
      <c r="O57" s="250"/>
    </row>
    <row r="58" spans="2:15">
      <c r="B58" s="2"/>
      <c r="C58" s="2"/>
      <c r="D58" s="2"/>
      <c r="E58" s="2"/>
      <c r="F58" s="2"/>
      <c r="G58" s="2"/>
      <c r="H58" s="2"/>
      <c r="I58" s="2"/>
      <c r="J58" s="2"/>
      <c r="K58" s="2"/>
      <c r="L58" s="2"/>
      <c r="O58" s="250"/>
    </row>
    <row r="59" spans="2:15">
      <c r="B59" s="2"/>
      <c r="C59" s="2"/>
      <c r="D59" s="2"/>
      <c r="E59" s="2"/>
      <c r="F59" s="2"/>
      <c r="G59" s="2"/>
      <c r="H59" s="2"/>
      <c r="I59" s="2"/>
      <c r="J59" s="2"/>
      <c r="K59" s="2"/>
      <c r="L59" s="2"/>
      <c r="O59" s="250"/>
    </row>
    <row r="60" spans="2:15">
      <c r="B60" s="2"/>
      <c r="C60" s="2"/>
      <c r="D60" s="2"/>
      <c r="E60" s="2"/>
      <c r="F60" s="2"/>
      <c r="G60" s="2"/>
      <c r="H60" s="2"/>
      <c r="I60" s="2"/>
      <c r="J60" s="2"/>
      <c r="K60" s="2"/>
      <c r="L60" s="2"/>
      <c r="O60" s="250"/>
    </row>
    <row r="61" spans="2:15">
      <c r="B61" s="2"/>
      <c r="C61" s="2"/>
      <c r="D61" s="2"/>
      <c r="E61" s="2"/>
      <c r="F61" s="2"/>
      <c r="G61" s="2"/>
      <c r="H61" s="2"/>
      <c r="I61" s="2"/>
      <c r="J61" s="2"/>
      <c r="K61" s="2"/>
      <c r="L61" s="2"/>
      <c r="O61" s="250"/>
    </row>
    <row r="62" spans="2:15">
      <c r="B62" s="2"/>
      <c r="C62" s="2"/>
      <c r="D62" s="2"/>
      <c r="E62" s="2"/>
      <c r="F62" s="2"/>
      <c r="G62" s="2"/>
      <c r="H62" s="2"/>
      <c r="I62" s="2"/>
      <c r="J62" s="2"/>
      <c r="K62" s="2"/>
      <c r="L62" s="2"/>
      <c r="O62" s="250"/>
    </row>
    <row r="63" spans="2:15">
      <c r="B63" s="2"/>
      <c r="C63" s="2"/>
      <c r="D63" s="2"/>
      <c r="E63" s="2"/>
      <c r="F63" s="2"/>
      <c r="G63" s="2"/>
      <c r="H63" s="2"/>
      <c r="I63" s="2"/>
      <c r="J63" s="2"/>
      <c r="K63" s="2"/>
      <c r="L63" s="2"/>
      <c r="O63" s="250"/>
    </row>
    <row r="64" spans="2:15">
      <c r="B64" s="2"/>
      <c r="C64" s="2"/>
      <c r="D64" s="2"/>
      <c r="E64" s="2"/>
      <c r="F64" s="2"/>
      <c r="G64" s="2"/>
      <c r="H64" s="2"/>
      <c r="I64" s="2"/>
      <c r="J64" s="2"/>
      <c r="K64" s="2"/>
      <c r="L64" s="2"/>
      <c r="O64" s="250"/>
    </row>
    <row r="65" spans="2:17">
      <c r="B65" s="2"/>
      <c r="C65" s="2"/>
      <c r="D65" s="2"/>
      <c r="E65" s="2"/>
      <c r="F65" s="2"/>
      <c r="G65" s="2"/>
      <c r="H65" s="2"/>
      <c r="I65" s="2"/>
      <c r="J65" s="2"/>
      <c r="K65" s="2"/>
      <c r="L65" s="2"/>
      <c r="P65" s="250"/>
    </row>
    <row r="66" spans="2:17">
      <c r="B66" s="2"/>
      <c r="C66" s="2"/>
      <c r="D66" s="2"/>
      <c r="E66" s="2"/>
      <c r="F66" s="2"/>
      <c r="G66" s="2"/>
      <c r="H66" s="2"/>
      <c r="I66" s="2"/>
      <c r="J66" s="2"/>
      <c r="K66" s="2"/>
      <c r="L66" s="2"/>
      <c r="P66" s="250"/>
    </row>
    <row r="67" spans="2:17">
      <c r="B67" s="2"/>
      <c r="C67" s="2"/>
      <c r="D67" s="2"/>
      <c r="E67" s="2"/>
      <c r="F67" s="2"/>
      <c r="G67" s="2"/>
      <c r="H67" s="2"/>
      <c r="I67" s="2"/>
      <c r="J67" s="2"/>
      <c r="K67" s="2"/>
      <c r="L67" s="2"/>
      <c r="P67" s="250"/>
    </row>
    <row r="68" spans="2:17">
      <c r="B68" s="2"/>
      <c r="C68" s="2"/>
      <c r="D68" s="2"/>
      <c r="E68" s="2"/>
      <c r="F68" s="2"/>
      <c r="G68" s="2"/>
      <c r="H68" s="2"/>
      <c r="I68" s="2"/>
      <c r="J68" s="2"/>
      <c r="K68" s="2"/>
      <c r="L68" s="2"/>
      <c r="P68" s="250"/>
    </row>
    <row r="69" spans="2:17">
      <c r="B69" s="2"/>
      <c r="C69" s="2"/>
      <c r="D69" s="2"/>
      <c r="E69" s="2"/>
      <c r="F69" s="2"/>
      <c r="G69" s="2"/>
      <c r="H69" s="2"/>
      <c r="I69" s="2"/>
      <c r="J69" s="2"/>
      <c r="K69" s="2"/>
      <c r="L69" s="2"/>
      <c r="P69" s="250"/>
    </row>
    <row r="70" spans="2:17">
      <c r="B70" s="2"/>
      <c r="C70" s="2"/>
      <c r="D70" s="2"/>
      <c r="E70" s="2"/>
      <c r="F70" s="2"/>
      <c r="G70" s="2"/>
      <c r="H70" s="2"/>
      <c r="I70" s="2"/>
      <c r="J70" s="2"/>
      <c r="K70" s="2"/>
      <c r="L70" s="2"/>
      <c r="P70" s="250"/>
    </row>
    <row r="71" spans="2:17">
      <c r="B71" s="2"/>
      <c r="C71" s="2"/>
      <c r="D71" s="2"/>
      <c r="E71" s="2"/>
      <c r="F71" s="2"/>
      <c r="G71" s="2"/>
      <c r="H71" s="2"/>
      <c r="I71" s="2"/>
      <c r="J71" s="2"/>
      <c r="K71" s="2"/>
      <c r="L71" s="2"/>
      <c r="P71" s="250"/>
    </row>
    <row r="72" spans="2:17">
      <c r="B72" s="2"/>
      <c r="C72" s="2"/>
      <c r="D72" s="2"/>
      <c r="E72" s="2"/>
      <c r="F72" s="2"/>
      <c r="G72" s="2"/>
      <c r="H72" s="2"/>
      <c r="I72" s="2"/>
      <c r="J72" s="2"/>
      <c r="K72" s="2"/>
      <c r="L72" s="2"/>
      <c r="P72" s="250"/>
    </row>
    <row r="73" spans="2:17">
      <c r="B73" s="2"/>
      <c r="C73" s="2"/>
      <c r="D73" s="2"/>
      <c r="E73" s="2"/>
      <c r="F73" s="2"/>
      <c r="G73" s="2"/>
      <c r="H73" s="2"/>
      <c r="I73" s="2"/>
      <c r="J73" s="2"/>
      <c r="K73" s="2"/>
      <c r="L73" s="2"/>
      <c r="P73" s="250"/>
    </row>
    <row r="74" spans="2:17">
      <c r="B74" s="2"/>
      <c r="C74" s="2"/>
      <c r="D74" s="2"/>
      <c r="E74" s="2"/>
      <c r="F74" s="2"/>
      <c r="G74" s="2"/>
      <c r="H74" s="2"/>
      <c r="I74" s="2"/>
      <c r="J74" s="2"/>
      <c r="K74" s="2"/>
      <c r="L74" s="2"/>
      <c r="P74" s="250"/>
    </row>
    <row r="75" spans="2:17">
      <c r="B75" s="2"/>
      <c r="C75" s="2"/>
      <c r="D75" s="2"/>
      <c r="E75" s="2"/>
      <c r="F75" s="2"/>
      <c r="G75" s="2"/>
      <c r="H75" s="2"/>
      <c r="I75" s="2"/>
      <c r="J75" s="2"/>
      <c r="K75" s="2"/>
      <c r="L75" s="2"/>
      <c r="Q75" s="250"/>
    </row>
    <row r="76" spans="2:17">
      <c r="B76" s="2"/>
      <c r="C76" s="2"/>
      <c r="D76" s="2"/>
      <c r="E76" s="2"/>
      <c r="F76" s="2"/>
      <c r="G76" s="2"/>
      <c r="H76" s="2"/>
      <c r="I76" s="2"/>
      <c r="J76" s="2"/>
      <c r="K76" s="2"/>
      <c r="L76" s="2"/>
      <c r="Q76" s="250"/>
    </row>
    <row r="77" spans="2:17">
      <c r="B77" s="2"/>
      <c r="C77" s="2"/>
      <c r="D77" s="2"/>
      <c r="E77" s="2"/>
      <c r="F77" s="2"/>
      <c r="G77" s="2"/>
      <c r="H77" s="2"/>
      <c r="I77" s="2"/>
      <c r="J77" s="2"/>
      <c r="K77" s="2"/>
      <c r="L77" s="2"/>
      <c r="Q77" s="250"/>
    </row>
    <row r="78" spans="2:17">
      <c r="B78" s="2"/>
      <c r="C78" s="2"/>
      <c r="D78" s="2"/>
      <c r="E78" s="2"/>
      <c r="F78" s="2"/>
      <c r="G78" s="2"/>
      <c r="H78" s="2"/>
      <c r="I78" s="2"/>
      <c r="J78" s="2"/>
      <c r="K78" s="2"/>
      <c r="L78" s="2"/>
      <c r="Q78" s="250"/>
    </row>
    <row r="79" spans="2:17">
      <c r="B79" s="2"/>
      <c r="C79" s="2"/>
      <c r="D79" s="2"/>
      <c r="E79" s="2"/>
      <c r="F79" s="2"/>
      <c r="G79" s="2"/>
      <c r="H79" s="2"/>
      <c r="I79" s="2"/>
      <c r="J79" s="2"/>
      <c r="K79" s="2"/>
      <c r="L79" s="2"/>
      <c r="Q79" s="250"/>
    </row>
    <row r="80" spans="2:17">
      <c r="B80" s="2"/>
      <c r="C80" s="2"/>
      <c r="D80" s="2"/>
      <c r="E80" s="2"/>
      <c r="F80" s="2"/>
      <c r="G80" s="2"/>
      <c r="H80" s="2"/>
      <c r="I80" s="2"/>
      <c r="J80" s="2"/>
      <c r="K80" s="2"/>
      <c r="L80" s="2"/>
      <c r="Q80" s="250"/>
    </row>
    <row r="81" spans="2:19">
      <c r="B81" s="2"/>
      <c r="C81" s="2"/>
      <c r="D81" s="2"/>
      <c r="E81" s="2"/>
      <c r="F81" s="2"/>
      <c r="G81" s="2"/>
      <c r="H81" s="2"/>
      <c r="I81" s="2"/>
      <c r="J81" s="2"/>
      <c r="K81" s="2"/>
      <c r="L81" s="2"/>
      <c r="Q81" s="250"/>
    </row>
    <row r="82" spans="2:19">
      <c r="B82" s="2"/>
      <c r="C82" s="2"/>
      <c r="D82" s="2"/>
      <c r="E82" s="2"/>
      <c r="F82" s="2"/>
      <c r="G82" s="2"/>
      <c r="H82" s="2"/>
      <c r="I82" s="2"/>
      <c r="J82" s="2"/>
      <c r="K82" s="2"/>
      <c r="L82" s="2"/>
      <c r="Q82" s="250"/>
    </row>
    <row r="83" spans="2:19">
      <c r="B83" s="2"/>
      <c r="C83" s="2"/>
      <c r="D83" s="2"/>
      <c r="E83" s="2"/>
      <c r="F83" s="2"/>
      <c r="G83" s="2"/>
      <c r="H83" s="2"/>
      <c r="I83" s="2"/>
      <c r="J83" s="2"/>
      <c r="K83" s="2"/>
      <c r="L83" s="2"/>
      <c r="Q83" s="250"/>
    </row>
    <row r="84" spans="2:19">
      <c r="B84" s="2"/>
      <c r="C84" s="2"/>
      <c r="D84" s="2"/>
      <c r="E84" s="2"/>
      <c r="F84" s="2"/>
      <c r="G84" s="2"/>
      <c r="H84" s="2"/>
      <c r="I84" s="2"/>
      <c r="J84" s="2"/>
      <c r="K84" s="2"/>
      <c r="L84" s="2"/>
      <c r="Q84" s="250"/>
    </row>
    <row r="85" spans="2:19">
      <c r="B85" s="2"/>
      <c r="C85" s="2"/>
      <c r="D85" s="2"/>
      <c r="E85" s="2"/>
      <c r="F85" s="2"/>
      <c r="G85" s="2"/>
      <c r="H85" s="2"/>
      <c r="I85" s="2"/>
      <c r="J85" s="2"/>
      <c r="K85" s="2"/>
      <c r="L85" s="2"/>
      <c r="R85" s="250"/>
    </row>
    <row r="86" spans="2:19">
      <c r="B86" s="2"/>
      <c r="C86" s="2"/>
      <c r="D86" s="2"/>
      <c r="E86" s="2"/>
      <c r="F86" s="2"/>
      <c r="G86" s="2"/>
      <c r="H86" s="2"/>
      <c r="I86" s="2"/>
      <c r="J86" s="2"/>
      <c r="K86" s="2"/>
      <c r="L86" s="2"/>
      <c r="R86" s="250"/>
    </row>
    <row r="87" spans="2:19">
      <c r="B87" s="2" t="s">
        <v>762</v>
      </c>
      <c r="C87" s="2"/>
      <c r="D87" s="2"/>
      <c r="E87" s="2"/>
      <c r="F87" s="2"/>
      <c r="G87" s="2"/>
      <c r="H87" s="2"/>
      <c r="I87" s="2"/>
      <c r="J87" s="2"/>
      <c r="K87" s="2"/>
      <c r="L87" s="2"/>
      <c r="R87" s="250"/>
    </row>
    <row r="88" spans="2:19">
      <c r="B88" s="2"/>
      <c r="C88" s="2"/>
      <c r="D88" s="2"/>
      <c r="E88" s="2"/>
      <c r="F88" s="2"/>
      <c r="G88" s="2"/>
      <c r="H88" s="2"/>
      <c r="I88" s="2"/>
      <c r="J88" s="2"/>
      <c r="K88" s="2"/>
      <c r="L88" s="2"/>
      <c r="R88" s="250"/>
    </row>
    <row r="89" spans="2:19">
      <c r="B89" s="2"/>
      <c r="C89" s="2"/>
      <c r="D89" s="2"/>
      <c r="E89" s="2"/>
      <c r="F89" s="2"/>
      <c r="G89" s="2"/>
      <c r="H89" s="2"/>
      <c r="I89" s="2"/>
      <c r="J89" s="2"/>
      <c r="K89" s="2"/>
      <c r="L89" s="2"/>
      <c r="R89" s="250"/>
    </row>
    <row r="90" spans="2:19">
      <c r="B90" s="2"/>
      <c r="C90" s="2"/>
      <c r="D90" s="2"/>
      <c r="E90" s="2"/>
      <c r="F90" s="2"/>
      <c r="G90" s="2"/>
      <c r="H90" s="2"/>
      <c r="I90" s="2"/>
      <c r="J90" s="2"/>
      <c r="K90" s="2"/>
      <c r="L90" s="2"/>
      <c r="R90" s="250"/>
    </row>
    <row r="91" spans="2:19">
      <c r="B91" s="2"/>
      <c r="C91" s="2"/>
      <c r="D91" s="2"/>
      <c r="E91" s="2"/>
      <c r="F91" s="2"/>
      <c r="G91" s="2"/>
      <c r="H91" s="2"/>
      <c r="I91" s="2"/>
      <c r="J91" s="2"/>
      <c r="K91" s="2"/>
      <c r="L91" s="2"/>
      <c r="R91" s="250"/>
    </row>
    <row r="92" spans="2:19">
      <c r="B92" s="2"/>
      <c r="C92" s="2"/>
      <c r="D92" s="2"/>
      <c r="E92" s="2"/>
      <c r="F92" s="2"/>
      <c r="G92" s="2"/>
      <c r="H92" s="2"/>
      <c r="I92" s="2"/>
      <c r="J92" s="2"/>
      <c r="K92" s="2"/>
      <c r="L92" s="2"/>
      <c r="R92" s="250"/>
    </row>
    <row r="93" spans="2:19">
      <c r="B93" s="2"/>
      <c r="C93" s="2"/>
      <c r="D93" s="2"/>
      <c r="E93" s="2"/>
      <c r="F93" s="2"/>
      <c r="G93" s="2"/>
      <c r="H93" s="2"/>
      <c r="I93" s="2"/>
      <c r="J93" s="2"/>
      <c r="K93" s="2"/>
      <c r="L93" s="2"/>
      <c r="R93" s="250"/>
    </row>
    <row r="94" spans="2:19">
      <c r="B94" s="2"/>
      <c r="C94" s="2"/>
      <c r="D94" s="2"/>
      <c r="E94" s="2"/>
      <c r="F94" s="2"/>
      <c r="G94" s="2"/>
      <c r="H94" s="2"/>
      <c r="I94" s="2"/>
      <c r="J94" s="2"/>
      <c r="K94" s="2"/>
      <c r="L94" s="2"/>
      <c r="R94" s="250"/>
    </row>
    <row r="95" spans="2:19">
      <c r="B95" s="2"/>
      <c r="C95" s="2"/>
      <c r="D95" s="2"/>
      <c r="E95" s="2"/>
      <c r="F95" s="2"/>
      <c r="G95" s="2"/>
      <c r="H95" s="2"/>
      <c r="I95" s="2"/>
      <c r="J95" s="2"/>
      <c r="K95" s="2"/>
      <c r="L95" s="2"/>
      <c r="S95" s="250"/>
    </row>
    <row r="96" spans="2:19">
      <c r="B96" s="2"/>
      <c r="C96" s="2"/>
      <c r="D96" s="2"/>
      <c r="E96" s="2"/>
      <c r="F96" s="2"/>
      <c r="G96" s="2"/>
      <c r="H96" s="2"/>
      <c r="I96" s="2"/>
      <c r="J96" s="2"/>
      <c r="K96" s="2"/>
      <c r="L96" s="2"/>
      <c r="S96" s="250"/>
    </row>
    <row r="97" spans="2:20">
      <c r="B97" s="2"/>
      <c r="C97" s="2"/>
      <c r="D97" s="2"/>
      <c r="E97" s="2"/>
      <c r="F97" s="2"/>
      <c r="G97" s="2"/>
      <c r="H97" s="2"/>
      <c r="I97" s="2"/>
      <c r="J97" s="2"/>
      <c r="K97" s="2"/>
      <c r="L97" s="2"/>
      <c r="S97" s="250"/>
    </row>
    <row r="98" spans="2:20">
      <c r="B98" s="2"/>
      <c r="C98" s="2"/>
      <c r="D98" s="2"/>
      <c r="E98" s="2"/>
      <c r="F98" s="2"/>
      <c r="G98" s="2"/>
      <c r="H98" s="2"/>
      <c r="I98" s="2"/>
      <c r="J98" s="2"/>
      <c r="K98" s="2"/>
      <c r="L98" s="2"/>
      <c r="S98" s="250"/>
    </row>
    <row r="99" spans="2:20">
      <c r="B99" s="2"/>
      <c r="C99" s="2"/>
      <c r="D99" s="2"/>
      <c r="E99" s="2"/>
      <c r="F99" s="2"/>
      <c r="G99" s="2"/>
      <c r="H99" s="2"/>
      <c r="I99" s="2"/>
      <c r="J99" s="2"/>
      <c r="K99" s="2"/>
      <c r="L99" s="2"/>
      <c r="S99" s="250"/>
    </row>
    <row r="100" spans="2:20">
      <c r="B100" s="2"/>
      <c r="C100" s="2"/>
      <c r="D100" s="2"/>
      <c r="E100" s="2"/>
      <c r="F100" s="2"/>
      <c r="G100" s="2"/>
      <c r="H100" s="2"/>
      <c r="I100" s="2"/>
      <c r="J100" s="2"/>
      <c r="K100" s="2"/>
      <c r="L100" s="2"/>
      <c r="S100" s="250"/>
    </row>
    <row r="101" spans="2:20">
      <c r="B101" s="2"/>
      <c r="C101" s="2"/>
      <c r="D101" s="2"/>
      <c r="E101" s="2"/>
      <c r="F101" s="2"/>
      <c r="G101" s="2"/>
      <c r="H101" s="2"/>
      <c r="I101" s="2"/>
      <c r="J101" s="2"/>
      <c r="K101" s="2"/>
      <c r="L101" s="2"/>
      <c r="S101" s="250"/>
    </row>
    <row r="102" spans="2:20">
      <c r="B102" s="2"/>
      <c r="C102" s="2"/>
      <c r="D102" s="2"/>
      <c r="E102" s="2"/>
      <c r="F102" s="2"/>
      <c r="G102" s="2"/>
      <c r="H102" s="2"/>
      <c r="I102" s="2"/>
      <c r="J102" s="2"/>
      <c r="K102" s="2"/>
      <c r="L102" s="2"/>
      <c r="S102" s="250"/>
    </row>
    <row r="103" spans="2:20">
      <c r="B103" s="2"/>
      <c r="C103" s="2"/>
      <c r="D103" s="2"/>
      <c r="E103" s="2"/>
      <c r="F103" s="2"/>
      <c r="G103" s="2"/>
      <c r="H103" s="2"/>
      <c r="I103" s="2"/>
      <c r="J103" s="2"/>
      <c r="K103" s="2"/>
      <c r="L103" s="2"/>
      <c r="S103" s="250"/>
    </row>
    <row r="104" spans="2:20">
      <c r="B104" s="2"/>
      <c r="C104" s="2"/>
      <c r="D104" s="2"/>
      <c r="E104" s="2"/>
      <c r="F104" s="2"/>
      <c r="G104" s="2"/>
      <c r="H104" s="2"/>
      <c r="I104" s="2"/>
      <c r="J104" s="2"/>
      <c r="K104" s="2"/>
      <c r="L104" s="2"/>
      <c r="S104" s="250"/>
    </row>
    <row r="105" spans="2:20">
      <c r="B105" s="2"/>
      <c r="C105" s="2"/>
      <c r="D105" s="2"/>
      <c r="E105" s="2"/>
      <c r="F105" s="2"/>
      <c r="G105" s="2"/>
      <c r="H105" s="2"/>
      <c r="I105" s="2"/>
      <c r="J105" s="2"/>
      <c r="K105" s="2"/>
      <c r="L105" s="2"/>
      <c r="T105" s="250"/>
    </row>
    <row r="106" spans="2:20">
      <c r="B106" s="2"/>
      <c r="C106" s="2"/>
      <c r="D106" s="2"/>
      <c r="E106" s="2"/>
      <c r="F106" s="2"/>
      <c r="G106" s="2"/>
      <c r="H106" s="2"/>
      <c r="I106" s="2"/>
      <c r="J106" s="2"/>
      <c r="K106" s="2"/>
      <c r="L106" s="2"/>
      <c r="T106" s="250"/>
    </row>
    <row r="107" spans="2:20">
      <c r="B107" s="2"/>
      <c r="C107" s="2"/>
      <c r="D107" s="2"/>
      <c r="E107" s="2"/>
      <c r="F107" s="2"/>
      <c r="G107" s="2"/>
      <c r="H107" s="2"/>
      <c r="I107" s="2"/>
      <c r="J107" s="2"/>
      <c r="K107" s="2"/>
      <c r="L107" s="2"/>
      <c r="T107" s="250"/>
    </row>
    <row r="108" spans="2:20">
      <c r="B108" s="2"/>
      <c r="C108" s="2"/>
      <c r="D108" s="2"/>
      <c r="E108" s="2"/>
      <c r="F108" s="2"/>
      <c r="G108" s="2"/>
      <c r="H108" s="2"/>
      <c r="I108" s="2"/>
      <c r="J108" s="2"/>
      <c r="K108" s="2"/>
      <c r="L108" s="2"/>
      <c r="T108" s="250"/>
    </row>
    <row r="109" spans="2:20">
      <c r="B109" s="2"/>
      <c r="C109" s="2"/>
      <c r="D109" s="2"/>
      <c r="E109" s="2"/>
      <c r="F109" s="2"/>
      <c r="G109" s="2"/>
      <c r="H109" s="2"/>
      <c r="I109" s="2"/>
      <c r="J109" s="2"/>
      <c r="K109" s="2"/>
      <c r="L109" s="2"/>
      <c r="T109" s="250"/>
    </row>
    <row r="110" spans="2:20">
      <c r="B110" s="2"/>
      <c r="C110" s="2"/>
      <c r="D110" s="2"/>
      <c r="E110" s="2"/>
      <c r="F110" s="2"/>
      <c r="G110" s="2"/>
      <c r="H110" s="2"/>
      <c r="I110" s="2"/>
      <c r="J110" s="2"/>
      <c r="K110" s="2"/>
      <c r="L110" s="2"/>
      <c r="T110" s="250"/>
    </row>
    <row r="111" spans="2:20">
      <c r="B111" s="2"/>
      <c r="C111" s="2"/>
      <c r="D111" s="2"/>
      <c r="E111" s="2"/>
      <c r="F111" s="2"/>
      <c r="G111" s="2"/>
      <c r="H111" s="2"/>
      <c r="I111" s="2"/>
      <c r="J111" s="2"/>
      <c r="K111" s="2"/>
      <c r="L111" s="2"/>
      <c r="T111" s="250"/>
    </row>
    <row r="112" spans="2:20">
      <c r="B112" s="2"/>
      <c r="C112" s="2"/>
      <c r="D112" s="2"/>
      <c r="E112" s="2"/>
      <c r="F112" s="2"/>
      <c r="G112" s="2"/>
      <c r="H112" s="2"/>
      <c r="I112" s="2"/>
      <c r="J112" s="2"/>
      <c r="K112" s="2"/>
      <c r="L112" s="2"/>
      <c r="T112" s="250"/>
    </row>
    <row r="113" spans="2:22">
      <c r="B113" s="2"/>
      <c r="C113" s="2"/>
      <c r="D113" s="2"/>
      <c r="E113" s="2"/>
      <c r="F113" s="2"/>
      <c r="G113" s="2"/>
      <c r="H113" s="2"/>
      <c r="I113" s="2"/>
      <c r="J113" s="2"/>
      <c r="K113" s="2"/>
      <c r="L113" s="2"/>
      <c r="T113" s="250"/>
    </row>
    <row r="114" spans="2:22">
      <c r="B114" s="2"/>
      <c r="C114" s="2"/>
      <c r="D114" s="2"/>
      <c r="E114" s="2"/>
      <c r="F114" s="2"/>
      <c r="G114" s="2"/>
      <c r="H114" s="2"/>
      <c r="I114" s="2"/>
      <c r="J114" s="2"/>
      <c r="K114" s="2"/>
      <c r="L114" s="2"/>
      <c r="T114" s="250"/>
    </row>
    <row r="115" spans="2:22">
      <c r="B115" s="2"/>
      <c r="C115" s="2"/>
      <c r="D115" s="2"/>
      <c r="E115" s="2"/>
      <c r="F115" s="2"/>
      <c r="G115" s="2"/>
      <c r="H115" s="2"/>
      <c r="I115" s="2"/>
      <c r="J115" s="2"/>
      <c r="K115" s="2"/>
      <c r="L115" s="2"/>
      <c r="U115" s="250"/>
    </row>
    <row r="116" spans="2:22">
      <c r="B116" s="2"/>
      <c r="C116" s="2"/>
      <c r="D116" s="2"/>
      <c r="E116" s="2"/>
      <c r="F116" s="2"/>
      <c r="G116" s="2"/>
      <c r="H116" s="2"/>
      <c r="I116" s="2"/>
      <c r="J116" s="2"/>
      <c r="K116" s="2"/>
      <c r="L116" s="2"/>
      <c r="U116" s="250"/>
    </row>
    <row r="117" spans="2:22">
      <c r="B117" s="2"/>
      <c r="C117" s="2"/>
      <c r="D117" s="2"/>
      <c r="E117" s="2"/>
      <c r="F117" s="2"/>
      <c r="G117" s="2"/>
      <c r="H117" s="2"/>
      <c r="I117" s="2"/>
      <c r="J117" s="2"/>
      <c r="K117" s="2"/>
      <c r="L117" s="2"/>
      <c r="U117" s="250"/>
    </row>
    <row r="118" spans="2:22">
      <c r="B118" s="2"/>
      <c r="C118" s="2"/>
      <c r="D118" s="2"/>
      <c r="E118" s="2"/>
      <c r="F118" s="2"/>
      <c r="G118" s="2"/>
      <c r="H118" s="2"/>
      <c r="I118" s="2"/>
      <c r="J118" s="2"/>
      <c r="K118" s="2"/>
      <c r="L118" s="2"/>
      <c r="U118" s="250"/>
    </row>
    <row r="119" spans="2:22">
      <c r="B119" s="2"/>
      <c r="C119" s="2"/>
      <c r="D119" s="2"/>
      <c r="E119" s="2"/>
      <c r="F119" s="2"/>
      <c r="G119" s="2"/>
      <c r="H119" s="2"/>
      <c r="I119" s="2"/>
      <c r="J119" s="2"/>
      <c r="K119" s="2"/>
      <c r="L119" s="2"/>
      <c r="U119" s="250"/>
    </row>
    <row r="120" spans="2:22">
      <c r="B120" s="2"/>
      <c r="C120" s="2"/>
      <c r="D120" s="2"/>
      <c r="E120" s="2"/>
      <c r="F120" s="2"/>
      <c r="G120" s="2"/>
      <c r="H120" s="2"/>
      <c r="I120" s="2"/>
      <c r="J120" s="2"/>
      <c r="K120" s="2"/>
      <c r="L120" s="2"/>
      <c r="U120" s="250"/>
    </row>
    <row r="121" spans="2:22">
      <c r="B121" s="2"/>
      <c r="C121" s="2"/>
      <c r="D121" s="2"/>
      <c r="E121" s="2"/>
      <c r="F121" s="2"/>
      <c r="G121" s="2"/>
      <c r="H121" s="2"/>
      <c r="I121" s="2"/>
      <c r="J121" s="2"/>
      <c r="K121" s="2"/>
      <c r="L121" s="2"/>
      <c r="U121" s="250"/>
    </row>
    <row r="122" spans="2:22">
      <c r="B122" s="2"/>
      <c r="C122" s="2"/>
      <c r="D122" s="2"/>
      <c r="E122" s="2"/>
      <c r="F122" s="2"/>
      <c r="G122" s="2"/>
      <c r="H122" s="2"/>
      <c r="I122" s="2"/>
      <c r="J122" s="2"/>
      <c r="K122" s="2"/>
      <c r="L122" s="2"/>
      <c r="U122" s="250"/>
    </row>
    <row r="123" spans="2:22">
      <c r="B123" s="2"/>
      <c r="C123" s="2"/>
      <c r="D123" s="2"/>
      <c r="E123" s="2"/>
      <c r="F123" s="2"/>
      <c r="G123" s="2"/>
      <c r="H123" s="2"/>
      <c r="I123" s="2"/>
      <c r="J123" s="2"/>
      <c r="K123" s="2"/>
      <c r="L123" s="2"/>
      <c r="U123" s="250"/>
    </row>
    <row r="124" spans="2:22">
      <c r="B124" s="2"/>
      <c r="C124" s="2"/>
      <c r="D124" s="2"/>
      <c r="E124" s="2"/>
      <c r="F124" s="2"/>
      <c r="G124" s="2"/>
      <c r="H124" s="2"/>
      <c r="I124" s="2"/>
      <c r="J124" s="2"/>
      <c r="K124" s="2"/>
      <c r="L124" s="2"/>
      <c r="U124" s="250"/>
    </row>
    <row r="125" spans="2:22">
      <c r="B125" s="2"/>
      <c r="C125" s="2"/>
      <c r="D125" s="2"/>
      <c r="E125" s="2"/>
      <c r="F125" s="2"/>
      <c r="G125" s="2"/>
      <c r="H125" s="2"/>
      <c r="I125" s="2"/>
      <c r="J125" s="2"/>
      <c r="K125" s="2"/>
      <c r="L125" s="2"/>
      <c r="V125" s="250"/>
    </row>
    <row r="126" spans="2:22">
      <c r="B126" s="2"/>
      <c r="C126" s="2"/>
      <c r="D126" s="2"/>
      <c r="E126" s="2"/>
      <c r="F126" s="2"/>
      <c r="G126" s="2"/>
      <c r="H126" s="2"/>
      <c r="I126" s="2"/>
      <c r="J126" s="2"/>
      <c r="K126" s="2"/>
      <c r="L126" s="2"/>
      <c r="V126" s="250"/>
    </row>
    <row r="127" spans="2:22">
      <c r="B127" s="2"/>
      <c r="C127" s="2"/>
      <c r="D127" s="2"/>
      <c r="E127" s="2"/>
      <c r="F127" s="2"/>
      <c r="G127" s="2"/>
      <c r="H127" s="2"/>
      <c r="I127" s="2"/>
      <c r="J127" s="2"/>
      <c r="K127" s="2"/>
      <c r="L127" s="2"/>
      <c r="V127" s="250"/>
    </row>
    <row r="128" spans="2:22">
      <c r="B128" s="2"/>
      <c r="C128" s="2"/>
      <c r="D128" s="2"/>
      <c r="E128" s="2"/>
      <c r="F128" s="2"/>
      <c r="G128" s="2"/>
      <c r="H128" s="2"/>
      <c r="I128" s="2"/>
      <c r="J128" s="2"/>
      <c r="K128" s="2"/>
      <c r="L128" s="2"/>
      <c r="V128" s="250"/>
    </row>
    <row r="129" spans="2:23">
      <c r="B129" s="2"/>
      <c r="C129" s="2"/>
      <c r="D129" s="2"/>
      <c r="E129" s="2"/>
      <c r="F129" s="2"/>
      <c r="G129" s="2"/>
      <c r="H129" s="2"/>
      <c r="I129" s="2"/>
      <c r="J129" s="2"/>
      <c r="K129" s="2"/>
      <c r="L129" s="2"/>
      <c r="V129" s="250"/>
    </row>
    <row r="130" spans="2:23">
      <c r="B130" s="2"/>
      <c r="C130" s="2"/>
      <c r="D130" s="2"/>
      <c r="E130" s="2"/>
      <c r="F130" s="2"/>
      <c r="G130" s="2"/>
      <c r="H130" s="2"/>
      <c r="I130" s="2"/>
      <c r="J130" s="2"/>
      <c r="K130" s="2"/>
      <c r="L130" s="2"/>
      <c r="V130" s="250"/>
    </row>
    <row r="131" spans="2:23">
      <c r="B131" s="2"/>
      <c r="C131" s="2"/>
      <c r="D131" s="2"/>
      <c r="E131" s="2"/>
      <c r="F131" s="2"/>
      <c r="G131" s="2"/>
      <c r="H131" s="2"/>
      <c r="I131" s="2"/>
      <c r="J131" s="2"/>
      <c r="K131" s="2"/>
      <c r="L131" s="2"/>
      <c r="V131" s="250"/>
    </row>
    <row r="132" spans="2:23">
      <c r="B132" s="2"/>
      <c r="C132" s="2"/>
      <c r="D132" s="2"/>
      <c r="E132" s="2"/>
      <c r="F132" s="2"/>
      <c r="G132" s="2"/>
      <c r="H132" s="2"/>
      <c r="I132" s="2"/>
      <c r="J132" s="2"/>
      <c r="K132" s="2"/>
      <c r="L132" s="2"/>
      <c r="V132" s="250"/>
    </row>
    <row r="133" spans="2:23">
      <c r="B133" s="2"/>
      <c r="C133" s="2"/>
      <c r="D133" s="2"/>
      <c r="E133" s="2"/>
      <c r="F133" s="2"/>
      <c r="G133" s="2"/>
      <c r="H133" s="2"/>
      <c r="I133" s="2"/>
      <c r="J133" s="2"/>
      <c r="K133" s="2"/>
      <c r="L133" s="2"/>
      <c r="V133" s="250"/>
    </row>
    <row r="134" spans="2:23">
      <c r="B134" s="2"/>
      <c r="C134" s="2"/>
      <c r="D134" s="2"/>
      <c r="E134" s="2"/>
      <c r="F134" s="2"/>
      <c r="G134" s="2"/>
      <c r="H134" s="2"/>
      <c r="I134" s="2"/>
      <c r="J134" s="2"/>
      <c r="K134" s="2"/>
      <c r="L134" s="2"/>
      <c r="V134" s="250"/>
    </row>
    <row r="135" spans="2:23">
      <c r="B135" s="2"/>
      <c r="C135" s="2"/>
      <c r="D135" s="2"/>
      <c r="E135" s="2"/>
      <c r="F135" s="2"/>
      <c r="G135" s="2"/>
      <c r="H135" s="2"/>
      <c r="I135" s="2"/>
      <c r="J135" s="2"/>
      <c r="K135" s="2"/>
      <c r="L135" s="2"/>
      <c r="W135" s="250"/>
    </row>
    <row r="136" spans="2:23">
      <c r="B136" s="2"/>
      <c r="C136" s="2"/>
      <c r="D136" s="2"/>
      <c r="E136" s="2"/>
      <c r="F136" s="2"/>
      <c r="G136" s="2"/>
      <c r="H136" s="2"/>
      <c r="I136" s="2"/>
      <c r="J136" s="2"/>
      <c r="K136" s="2"/>
      <c r="L136" s="2"/>
      <c r="W136" s="250"/>
    </row>
    <row r="137" spans="2:23">
      <c r="B137" s="2"/>
      <c r="C137" s="2"/>
      <c r="D137" s="2"/>
      <c r="E137" s="2"/>
      <c r="F137" s="2"/>
      <c r="G137" s="2"/>
      <c r="H137" s="2"/>
      <c r="I137" s="2"/>
      <c r="J137" s="2"/>
      <c r="K137" s="2"/>
      <c r="L137" s="2"/>
      <c r="W137" s="250"/>
    </row>
    <row r="138" spans="2:23">
      <c r="B138" s="2"/>
      <c r="C138" s="2"/>
      <c r="D138" s="2"/>
      <c r="E138" s="2"/>
      <c r="F138" s="2"/>
      <c r="G138" s="2"/>
      <c r="H138" s="2"/>
      <c r="I138" s="2"/>
      <c r="J138" s="2"/>
      <c r="K138" s="2"/>
      <c r="L138" s="2"/>
      <c r="W138" s="250"/>
    </row>
    <row r="139" spans="2:23">
      <c r="B139" s="2"/>
      <c r="C139" s="2"/>
      <c r="D139" s="2"/>
      <c r="E139" s="2"/>
      <c r="F139" s="2"/>
      <c r="G139" s="2"/>
      <c r="H139" s="2"/>
      <c r="I139" s="2"/>
      <c r="J139" s="2"/>
      <c r="K139" s="2"/>
      <c r="L139" s="2"/>
      <c r="W139" s="250"/>
    </row>
    <row r="140" spans="2:23">
      <c r="B140" s="2"/>
      <c r="C140" s="2"/>
      <c r="D140" s="2"/>
      <c r="E140" s="2"/>
      <c r="F140" s="2"/>
      <c r="G140" s="2"/>
      <c r="H140" s="2"/>
      <c r="I140" s="2"/>
      <c r="J140" s="2"/>
      <c r="K140" s="2"/>
      <c r="L140" s="2"/>
      <c r="W140" s="250"/>
    </row>
    <row r="141" spans="2:23">
      <c r="B141" s="2"/>
      <c r="C141" s="2"/>
      <c r="D141" s="2"/>
      <c r="E141" s="2"/>
      <c r="F141" s="2"/>
      <c r="G141" s="2"/>
      <c r="H141" s="2"/>
      <c r="I141" s="2"/>
      <c r="J141" s="2"/>
      <c r="K141" s="2"/>
      <c r="L141" s="2"/>
      <c r="W141" s="250"/>
    </row>
    <row r="142" spans="2:23">
      <c r="B142" s="2"/>
      <c r="C142" s="2"/>
      <c r="D142" s="2"/>
      <c r="E142" s="2"/>
      <c r="F142" s="2"/>
      <c r="G142" s="2"/>
      <c r="H142" s="2"/>
      <c r="I142" s="2"/>
      <c r="J142" s="2"/>
      <c r="K142" s="2"/>
      <c r="L142" s="2"/>
      <c r="W142" s="250"/>
    </row>
    <row r="143" spans="2:23">
      <c r="B143" s="2"/>
      <c r="C143" s="2"/>
      <c r="D143" s="2"/>
      <c r="E143" s="2"/>
      <c r="F143" s="2"/>
      <c r="G143" s="2"/>
      <c r="H143" s="2"/>
      <c r="I143" s="2"/>
      <c r="J143" s="2"/>
      <c r="K143" s="2"/>
      <c r="L143" s="2"/>
      <c r="W143" s="250"/>
    </row>
    <row r="144" spans="2:23">
      <c r="B144" s="2"/>
      <c r="C144" s="2"/>
      <c r="D144" s="2"/>
      <c r="E144" s="2"/>
      <c r="F144" s="2"/>
      <c r="G144" s="2"/>
      <c r="H144" s="2"/>
      <c r="I144" s="2"/>
      <c r="J144" s="2"/>
      <c r="K144" s="2"/>
      <c r="L144" s="2"/>
      <c r="W144" s="250"/>
    </row>
    <row r="145" spans="2:25">
      <c r="B145" s="2"/>
      <c r="C145" s="2"/>
      <c r="D145" s="2"/>
      <c r="E145" s="2"/>
      <c r="F145" s="2"/>
      <c r="G145" s="2"/>
      <c r="H145" s="2"/>
      <c r="I145" s="2"/>
      <c r="J145" s="2"/>
      <c r="K145" s="2"/>
      <c r="L145" s="2"/>
      <c r="X145" s="250"/>
    </row>
    <row r="146" spans="2:25">
      <c r="B146" s="2"/>
      <c r="C146" s="2"/>
      <c r="D146" s="2"/>
      <c r="E146" s="2"/>
      <c r="F146" s="2"/>
      <c r="G146" s="2"/>
      <c r="H146" s="2"/>
      <c r="I146" s="2"/>
      <c r="J146" s="2"/>
      <c r="K146" s="2"/>
      <c r="L146" s="2"/>
      <c r="X146" s="250"/>
    </row>
    <row r="147" spans="2:25">
      <c r="B147" s="2"/>
      <c r="C147" s="2"/>
      <c r="D147" s="2"/>
      <c r="E147" s="2"/>
      <c r="F147" s="2"/>
      <c r="G147" s="2"/>
      <c r="H147" s="2"/>
      <c r="I147" s="2"/>
      <c r="J147" s="2"/>
      <c r="K147" s="2"/>
      <c r="L147" s="2"/>
      <c r="X147" s="250"/>
    </row>
    <row r="148" spans="2:25">
      <c r="B148" s="2"/>
      <c r="C148" s="2"/>
      <c r="D148" s="2"/>
      <c r="E148" s="2"/>
      <c r="F148" s="2"/>
      <c r="G148" s="2"/>
      <c r="H148" s="2"/>
      <c r="I148" s="2"/>
      <c r="J148" s="2"/>
      <c r="K148" s="2"/>
      <c r="L148" s="2"/>
      <c r="X148" s="250"/>
    </row>
    <row r="149" spans="2:25">
      <c r="B149" s="2"/>
      <c r="C149" s="2"/>
      <c r="D149" s="2"/>
      <c r="E149" s="2"/>
      <c r="F149" s="2"/>
      <c r="G149" s="2"/>
      <c r="H149" s="2"/>
      <c r="I149" s="2"/>
      <c r="J149" s="2"/>
      <c r="K149" s="2"/>
      <c r="L149" s="2"/>
      <c r="X149" s="250"/>
    </row>
    <row r="150" spans="2:25">
      <c r="B150" s="2"/>
      <c r="C150" s="2"/>
      <c r="D150" s="2"/>
      <c r="E150" s="2"/>
      <c r="F150" s="2"/>
      <c r="G150" s="2"/>
      <c r="H150" s="2"/>
      <c r="I150" s="2"/>
      <c r="J150" s="2"/>
      <c r="K150" s="2"/>
      <c r="L150" s="2"/>
      <c r="X150" s="250"/>
    </row>
    <row r="151" spans="2:25">
      <c r="B151" s="2"/>
      <c r="C151" s="2"/>
      <c r="D151" s="2"/>
      <c r="E151" s="2"/>
      <c r="F151" s="2"/>
      <c r="G151" s="2"/>
      <c r="H151" s="2"/>
      <c r="I151" s="2"/>
      <c r="J151" s="2"/>
      <c r="K151" s="2"/>
      <c r="L151" s="2"/>
      <c r="X151" s="250"/>
    </row>
    <row r="152" spans="2:25">
      <c r="B152" s="2"/>
      <c r="C152" s="2"/>
      <c r="D152" s="2"/>
      <c r="E152" s="2"/>
      <c r="F152" s="2"/>
      <c r="G152" s="2"/>
      <c r="H152" s="2"/>
      <c r="I152" s="2"/>
      <c r="J152" s="2"/>
      <c r="K152" s="2"/>
      <c r="L152" s="2"/>
      <c r="X152" s="250"/>
    </row>
    <row r="153" spans="2:25">
      <c r="B153" s="2"/>
      <c r="C153" s="2"/>
      <c r="D153" s="2"/>
      <c r="E153" s="2"/>
      <c r="F153" s="2"/>
      <c r="G153" s="2"/>
      <c r="H153" s="2"/>
      <c r="I153" s="2"/>
      <c r="J153" s="2"/>
      <c r="K153" s="2"/>
      <c r="L153" s="2"/>
      <c r="X153" s="250"/>
    </row>
    <row r="154" spans="2:25">
      <c r="B154" s="2"/>
      <c r="C154" s="2"/>
      <c r="D154" s="2"/>
      <c r="E154" s="2"/>
      <c r="F154" s="2"/>
      <c r="G154" s="2"/>
      <c r="H154" s="2"/>
      <c r="I154" s="2"/>
      <c r="J154" s="2"/>
      <c r="K154" s="2"/>
      <c r="L154" s="2"/>
      <c r="X154" s="250"/>
    </row>
    <row r="155" spans="2:25">
      <c r="B155" s="2"/>
      <c r="C155" s="2"/>
      <c r="D155" s="2"/>
      <c r="E155" s="2"/>
      <c r="F155" s="2"/>
      <c r="G155" s="2"/>
      <c r="H155" s="2"/>
      <c r="I155" s="2"/>
      <c r="J155" s="2"/>
      <c r="K155" s="2"/>
      <c r="L155" s="2"/>
      <c r="Y155" s="250"/>
    </row>
    <row r="156" spans="2:25">
      <c r="B156" s="2"/>
      <c r="C156" s="2"/>
      <c r="D156" s="2"/>
      <c r="E156" s="2"/>
      <c r="F156" s="2"/>
      <c r="G156" s="2"/>
      <c r="H156" s="2"/>
      <c r="I156" s="2"/>
      <c r="J156" s="2"/>
      <c r="K156" s="2"/>
      <c r="L156" s="2"/>
      <c r="Y156" s="250"/>
    </row>
    <row r="157" spans="2:25">
      <c r="B157" s="2"/>
      <c r="C157" s="2"/>
      <c r="D157" s="2"/>
      <c r="E157" s="2"/>
      <c r="F157" s="2"/>
      <c r="G157" s="2"/>
      <c r="H157" s="2"/>
      <c r="I157" s="2"/>
      <c r="J157" s="2"/>
      <c r="K157" s="2"/>
      <c r="L157" s="2"/>
      <c r="Y157" s="250"/>
    </row>
    <row r="158" spans="2:25">
      <c r="B158" s="2"/>
      <c r="C158" s="2"/>
      <c r="D158" s="2"/>
      <c r="E158" s="2"/>
      <c r="F158" s="2"/>
      <c r="G158" s="2"/>
      <c r="H158" s="2"/>
      <c r="I158" s="2"/>
      <c r="J158" s="2"/>
      <c r="K158" s="2"/>
      <c r="L158" s="2"/>
      <c r="Y158" s="250"/>
    </row>
    <row r="159" spans="2:25">
      <c r="B159" s="2"/>
      <c r="C159" s="2"/>
      <c r="D159" s="2"/>
      <c r="E159" s="2"/>
      <c r="F159" s="2"/>
      <c r="G159" s="2"/>
      <c r="H159" s="2"/>
      <c r="I159" s="2"/>
      <c r="J159" s="2"/>
      <c r="K159" s="2"/>
      <c r="L159" s="2"/>
      <c r="Y159" s="250"/>
    </row>
    <row r="160" spans="2:25">
      <c r="B160" s="2"/>
      <c r="C160" s="2"/>
      <c r="D160" s="2"/>
      <c r="E160" s="2"/>
      <c r="F160" s="2"/>
      <c r="G160" s="2"/>
      <c r="H160" s="2"/>
      <c r="I160" s="2"/>
      <c r="J160" s="2"/>
      <c r="K160" s="2"/>
      <c r="L160" s="2"/>
      <c r="Y160" s="250"/>
    </row>
    <row r="161" spans="2:27">
      <c r="B161" s="2"/>
      <c r="C161" s="2"/>
      <c r="D161" s="2"/>
      <c r="E161" s="2"/>
      <c r="F161" s="2"/>
      <c r="G161" s="2"/>
      <c r="H161" s="2"/>
      <c r="I161" s="2"/>
      <c r="J161" s="2"/>
      <c r="K161" s="2"/>
      <c r="L161" s="2"/>
      <c r="Y161" s="250"/>
    </row>
    <row r="162" spans="2:27">
      <c r="B162" s="2"/>
      <c r="C162" s="2"/>
      <c r="D162" s="2"/>
      <c r="E162" s="2"/>
      <c r="F162" s="2"/>
      <c r="G162" s="2"/>
      <c r="H162" s="2"/>
      <c r="I162" s="2"/>
      <c r="J162" s="2"/>
      <c r="K162" s="2"/>
      <c r="L162" s="2"/>
      <c r="Y162" s="250"/>
    </row>
    <row r="163" spans="2:27">
      <c r="B163" s="2"/>
      <c r="C163" s="2"/>
      <c r="D163" s="2"/>
      <c r="E163" s="2"/>
      <c r="F163" s="2"/>
      <c r="G163" s="2"/>
      <c r="H163" s="2"/>
      <c r="I163" s="2"/>
      <c r="J163" s="2"/>
      <c r="K163" s="2"/>
      <c r="L163" s="2"/>
      <c r="Y163" s="250"/>
    </row>
    <row r="164" spans="2:27">
      <c r="B164" s="2"/>
      <c r="C164" s="2"/>
      <c r="D164" s="2"/>
      <c r="E164" s="2"/>
      <c r="F164" s="2"/>
      <c r="G164" s="2"/>
      <c r="H164" s="2"/>
      <c r="I164" s="2"/>
      <c r="J164" s="2"/>
      <c r="K164" s="2"/>
      <c r="L164" s="2"/>
      <c r="Y164" s="250"/>
    </row>
    <row r="165" spans="2:27">
      <c r="B165" s="2"/>
      <c r="C165" s="2"/>
      <c r="D165" s="2"/>
      <c r="E165" s="2"/>
      <c r="F165" s="2"/>
      <c r="G165" s="2"/>
      <c r="H165" s="2"/>
      <c r="I165" s="2"/>
      <c r="J165" s="2"/>
      <c r="K165" s="2"/>
      <c r="L165" s="2"/>
      <c r="Z165" s="250"/>
    </row>
    <row r="166" spans="2:27">
      <c r="B166" s="2"/>
      <c r="C166" s="2"/>
      <c r="D166" s="2"/>
      <c r="E166" s="2"/>
      <c r="F166" s="2"/>
      <c r="G166" s="2"/>
      <c r="H166" s="2"/>
      <c r="I166" s="2"/>
      <c r="J166" s="2"/>
      <c r="K166" s="2"/>
      <c r="L166" s="2"/>
      <c r="Z166" s="250"/>
    </row>
    <row r="167" spans="2:27">
      <c r="B167" s="2"/>
      <c r="C167" s="2"/>
      <c r="D167" s="2"/>
      <c r="E167" s="2"/>
      <c r="F167" s="2"/>
      <c r="G167" s="2"/>
      <c r="H167" s="2"/>
      <c r="I167" s="2"/>
      <c r="J167" s="2"/>
      <c r="K167" s="2"/>
      <c r="L167" s="2"/>
      <c r="Z167" s="250"/>
    </row>
    <row r="168" spans="2:27">
      <c r="B168" s="2"/>
      <c r="C168" s="2"/>
      <c r="D168" s="2"/>
      <c r="E168" s="2"/>
      <c r="F168" s="2"/>
      <c r="G168" s="2"/>
      <c r="H168" s="2"/>
      <c r="I168" s="2"/>
      <c r="J168" s="2"/>
      <c r="K168" s="2"/>
      <c r="L168" s="2"/>
      <c r="Z168" s="250"/>
    </row>
    <row r="169" spans="2:27">
      <c r="B169" s="2"/>
      <c r="C169" s="2"/>
      <c r="D169" s="2"/>
      <c r="E169" s="2"/>
      <c r="F169" s="2"/>
      <c r="G169" s="2"/>
      <c r="H169" s="2"/>
      <c r="I169" s="2"/>
      <c r="J169" s="2"/>
      <c r="K169" s="2"/>
      <c r="L169" s="2"/>
      <c r="Z169" s="250"/>
    </row>
    <row r="170" spans="2:27">
      <c r="B170" s="2"/>
      <c r="C170" s="2"/>
      <c r="D170" s="2"/>
      <c r="E170" s="2"/>
      <c r="F170" s="2"/>
      <c r="G170" s="2"/>
      <c r="H170" s="2"/>
      <c r="I170" s="2"/>
      <c r="J170" s="2"/>
      <c r="K170" s="2"/>
      <c r="L170" s="2"/>
      <c r="Z170" s="250"/>
    </row>
    <row r="171" spans="2:27">
      <c r="B171" s="2"/>
      <c r="C171" s="2"/>
      <c r="D171" s="2"/>
      <c r="E171" s="2"/>
      <c r="F171" s="2"/>
      <c r="G171" s="2"/>
      <c r="H171" s="2"/>
      <c r="I171" s="2"/>
      <c r="J171" s="2"/>
      <c r="K171" s="2"/>
      <c r="L171" s="2"/>
      <c r="Z171" s="250"/>
    </row>
    <row r="172" spans="2:27">
      <c r="B172" s="2"/>
      <c r="C172" s="2"/>
      <c r="D172" s="2"/>
      <c r="E172" s="2"/>
      <c r="F172" s="2"/>
      <c r="G172" s="2"/>
      <c r="H172" s="2"/>
      <c r="I172" s="2"/>
      <c r="J172" s="2"/>
      <c r="K172" s="2"/>
      <c r="L172" s="2"/>
      <c r="Z172" s="250"/>
    </row>
    <row r="173" spans="2:27">
      <c r="B173" s="2"/>
      <c r="C173" s="2"/>
      <c r="D173" s="2"/>
      <c r="E173" s="2"/>
      <c r="F173" s="2"/>
      <c r="G173" s="2"/>
      <c r="H173" s="2"/>
      <c r="I173" s="2"/>
      <c r="J173" s="2"/>
      <c r="K173" s="2"/>
      <c r="L173" s="2"/>
      <c r="Z173" s="250"/>
    </row>
    <row r="174" spans="2:27">
      <c r="B174" s="2"/>
      <c r="C174" s="2"/>
      <c r="D174" s="2"/>
      <c r="E174" s="2"/>
      <c r="F174" s="2"/>
      <c r="G174" s="2"/>
      <c r="H174" s="2"/>
      <c r="I174" s="2"/>
      <c r="J174" s="2"/>
      <c r="K174" s="2"/>
      <c r="L174" s="2"/>
      <c r="Z174" s="250"/>
    </row>
    <row r="175" spans="2:27">
      <c r="B175" s="2"/>
      <c r="C175" s="2"/>
      <c r="D175" s="2"/>
      <c r="E175" s="2"/>
      <c r="F175" s="2"/>
      <c r="G175" s="2"/>
      <c r="H175" s="2"/>
      <c r="I175" s="2"/>
      <c r="J175" s="2"/>
      <c r="K175" s="2"/>
      <c r="L175" s="2"/>
      <c r="AA175" s="250"/>
    </row>
    <row r="176" spans="2:27">
      <c r="B176" s="2"/>
      <c r="C176" s="2"/>
      <c r="D176" s="2"/>
      <c r="E176" s="2"/>
      <c r="F176" s="2"/>
      <c r="G176" s="2"/>
      <c r="H176" s="2"/>
      <c r="I176" s="2"/>
      <c r="J176" s="2"/>
      <c r="K176" s="2"/>
      <c r="L176" s="2"/>
      <c r="AA176" s="250"/>
    </row>
    <row r="177" spans="2:28">
      <c r="B177" s="2"/>
      <c r="C177" s="2"/>
      <c r="D177" s="2"/>
      <c r="E177" s="2"/>
      <c r="F177" s="2"/>
      <c r="G177" s="2"/>
      <c r="H177" s="2"/>
      <c r="I177" s="2"/>
      <c r="J177" s="2"/>
      <c r="K177" s="2"/>
      <c r="L177" s="2"/>
      <c r="AA177" s="250"/>
    </row>
    <row r="178" spans="2:28">
      <c r="B178" s="2"/>
      <c r="C178" s="2"/>
      <c r="D178" s="2"/>
      <c r="E178" s="2"/>
      <c r="F178" s="2"/>
      <c r="G178" s="2"/>
      <c r="H178" s="2"/>
      <c r="I178" s="2"/>
      <c r="J178" s="2"/>
      <c r="K178" s="2"/>
      <c r="L178" s="2"/>
      <c r="AA178" s="250"/>
    </row>
    <row r="179" spans="2:28">
      <c r="B179" s="2"/>
      <c r="C179" s="2"/>
      <c r="D179" s="2"/>
      <c r="E179" s="2"/>
      <c r="F179" s="2"/>
      <c r="G179" s="2"/>
      <c r="H179" s="2"/>
      <c r="I179" s="2"/>
      <c r="J179" s="2"/>
      <c r="K179" s="2"/>
      <c r="L179" s="2"/>
      <c r="AA179" s="250"/>
    </row>
    <row r="180" spans="2:28">
      <c r="B180" s="2"/>
      <c r="C180" s="2"/>
      <c r="D180" s="2"/>
      <c r="E180" s="2"/>
      <c r="F180" s="2"/>
      <c r="G180" s="2"/>
      <c r="H180" s="2"/>
      <c r="I180" s="2"/>
      <c r="J180" s="2"/>
      <c r="K180" s="2"/>
      <c r="L180" s="2"/>
      <c r="AA180" s="250"/>
    </row>
    <row r="181" spans="2:28">
      <c r="B181" s="2"/>
      <c r="C181" s="2"/>
      <c r="D181" s="2"/>
      <c r="E181" s="2"/>
      <c r="F181" s="2"/>
      <c r="G181" s="2"/>
      <c r="H181" s="2"/>
      <c r="I181" s="2"/>
      <c r="J181" s="2"/>
      <c r="K181" s="2"/>
      <c r="L181" s="2"/>
      <c r="AA181" s="250"/>
    </row>
    <row r="182" spans="2:28">
      <c r="B182" s="2"/>
      <c r="C182" s="2"/>
      <c r="D182" s="2"/>
      <c r="E182" s="2"/>
      <c r="F182" s="2"/>
      <c r="G182" s="2"/>
      <c r="H182" s="2"/>
      <c r="I182" s="2"/>
      <c r="J182" s="2"/>
      <c r="K182" s="2"/>
      <c r="L182" s="2"/>
      <c r="AA182" s="250"/>
    </row>
    <row r="183" spans="2:28">
      <c r="B183" s="2"/>
      <c r="C183" s="2"/>
      <c r="D183" s="2"/>
      <c r="E183" s="2"/>
      <c r="F183" s="2"/>
      <c r="G183" s="2"/>
      <c r="H183" s="2"/>
      <c r="I183" s="2"/>
      <c r="J183" s="2"/>
      <c r="K183" s="2"/>
      <c r="L183" s="2"/>
      <c r="AA183" s="250"/>
    </row>
    <row r="184" spans="2:28">
      <c r="B184" s="2"/>
      <c r="C184" s="2"/>
      <c r="D184" s="2"/>
      <c r="E184" s="2"/>
      <c r="F184" s="2"/>
      <c r="G184" s="2"/>
      <c r="H184" s="2"/>
      <c r="I184" s="2"/>
      <c r="J184" s="2"/>
      <c r="K184" s="2"/>
      <c r="L184" s="2"/>
      <c r="AA184" s="250"/>
    </row>
    <row r="185" spans="2:28">
      <c r="AB185" s="250"/>
    </row>
    <row r="186" spans="2:28">
      <c r="AB186" s="250"/>
    </row>
    <row r="187" spans="2:28">
      <c r="AB187" s="250"/>
    </row>
    <row r="188" spans="2:28">
      <c r="AB188" s="250"/>
    </row>
    <row r="189" spans="2:28">
      <c r="AB189" s="250"/>
    </row>
    <row r="190" spans="2:28">
      <c r="AB190" s="250"/>
    </row>
    <row r="191" spans="2:28">
      <c r="AB191" s="250"/>
    </row>
    <row r="192" spans="2:28">
      <c r="AB192" s="250"/>
    </row>
    <row r="193" spans="28:28">
      <c r="AB193" s="250"/>
    </row>
    <row r="194" spans="28:28">
      <c r="AB194" s="250"/>
    </row>
  </sheetData>
  <pageMargins left="0.7" right="0.7" top="0.75" bottom="0.75" header="0.3" footer="0.3"/>
  <pageSetup orientation="portrait"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ransitionEvaluation="1">
    <tabColor rgb="FFFFC000"/>
    <pageSetUpPr fitToPage="1"/>
  </sheetPr>
  <dimension ref="A1:CE317"/>
  <sheetViews>
    <sheetView topLeftCell="A37" workbookViewId="0">
      <selection activeCell="J52" sqref="J52"/>
    </sheetView>
  </sheetViews>
  <sheetFormatPr baseColWidth="10" defaultColWidth="9.42578125" defaultRowHeight="15"/>
  <cols>
    <col min="1" max="1" width="9.42578125" style="227"/>
    <col min="2" max="2" width="5.5703125" style="227" customWidth="1"/>
    <col min="3" max="3" width="62.5703125" style="227" customWidth="1"/>
    <col min="4" max="10" width="11" style="227" customWidth="1"/>
    <col min="11" max="11" width="5.5703125" style="227" customWidth="1"/>
    <col min="12" max="12" width="19.42578125" style="227" customWidth="1"/>
    <col min="13" max="13" width="10.140625" style="227" customWidth="1"/>
    <col min="14" max="16" width="11.5703125" style="227" bestFit="1" customWidth="1"/>
    <col min="17" max="17" width="10.5703125" style="227" bestFit="1" customWidth="1"/>
    <col min="18" max="16384" width="9.42578125" style="227"/>
  </cols>
  <sheetData>
    <row r="1" spans="1:83" ht="15" customHeight="1" thickBot="1">
      <c r="A1" s="226"/>
      <c r="B1" s="226"/>
      <c r="C1" s="289"/>
      <c r="D1" s="290"/>
      <c r="E1" s="290"/>
      <c r="F1" s="290"/>
      <c r="G1" s="290"/>
      <c r="H1" s="290"/>
      <c r="I1" s="290"/>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row>
    <row r="2" spans="1:83" s="731" customFormat="1" ht="35.1" customHeight="1">
      <c r="A2" s="226"/>
      <c r="B2" s="722"/>
      <c r="C2" s="728" t="s">
        <v>763</v>
      </c>
      <c r="D2" s="729"/>
      <c r="E2" s="729"/>
      <c r="F2" s="729"/>
      <c r="G2" s="729"/>
      <c r="H2" s="729"/>
      <c r="I2" s="729"/>
      <c r="J2" s="729"/>
      <c r="K2" s="730"/>
      <c r="L2" s="226"/>
      <c r="M2" s="229"/>
      <c r="N2" s="230"/>
      <c r="O2" s="230"/>
      <c r="P2" s="230"/>
      <c r="Q2" s="230"/>
      <c r="R2" s="230"/>
      <c r="S2" s="230"/>
      <c r="T2" s="226"/>
      <c r="U2" s="226"/>
      <c r="V2" s="226"/>
      <c r="W2" s="226"/>
      <c r="X2" s="226"/>
      <c r="Y2" s="226"/>
      <c r="Z2" s="226"/>
      <c r="AA2" s="226"/>
      <c r="AB2" s="226"/>
      <c r="AC2" s="226"/>
      <c r="AD2" s="226"/>
      <c r="AE2" s="226"/>
      <c r="AF2" s="226"/>
      <c r="AG2" s="226"/>
      <c r="AH2" s="226"/>
      <c r="AI2" s="226"/>
      <c r="AJ2" s="226"/>
      <c r="AK2" s="226"/>
      <c r="AL2" s="226"/>
      <c r="AM2" s="226"/>
      <c r="AN2" s="226"/>
      <c r="AO2" s="226"/>
      <c r="AP2" s="226"/>
      <c r="AQ2" s="226"/>
      <c r="AR2" s="226"/>
      <c r="AS2" s="226"/>
      <c r="AT2" s="226"/>
      <c r="AU2" s="226"/>
      <c r="AV2" s="226"/>
      <c r="AW2" s="226"/>
      <c r="AX2" s="226"/>
      <c r="AY2" s="226"/>
      <c r="AZ2" s="226"/>
      <c r="BA2" s="226"/>
      <c r="BB2" s="226"/>
      <c r="BC2" s="226"/>
      <c r="BD2" s="226"/>
      <c r="BE2" s="226"/>
      <c r="BF2" s="226"/>
      <c r="BG2" s="226"/>
      <c r="BH2" s="226"/>
      <c r="BI2" s="226"/>
      <c r="BJ2" s="226"/>
      <c r="BK2" s="226"/>
      <c r="BL2" s="226"/>
      <c r="BM2" s="226"/>
      <c r="BN2" s="226"/>
      <c r="BO2" s="226"/>
      <c r="BP2" s="226"/>
      <c r="BQ2" s="226"/>
      <c r="BR2" s="226"/>
      <c r="BS2" s="226"/>
      <c r="BT2" s="226"/>
      <c r="BU2" s="226"/>
      <c r="BV2" s="226"/>
      <c r="BW2" s="226"/>
      <c r="BX2" s="226"/>
      <c r="BY2" s="226"/>
      <c r="BZ2" s="226"/>
      <c r="CA2" s="226"/>
      <c r="CB2" s="226"/>
      <c r="CC2" s="226"/>
      <c r="CD2" s="226"/>
      <c r="CE2" s="226"/>
    </row>
    <row r="3" spans="1:83" s="731" customFormat="1" ht="35.1" customHeight="1">
      <c r="A3" s="226"/>
      <c r="B3" s="430"/>
      <c r="C3" s="732"/>
      <c r="D3" s="736">
        <v>2008</v>
      </c>
      <c r="E3" s="736">
        <v>2009</v>
      </c>
      <c r="F3" s="736">
        <v>2010</v>
      </c>
      <c r="G3" s="736">
        <v>2011</v>
      </c>
      <c r="H3" s="736">
        <v>2012</v>
      </c>
      <c r="I3" s="736">
        <v>2013</v>
      </c>
      <c r="J3" s="737">
        <v>2014</v>
      </c>
      <c r="K3" s="733"/>
      <c r="L3" s="226"/>
      <c r="M3" s="230"/>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row>
    <row r="4" spans="1:83" s="731" customFormat="1" ht="35.1" customHeight="1">
      <c r="A4" s="226"/>
      <c r="B4" s="430"/>
      <c r="C4" s="734" t="s">
        <v>764</v>
      </c>
      <c r="D4" s="734"/>
      <c r="E4" s="734"/>
      <c r="F4" s="734"/>
      <c r="G4" s="734"/>
      <c r="H4" s="734"/>
      <c r="I4" s="734"/>
      <c r="J4" s="734"/>
      <c r="K4" s="735"/>
      <c r="L4" s="226"/>
      <c r="M4" s="230"/>
      <c r="N4" s="230"/>
      <c r="O4" s="230"/>
      <c r="P4" s="230"/>
      <c r="Q4" s="230"/>
      <c r="R4" s="230"/>
      <c r="S4" s="230"/>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row>
    <row r="5" spans="1:83" ht="15.75" thickBot="1">
      <c r="A5" s="226"/>
      <c r="B5" s="430"/>
      <c r="C5" s="718"/>
      <c r="D5" s="228"/>
      <c r="E5" s="228"/>
      <c r="F5" s="228"/>
      <c r="G5" s="228"/>
      <c r="H5" s="228"/>
      <c r="I5" s="228"/>
      <c r="J5" s="228"/>
      <c r="K5" s="434"/>
      <c r="L5" s="226"/>
      <c r="M5" s="230"/>
      <c r="N5" s="230"/>
      <c r="O5" s="230"/>
      <c r="P5" s="230"/>
      <c r="Q5" s="230"/>
      <c r="R5" s="230"/>
      <c r="S5" s="230"/>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row>
    <row r="6" spans="1:83" ht="15.75" thickBot="1">
      <c r="A6" s="226"/>
      <c r="B6" s="430"/>
      <c r="C6" s="719" t="s">
        <v>765</v>
      </c>
      <c r="D6" s="231">
        <v>2408.5786000000003</v>
      </c>
      <c r="E6" s="231">
        <v>2262.2892999999999</v>
      </c>
      <c r="F6" s="231">
        <v>2480.4111000000003</v>
      </c>
      <c r="G6" s="231">
        <v>2768.9007999999994</v>
      </c>
      <c r="H6" s="231">
        <v>3007.0638000000004</v>
      </c>
      <c r="I6" s="444">
        <v>3330.0604188707821</v>
      </c>
      <c r="J6" s="445">
        <f>SUM(J7:J10)</f>
        <v>3747.8058788624448</v>
      </c>
      <c r="K6" s="723"/>
      <c r="L6" s="226"/>
      <c r="M6" s="230"/>
      <c r="N6" s="230"/>
      <c r="O6" s="230"/>
      <c r="P6" s="230"/>
      <c r="Q6" s="230"/>
      <c r="R6" s="230"/>
      <c r="S6" s="230"/>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row>
    <row r="7" spans="1:83" ht="15.75" thickBot="1">
      <c r="A7" s="226"/>
      <c r="B7" s="430"/>
      <c r="C7" s="718" t="s">
        <v>646</v>
      </c>
      <c r="D7" s="231">
        <v>689.22469999999998</v>
      </c>
      <c r="E7" s="231">
        <v>687.4203</v>
      </c>
      <c r="F7" s="231">
        <v>752.17160000000013</v>
      </c>
      <c r="G7" s="231">
        <v>832.20359999999994</v>
      </c>
      <c r="H7" s="231">
        <v>891.42389999999989</v>
      </c>
      <c r="I7" s="231">
        <v>983.3660912347176</v>
      </c>
      <c r="J7" s="445">
        <f>J57</f>
        <v>1094.9239123568013</v>
      </c>
      <c r="K7" s="723"/>
      <c r="L7" s="226"/>
      <c r="M7" s="230"/>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row>
    <row r="8" spans="1:83" ht="15.75" thickBot="1">
      <c r="A8" s="226"/>
      <c r="B8" s="430"/>
      <c r="C8" s="718" t="s">
        <v>647</v>
      </c>
      <c r="D8" s="231">
        <v>465.05100000000004</v>
      </c>
      <c r="E8" s="231">
        <v>476.29859999999996</v>
      </c>
      <c r="F8" s="231">
        <v>511.60519999999991</v>
      </c>
      <c r="G8" s="231">
        <v>547.70839999999998</v>
      </c>
      <c r="H8" s="231">
        <v>610.79600000000005</v>
      </c>
      <c r="I8" s="231">
        <v>672.89058488027285</v>
      </c>
      <c r="J8" s="445">
        <f t="shared" ref="J8:J10" si="0">J58</f>
        <v>746.76439822036355</v>
      </c>
      <c r="K8" s="723"/>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c r="BW8" s="226"/>
      <c r="BX8" s="226"/>
      <c r="BY8" s="226"/>
      <c r="BZ8" s="226"/>
      <c r="CA8" s="226"/>
      <c r="CB8" s="226"/>
      <c r="CC8" s="226"/>
      <c r="CD8" s="226"/>
      <c r="CE8" s="226"/>
    </row>
    <row r="9" spans="1:83" ht="15.75" thickBot="1">
      <c r="A9" s="226"/>
      <c r="B9" s="430"/>
      <c r="C9" s="718" t="s">
        <v>648</v>
      </c>
      <c r="D9" s="231">
        <v>797.42100000000016</v>
      </c>
      <c r="E9" s="231">
        <v>593.6164</v>
      </c>
      <c r="F9" s="231">
        <v>686.66150000000016</v>
      </c>
      <c r="G9" s="231">
        <v>803.47339999999997</v>
      </c>
      <c r="H9" s="231">
        <v>856.21159999999998</v>
      </c>
      <c r="I9" s="231">
        <v>957.70308269862096</v>
      </c>
      <c r="J9" s="445">
        <f t="shared" si="0"/>
        <v>1108.0893757314066</v>
      </c>
      <c r="K9" s="723"/>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row>
    <row r="10" spans="1:83" ht="15.75" thickBot="1">
      <c r="A10" s="226"/>
      <c r="B10" s="430"/>
      <c r="C10" s="718" t="s">
        <v>649</v>
      </c>
      <c r="D10" s="231">
        <v>456.88190000000003</v>
      </c>
      <c r="E10" s="231">
        <v>504.95400000000006</v>
      </c>
      <c r="F10" s="231">
        <v>529.97280000000001</v>
      </c>
      <c r="G10" s="231">
        <v>585.5154</v>
      </c>
      <c r="H10" s="231">
        <v>648.6323000000001</v>
      </c>
      <c r="I10" s="231">
        <v>716.10066005717044</v>
      </c>
      <c r="J10" s="445">
        <f t="shared" si="0"/>
        <v>798.02819255387362</v>
      </c>
      <c r="K10" s="723"/>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row>
    <row r="11" spans="1:83">
      <c r="A11" s="226"/>
      <c r="B11" s="430"/>
      <c r="C11" s="718"/>
      <c r="D11" s="228"/>
      <c r="E11" s="228"/>
      <c r="F11" s="228"/>
      <c r="G11" s="228"/>
      <c r="H11" s="228"/>
      <c r="I11" s="228"/>
      <c r="J11" s="228"/>
      <c r="K11" s="434"/>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row>
    <row r="12" spans="1:83" ht="15.75" customHeight="1">
      <c r="A12" s="226"/>
      <c r="B12" s="430"/>
      <c r="C12" s="734" t="s">
        <v>766</v>
      </c>
      <c r="D12" s="734"/>
      <c r="E12" s="734"/>
      <c r="F12" s="734"/>
      <c r="G12" s="734"/>
      <c r="H12" s="734"/>
      <c r="I12" s="734"/>
      <c r="J12" s="734"/>
      <c r="K12" s="435"/>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c r="CC12" s="226"/>
      <c r="CD12" s="226"/>
      <c r="CE12" s="226"/>
    </row>
    <row r="13" spans="1:83" ht="15.75" customHeight="1" thickBot="1">
      <c r="A13" s="226"/>
      <c r="B13" s="430"/>
      <c r="C13" s="718"/>
      <c r="D13" s="292"/>
      <c r="E13" s="292"/>
      <c r="F13" s="292"/>
      <c r="G13" s="292"/>
      <c r="H13" s="292"/>
      <c r="I13" s="292"/>
      <c r="J13" s="292"/>
      <c r="K13" s="435"/>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c r="BW13" s="226"/>
      <c r="BX13" s="226"/>
      <c r="BY13" s="226"/>
      <c r="BZ13" s="226"/>
      <c r="CA13" s="226"/>
      <c r="CB13" s="226"/>
      <c r="CC13" s="226"/>
      <c r="CD13" s="226"/>
      <c r="CE13" s="226"/>
    </row>
    <row r="14" spans="1:83" ht="15.75" customHeight="1" thickBot="1">
      <c r="A14" s="226"/>
      <c r="B14" s="430"/>
      <c r="C14" s="719" t="s">
        <v>765</v>
      </c>
      <c r="D14" s="292"/>
      <c r="E14" s="231">
        <v>-6.073677645396347</v>
      </c>
      <c r="F14" s="231">
        <v>9.6416404391781452</v>
      </c>
      <c r="G14" s="231">
        <v>11.630721213914864</v>
      </c>
      <c r="H14" s="231">
        <v>8.6013554548433504</v>
      </c>
      <c r="I14" s="231">
        <v>10.741262585475631</v>
      </c>
      <c r="J14" s="446">
        <f t="shared" ref="J14:J18" si="1">100*(J6/I6-1)</f>
        <v>12.544681100210164</v>
      </c>
      <c r="K14" s="724"/>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c r="BW14" s="226"/>
      <c r="BX14" s="226"/>
      <c r="BY14" s="226"/>
      <c r="BZ14" s="226"/>
      <c r="CA14" s="226"/>
      <c r="CB14" s="226"/>
      <c r="CC14" s="226"/>
      <c r="CD14" s="226"/>
      <c r="CE14" s="226"/>
    </row>
    <row r="15" spans="1:83" ht="15.75" thickBot="1">
      <c r="A15" s="226"/>
      <c r="B15" s="430"/>
      <c r="C15" s="718" t="s">
        <v>646</v>
      </c>
      <c r="D15" s="228"/>
      <c r="E15" s="231">
        <v>-0.26180141251467282</v>
      </c>
      <c r="F15" s="231">
        <v>9.4194628817333648</v>
      </c>
      <c r="G15" s="231">
        <v>10.640125205471707</v>
      </c>
      <c r="H15" s="231">
        <v>7.116083131579809</v>
      </c>
      <c r="I15" s="231">
        <v>10.31408191262515</v>
      </c>
      <c r="J15" s="446">
        <f t="shared" si="1"/>
        <v>11.344485244758772</v>
      </c>
      <c r="K15" s="724"/>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row>
    <row r="16" spans="1:83" ht="15.75" thickBot="1">
      <c r="A16" s="226"/>
      <c r="B16" s="430"/>
      <c r="C16" s="718" t="s">
        <v>647</v>
      </c>
      <c r="D16" s="228"/>
      <c r="E16" s="231">
        <v>2.4185734467832454</v>
      </c>
      <c r="F16" s="231">
        <v>7.4127028716859389</v>
      </c>
      <c r="G16" s="231">
        <v>7.0568477411879549</v>
      </c>
      <c r="H16" s="231">
        <v>11.518464934990957</v>
      </c>
      <c r="I16" s="231">
        <v>10.166174120372883</v>
      </c>
      <c r="J16" s="446">
        <f t="shared" si="1"/>
        <v>10.978577349723961</v>
      </c>
      <c r="K16" s="724"/>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row>
    <row r="17" spans="1:83" ht="15.75" thickBot="1">
      <c r="A17" s="226"/>
      <c r="B17" s="430"/>
      <c r="C17" s="718" t="s">
        <v>648</v>
      </c>
      <c r="D17" s="228"/>
      <c r="E17" s="231">
        <v>-25.557967497720789</v>
      </c>
      <c r="F17" s="231">
        <v>15.674280562329512</v>
      </c>
      <c r="G17" s="231">
        <v>17.011569747248068</v>
      </c>
      <c r="H17" s="231">
        <v>6.5637767224154597</v>
      </c>
      <c r="I17" s="231">
        <v>11.853551470059621</v>
      </c>
      <c r="J17" s="446">
        <f>100*(J9/I9-1)</f>
        <v>15.702809748615021</v>
      </c>
      <c r="K17" s="724"/>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c r="BW17" s="226"/>
      <c r="BX17" s="226"/>
      <c r="BY17" s="226"/>
      <c r="BZ17" s="226"/>
      <c r="CA17" s="226"/>
      <c r="CB17" s="226"/>
      <c r="CC17" s="226"/>
      <c r="CD17" s="226"/>
      <c r="CE17" s="226"/>
    </row>
    <row r="18" spans="1:83" ht="15.75" thickBot="1">
      <c r="A18" s="226"/>
      <c r="B18" s="430"/>
      <c r="C18" s="718" t="s">
        <v>649</v>
      </c>
      <c r="D18" s="228"/>
      <c r="E18" s="231">
        <v>10.521778166305129</v>
      </c>
      <c r="F18" s="231">
        <v>4.9546691381789021</v>
      </c>
      <c r="G18" s="231">
        <v>10.480273704612753</v>
      </c>
      <c r="H18" s="231">
        <v>10.779716468601874</v>
      </c>
      <c r="I18" s="231">
        <v>10.401634340005938</v>
      </c>
      <c r="J18" s="446">
        <f t="shared" si="1"/>
        <v>11.440784385000068</v>
      </c>
      <c r="K18" s="724"/>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c r="BW18" s="226"/>
      <c r="BX18" s="226"/>
      <c r="BY18" s="226"/>
      <c r="BZ18" s="226"/>
      <c r="CA18" s="226"/>
      <c r="CB18" s="226"/>
      <c r="CC18" s="226"/>
      <c r="CD18" s="226"/>
      <c r="CE18" s="226"/>
    </row>
    <row r="19" spans="1:83">
      <c r="A19" s="226"/>
      <c r="B19" s="430"/>
      <c r="C19" s="718"/>
      <c r="D19" s="228"/>
      <c r="E19" s="228"/>
      <c r="F19" s="228"/>
      <c r="G19" s="228"/>
      <c r="H19" s="228"/>
      <c r="I19" s="228"/>
      <c r="J19" s="228"/>
      <c r="K19" s="434"/>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row>
    <row r="20" spans="1:83">
      <c r="A20" s="226"/>
      <c r="B20" s="430"/>
      <c r="C20" s="718" t="s">
        <v>767</v>
      </c>
      <c r="D20" s="232">
        <v>14737.185928738949</v>
      </c>
      <c r="E20" s="232">
        <v>15747.009032492888</v>
      </c>
      <c r="F20" s="232">
        <v>17629.077878645952</v>
      </c>
      <c r="G20" s="232">
        <v>19427.849144138439</v>
      </c>
      <c r="H20" s="232">
        <v>21157.293165921488</v>
      </c>
      <c r="I20" s="232">
        <v>23646.185911788263</v>
      </c>
      <c r="J20" s="232">
        <f>PIB_Nominal!L6</f>
        <v>26705.762973114495</v>
      </c>
      <c r="K20" s="43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row>
    <row r="21" spans="1:83">
      <c r="A21" s="226"/>
      <c r="B21" s="430"/>
      <c r="C21" s="718" t="s">
        <v>768</v>
      </c>
      <c r="D21" s="232">
        <v>12200.565181223052</v>
      </c>
      <c r="E21" s="232">
        <v>13108.59111546975</v>
      </c>
      <c r="F21" s="232">
        <v>14576.65740171303</v>
      </c>
      <c r="G21" s="232">
        <v>16016.788216375171</v>
      </c>
      <c r="H21" s="232">
        <v>17760.342685383461</v>
      </c>
      <c r="I21" s="232">
        <v>19985.487114723568</v>
      </c>
      <c r="J21" s="232">
        <f>PIB_Nominal!L7</f>
        <v>22689.508514864097</v>
      </c>
      <c r="K21" s="43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row>
    <row r="22" spans="1:83">
      <c r="A22" s="226"/>
      <c r="B22" s="430"/>
      <c r="C22" s="718" t="s">
        <v>769</v>
      </c>
      <c r="D22" s="232">
        <v>8666.0424670627799</v>
      </c>
      <c r="E22" s="232">
        <v>7023.6832958763607</v>
      </c>
      <c r="F22" s="232">
        <v>7680.7521794597005</v>
      </c>
      <c r="G22" s="232">
        <v>8717.3303147040988</v>
      </c>
      <c r="H22" s="232">
        <v>9780.0420175682666</v>
      </c>
      <c r="I22" s="232">
        <v>10781.028510392291</v>
      </c>
      <c r="J22" s="232">
        <f>PIB_Nominal!L16</f>
        <v>12242.790182013381</v>
      </c>
      <c r="K22" s="43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row>
    <row r="23" spans="1:83">
      <c r="A23" s="226"/>
      <c r="B23" s="430"/>
      <c r="C23" s="718"/>
      <c r="D23" s="232"/>
      <c r="E23" s="232"/>
      <c r="F23" s="232"/>
      <c r="G23" s="232"/>
      <c r="H23" s="232"/>
      <c r="I23" s="232"/>
      <c r="J23" s="715"/>
      <c r="K23" s="437"/>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row>
    <row r="24" spans="1:83">
      <c r="A24" s="226"/>
      <c r="B24" s="430"/>
      <c r="C24" s="734" t="s">
        <v>770</v>
      </c>
      <c r="D24" s="734"/>
      <c r="E24" s="734"/>
      <c r="F24" s="734"/>
      <c r="G24" s="734"/>
      <c r="H24" s="734"/>
      <c r="I24" s="734"/>
      <c r="J24" s="734"/>
      <c r="K24" s="437"/>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row>
    <row r="25" spans="1:83">
      <c r="A25" s="226"/>
      <c r="B25" s="430"/>
      <c r="C25" s="718"/>
      <c r="D25" s="292"/>
      <c r="E25" s="292"/>
      <c r="F25" s="292"/>
      <c r="G25" s="292"/>
      <c r="H25" s="292"/>
      <c r="I25" s="292"/>
      <c r="J25" s="715"/>
      <c r="K25" s="437"/>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row>
    <row r="26" spans="1:83">
      <c r="A26" s="226"/>
      <c r="B26" s="430"/>
      <c r="C26" s="718" t="s">
        <v>767</v>
      </c>
      <c r="D26" s="232"/>
      <c r="E26" s="234">
        <v>6.8522111930791718</v>
      </c>
      <c r="F26" s="234">
        <v>11.951913168205742</v>
      </c>
      <c r="G26" s="234">
        <v>10.203433655888116</v>
      </c>
      <c r="H26" s="234">
        <v>8.9018810520506761</v>
      </c>
      <c r="I26" s="234">
        <v>11.763757898272576</v>
      </c>
      <c r="J26" s="234">
        <f t="shared" ref="J26:J28" si="2">100*(J20/I20-1)</f>
        <v>12.938987592924867</v>
      </c>
      <c r="K26" s="438"/>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row>
    <row r="27" spans="1:83">
      <c r="A27" s="226"/>
      <c r="B27" s="430"/>
      <c r="C27" s="718" t="s">
        <v>768</v>
      </c>
      <c r="D27" s="232"/>
      <c r="E27" s="234">
        <v>7.4424907433318754</v>
      </c>
      <c r="F27" s="234">
        <v>11.19926827613671</v>
      </c>
      <c r="G27" s="234">
        <v>9.879705442572174</v>
      </c>
      <c r="H27" s="234">
        <v>10.885793365399699</v>
      </c>
      <c r="I27" s="234">
        <v>12.52872463531558</v>
      </c>
      <c r="J27" s="234">
        <f>100*(J21/I21-1)</f>
        <v>13.529924913105784</v>
      </c>
      <c r="K27" s="438"/>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row>
    <row r="28" spans="1:83">
      <c r="A28" s="226"/>
      <c r="B28" s="430"/>
      <c r="C28" s="718" t="s">
        <v>769</v>
      </c>
      <c r="D28" s="232"/>
      <c r="E28" s="234">
        <v>-18.95166308529609</v>
      </c>
      <c r="F28" s="234">
        <v>9.3550471441260505</v>
      </c>
      <c r="G28" s="234">
        <v>13.4957893579287</v>
      </c>
      <c r="H28" s="234">
        <v>12.190793104072494</v>
      </c>
      <c r="I28" s="234">
        <v>10.234991741609223</v>
      </c>
      <c r="J28" s="234">
        <f t="shared" si="2"/>
        <v>13.558647676444192</v>
      </c>
      <c r="K28" s="438"/>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row>
    <row r="29" spans="1:83">
      <c r="A29" s="226"/>
      <c r="B29" s="430"/>
      <c r="C29" s="717"/>
      <c r="D29" s="235"/>
      <c r="E29" s="235"/>
      <c r="F29" s="235"/>
      <c r="G29" s="235"/>
      <c r="H29" s="235"/>
      <c r="I29" s="233"/>
      <c r="J29" s="235"/>
      <c r="K29" s="439"/>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row>
    <row r="30" spans="1:83">
      <c r="A30" s="226"/>
      <c r="B30" s="430"/>
      <c r="C30" s="718"/>
      <c r="D30" s="233"/>
      <c r="E30" s="233"/>
      <c r="F30" s="233"/>
      <c r="G30" s="233"/>
      <c r="H30" s="233"/>
      <c r="I30" s="233"/>
      <c r="J30" s="233"/>
      <c r="K30" s="440"/>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row>
    <row r="31" spans="1:83">
      <c r="A31" s="226"/>
      <c r="B31" s="430"/>
      <c r="C31" s="734" t="s">
        <v>771</v>
      </c>
      <c r="D31" s="734"/>
      <c r="E31" s="734"/>
      <c r="F31" s="734"/>
      <c r="G31" s="734"/>
      <c r="H31" s="734"/>
      <c r="I31" s="734"/>
      <c r="J31" s="734"/>
      <c r="K31" s="440"/>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row>
    <row r="32" spans="1:83">
      <c r="A32" s="226"/>
      <c r="B32" s="430"/>
      <c r="C32" s="717" t="s">
        <v>772</v>
      </c>
      <c r="D32" s="291"/>
      <c r="E32" s="291"/>
      <c r="F32" s="291"/>
      <c r="G32" s="291"/>
      <c r="H32" s="291"/>
      <c r="I32" s="291"/>
      <c r="J32" s="233"/>
      <c r="K32" s="440"/>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row>
    <row r="33" spans="1:83" ht="15.75" thickBot="1">
      <c r="A33" s="226"/>
      <c r="B33" s="430"/>
      <c r="C33" s="719" t="s">
        <v>765</v>
      </c>
      <c r="D33" s="291"/>
      <c r="E33" s="291"/>
      <c r="F33" s="291"/>
      <c r="G33" s="291"/>
      <c r="H33" s="291"/>
      <c r="I33" s="1005"/>
      <c r="J33" s="233"/>
      <c r="K33" s="440"/>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c r="BW33" s="226"/>
      <c r="BX33" s="226"/>
      <c r="BY33" s="226"/>
      <c r="BZ33" s="226"/>
      <c r="CA33" s="226"/>
      <c r="CB33" s="226"/>
      <c r="CC33" s="226"/>
      <c r="CD33" s="226"/>
      <c r="CE33" s="226"/>
    </row>
    <row r="34" spans="1:83" ht="15.75" thickBot="1">
      <c r="A34" s="226"/>
      <c r="B34" s="430"/>
      <c r="C34" s="718" t="s">
        <v>646</v>
      </c>
      <c r="D34" s="231">
        <v>4.6767727796386467</v>
      </c>
      <c r="E34" s="231">
        <v>4.3654023350183815</v>
      </c>
      <c r="F34" s="231">
        <v>4.2666531124189051</v>
      </c>
      <c r="G34" s="231">
        <v>4.2835601297176193</v>
      </c>
      <c r="H34" s="231">
        <v>4.21331733227498</v>
      </c>
      <c r="I34" s="231">
        <f>100*(I7/I20)</f>
        <v>4.1586668349100773</v>
      </c>
      <c r="J34" s="446">
        <f>I34</f>
        <v>4.1586668349100773</v>
      </c>
      <c r="K34" s="725"/>
      <c r="L34" s="230"/>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row>
    <row r="35" spans="1:83" ht="15.75" thickBot="1">
      <c r="A35" s="226"/>
      <c r="B35" s="430"/>
      <c r="C35" s="718" t="s">
        <v>647</v>
      </c>
      <c r="D35" s="231">
        <v>3.81171685977076</v>
      </c>
      <c r="E35" s="231">
        <v>3.6334842989946416</v>
      </c>
      <c r="F35" s="231">
        <v>3.5097566328195153</v>
      </c>
      <c r="G35" s="231">
        <v>3.4195894495254446</v>
      </c>
      <c r="H35" s="231">
        <v>3.4391003080288396</v>
      </c>
      <c r="I35" s="231">
        <f>100*(I8/I21)</f>
        <v>3.3668960932383056</v>
      </c>
      <c r="J35" s="446">
        <f>I35</f>
        <v>3.3668960932383056</v>
      </c>
      <c r="K35" s="725"/>
      <c r="L35" s="230"/>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row>
    <row r="36" spans="1:83" ht="15.75" thickBot="1">
      <c r="A36" s="226"/>
      <c r="B36" s="430"/>
      <c r="C36" s="718" t="s">
        <v>648</v>
      </c>
      <c r="D36" s="231">
        <v>9.2016742709348112</v>
      </c>
      <c r="E36" s="231">
        <v>8.451639616901792</v>
      </c>
      <c r="F36" s="231">
        <v>8.9400293611387305</v>
      </c>
      <c r="G36" s="231">
        <v>9.2169663302161222</v>
      </c>
      <c r="H36" s="231">
        <v>8.7546822238795503</v>
      </c>
      <c r="I36" s="231">
        <f>100*(I9/I22)</f>
        <v>8.8832255825633926</v>
      </c>
      <c r="J36" s="446">
        <f t="shared" ref="J36:J37" si="3">I36</f>
        <v>8.8832255825633926</v>
      </c>
      <c r="K36" s="725"/>
      <c r="L36" s="230"/>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row>
    <row r="37" spans="1:83" ht="15.75" thickBot="1">
      <c r="A37" s="226"/>
      <c r="B37" s="430"/>
      <c r="C37" s="716" t="s">
        <v>649</v>
      </c>
      <c r="D37" s="231">
        <v>3.1001977053776311</v>
      </c>
      <c r="E37" s="231">
        <v>3.2066660974033967</v>
      </c>
      <c r="F37" s="231">
        <v>3.0062423210572708</v>
      </c>
      <c r="G37" s="231">
        <v>3.0137942479168127</v>
      </c>
      <c r="H37" s="231">
        <v>3.0657622169019536</v>
      </c>
      <c r="I37" s="231">
        <f>100*(I10/I20)</f>
        <v>3.0283981642053104</v>
      </c>
      <c r="J37" s="446">
        <f t="shared" si="3"/>
        <v>3.0283981642053104</v>
      </c>
      <c r="K37" s="725"/>
      <c r="L37" s="230"/>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row>
    <row r="38" spans="1:83">
      <c r="A38" s="226"/>
      <c r="B38" s="430"/>
      <c r="C38" s="720"/>
      <c r="D38" s="236"/>
      <c r="E38" s="231"/>
      <c r="F38" s="231"/>
      <c r="G38" s="231"/>
      <c r="H38" s="231"/>
      <c r="I38" s="233"/>
      <c r="J38" s="233"/>
      <c r="K38" s="440"/>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row>
    <row r="39" spans="1:83" ht="15.75" thickBot="1">
      <c r="A39" s="226"/>
      <c r="B39" s="430"/>
      <c r="C39" s="721" t="s">
        <v>773</v>
      </c>
      <c r="D39" s="236"/>
      <c r="E39" s="231"/>
      <c r="F39" s="231"/>
      <c r="G39" s="231"/>
      <c r="H39" s="231"/>
      <c r="I39" s="231"/>
      <c r="J39" s="233"/>
      <c r="K39" s="440"/>
      <c r="L39" s="226"/>
      <c r="M39" s="226" t="s">
        <v>774</v>
      </c>
      <c r="N39" s="231">
        <f>(I7/H7-1)/(I20/H20-1)</f>
        <v>0.87676761132084335</v>
      </c>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row>
    <row r="40" spans="1:83" ht="15.75" thickBot="1">
      <c r="A40" s="226"/>
      <c r="B40" s="430"/>
      <c r="C40" s="718" t="s">
        <v>646</v>
      </c>
      <c r="D40" s="231"/>
      <c r="E40" s="231">
        <v>-3.820685106423688E-2</v>
      </c>
      <c r="F40" s="231">
        <v>0.78811339650549384</v>
      </c>
      <c r="G40" s="231">
        <v>1.0427984896370242</v>
      </c>
      <c r="H40" s="231">
        <v>0.79939094782001363</v>
      </c>
      <c r="I40" s="231">
        <f>(I7/H7-1)/(I20/H20-1)</f>
        <v>0.87676761132084335</v>
      </c>
      <c r="J40" s="446">
        <f>I40</f>
        <v>0.87676761132084335</v>
      </c>
      <c r="K40" s="725"/>
      <c r="L40" s="230"/>
      <c r="M40" s="226" t="s">
        <v>775</v>
      </c>
      <c r="N40" s="1004">
        <f>(I7-H7)/(I20-H20)</f>
        <v>3.6941001731554395E-2</v>
      </c>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row>
    <row r="41" spans="1:83" ht="15.75" thickBot="1">
      <c r="A41" s="226"/>
      <c r="B41" s="430"/>
      <c r="C41" s="718" t="s">
        <v>647</v>
      </c>
      <c r="D41" s="231"/>
      <c r="E41" s="231">
        <v>0.32496828416618112</v>
      </c>
      <c r="F41" s="231">
        <v>0.66189171371855193</v>
      </c>
      <c r="G41" s="231">
        <v>0.71427713935474479</v>
      </c>
      <c r="H41" s="231">
        <v>1.0581190133189735</v>
      </c>
      <c r="I41" s="231">
        <f t="shared" ref="I41:I42" si="4">(I8/H8-1)/(I21/H21-1)</f>
        <v>0.81142928879742382</v>
      </c>
      <c r="J41" s="446">
        <f>I41</f>
        <v>0.81142928879742382</v>
      </c>
      <c r="K41" s="725"/>
      <c r="L41" s="230"/>
      <c r="M41" s="226" t="s">
        <v>776</v>
      </c>
      <c r="N41" s="1004">
        <f>100*(J7/J20)</f>
        <v>4.0999536821288141</v>
      </c>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row>
    <row r="42" spans="1:83" ht="15.75" thickBot="1">
      <c r="A42" s="226"/>
      <c r="B42" s="430"/>
      <c r="C42" s="718" t="s">
        <v>648</v>
      </c>
      <c r="D42" s="231"/>
      <c r="E42" s="231">
        <v>1.3485870544812657</v>
      </c>
      <c r="F42" s="231">
        <v>1.6754892114222271</v>
      </c>
      <c r="G42" s="231">
        <v>1.2605094297247508</v>
      </c>
      <c r="H42" s="231">
        <v>0.53842081203254477</v>
      </c>
      <c r="I42" s="231">
        <f t="shared" si="4"/>
        <v>1.1581398177265081</v>
      </c>
      <c r="J42" s="446">
        <f>I42</f>
        <v>1.1581398177265081</v>
      </c>
      <c r="K42" s="725"/>
      <c r="L42" s="230"/>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row>
    <row r="43" spans="1:83" ht="15.75" thickBot="1">
      <c r="A43" s="226"/>
      <c r="B43" s="430"/>
      <c r="C43" s="716" t="s">
        <v>649</v>
      </c>
      <c r="D43" s="231"/>
      <c r="E43" s="231">
        <v>1.5355303375547256</v>
      </c>
      <c r="F43" s="231">
        <v>0.41455029570991375</v>
      </c>
      <c r="G43" s="231">
        <v>1.0271320477067913</v>
      </c>
      <c r="H43" s="231">
        <v>1.2109481586612094</v>
      </c>
      <c r="I43" s="231">
        <f>(I10/H10-1)/(I20/H20-1)</f>
        <v>0.88421016735930491</v>
      </c>
      <c r="J43" s="446">
        <f t="shared" ref="J43" si="5">I43</f>
        <v>0.88421016735930491</v>
      </c>
      <c r="K43" s="725"/>
      <c r="L43" s="230"/>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row>
    <row r="44" spans="1:83" ht="15.75" thickBot="1">
      <c r="A44" s="226"/>
      <c r="B44" s="726"/>
      <c r="C44" s="432"/>
      <c r="D44" s="441"/>
      <c r="E44" s="441"/>
      <c r="F44" s="441"/>
      <c r="G44" s="441"/>
      <c r="H44" s="441"/>
      <c r="I44" s="441"/>
      <c r="J44" s="727"/>
      <c r="K44" s="442"/>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row>
    <row r="45" spans="1:83">
      <c r="A45" s="226"/>
      <c r="B45" s="226"/>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row>
    <row r="46" spans="1:83" ht="15.75" thickBot="1">
      <c r="A46" s="226"/>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row>
    <row r="47" spans="1:83" ht="35.1" customHeight="1">
      <c r="A47" s="226"/>
      <c r="B47" s="722"/>
      <c r="C47" s="728" t="s">
        <v>777</v>
      </c>
      <c r="D47" s="728"/>
      <c r="E47" s="728"/>
      <c r="F47" s="728"/>
      <c r="G47" s="728"/>
      <c r="H47" s="728"/>
      <c r="I47" s="728"/>
      <c r="J47" s="728"/>
      <c r="K47" s="428"/>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row>
    <row r="48" spans="1:83" ht="15.75" thickBot="1">
      <c r="A48" s="226"/>
      <c r="B48" s="430"/>
      <c r="C48" s="719" t="s">
        <v>778</v>
      </c>
      <c r="D48" s="237"/>
      <c r="E48" s="237"/>
      <c r="F48" s="237"/>
      <c r="G48" s="237"/>
      <c r="H48" s="237"/>
      <c r="I48" s="237"/>
      <c r="J48" s="237"/>
      <c r="K48" s="429"/>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row>
    <row r="49" spans="1:83" ht="15.75" thickBot="1">
      <c r="A49" s="226"/>
      <c r="B49" s="430"/>
      <c r="C49" s="719" t="s">
        <v>765</v>
      </c>
      <c r="D49" s="237"/>
      <c r="E49" s="237"/>
      <c r="F49" s="237"/>
      <c r="G49" s="237"/>
      <c r="H49" s="237"/>
      <c r="I49" s="232"/>
      <c r="J49" s="1114">
        <f>SUM(J50:J53)</f>
        <v>3770.8473886175329</v>
      </c>
      <c r="K49" s="738"/>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row>
    <row r="50" spans="1:83" ht="15.75" thickBot="1">
      <c r="A50" s="226"/>
      <c r="B50" s="430"/>
      <c r="C50" s="718" t="s">
        <v>646</v>
      </c>
      <c r="D50" s="237"/>
      <c r="E50" s="237"/>
      <c r="F50" s="237"/>
      <c r="G50" s="237"/>
      <c r="H50" s="237"/>
      <c r="I50" s="232"/>
      <c r="J50" s="1114">
        <f>J20*J34/100</f>
        <v>1110.6037077726078</v>
      </c>
      <c r="K50" s="738"/>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row>
    <row r="51" spans="1:83" ht="15.75" thickBot="1">
      <c r="A51" s="226"/>
      <c r="B51" s="430"/>
      <c r="C51" s="718" t="s">
        <v>647</v>
      </c>
      <c r="D51" s="237"/>
      <c r="E51" s="237"/>
      <c r="F51" s="237"/>
      <c r="G51" s="237"/>
      <c r="H51" s="237"/>
      <c r="I51" s="232"/>
      <c r="J51" s="1114">
        <f>J21*J35/100</f>
        <v>763.93217576193206</v>
      </c>
      <c r="K51" s="738"/>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row>
    <row r="52" spans="1:83" ht="15.75" thickBot="1">
      <c r="A52" s="226"/>
      <c r="B52" s="430"/>
      <c r="C52" s="718" t="s">
        <v>648</v>
      </c>
      <c r="D52" s="237"/>
      <c r="E52" s="237"/>
      <c r="F52" s="237"/>
      <c r="G52" s="237"/>
      <c r="H52" s="237"/>
      <c r="I52" s="232"/>
      <c r="J52" s="1114">
        <f>J22*J36/100</f>
        <v>1087.5546694681721</v>
      </c>
      <c r="K52" s="738"/>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row>
    <row r="53" spans="1:83" ht="15.75" thickBot="1">
      <c r="A53" s="226"/>
      <c r="B53" s="430"/>
      <c r="C53" s="716" t="s">
        <v>649</v>
      </c>
      <c r="D53" s="237"/>
      <c r="E53" s="237"/>
      <c r="F53" s="237"/>
      <c r="G53" s="237"/>
      <c r="H53" s="237"/>
      <c r="I53" s="232"/>
      <c r="J53" s="1114">
        <f>J20*J37/100</f>
        <v>808.75683561482083</v>
      </c>
      <c r="K53" s="738"/>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row>
    <row r="54" spans="1:83">
      <c r="A54" s="226"/>
      <c r="B54" s="430"/>
      <c r="C54" s="237"/>
      <c r="D54" s="237"/>
      <c r="E54" s="237"/>
      <c r="F54" s="237"/>
      <c r="G54" s="237"/>
      <c r="H54" s="237"/>
      <c r="I54" s="237"/>
      <c r="J54" s="739"/>
      <c r="K54" s="429"/>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row>
    <row r="55" spans="1:83" ht="15.75" thickBot="1">
      <c r="A55" s="226"/>
      <c r="B55" s="430"/>
      <c r="C55" s="719" t="s">
        <v>779</v>
      </c>
      <c r="D55" s="237"/>
      <c r="E55" s="237"/>
      <c r="F55" s="237"/>
      <c r="G55" s="237"/>
      <c r="H55" s="237"/>
      <c r="I55" s="237"/>
      <c r="J55" s="739"/>
      <c r="K55" s="429"/>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row>
    <row r="56" spans="1:83" ht="15.75" thickBot="1">
      <c r="A56" s="226"/>
      <c r="B56" s="430"/>
      <c r="C56" s="719" t="s">
        <v>765</v>
      </c>
      <c r="D56" s="237"/>
      <c r="E56" s="237"/>
      <c r="F56" s="237"/>
      <c r="G56" s="237"/>
      <c r="H56" s="237"/>
      <c r="I56" s="443"/>
      <c r="J56" s="1114">
        <f>SUM(J57:J60)</f>
        <v>3747.8058788624448</v>
      </c>
      <c r="K56" s="738"/>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row>
    <row r="57" spans="1:83" ht="15.75" thickBot="1">
      <c r="A57" s="226"/>
      <c r="B57" s="430"/>
      <c r="C57" s="718" t="s">
        <v>646</v>
      </c>
      <c r="D57" s="237"/>
      <c r="E57" s="237"/>
      <c r="F57" s="237"/>
      <c r="G57" s="237"/>
      <c r="H57" s="431"/>
      <c r="I57" s="443"/>
      <c r="J57" s="1114">
        <f>I7*(1+(J40*J26/100))</f>
        <v>1094.9239123568013</v>
      </c>
      <c r="K57" s="738"/>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row>
    <row r="58" spans="1:83" ht="15.75" thickBot="1">
      <c r="A58" s="226"/>
      <c r="B58" s="430"/>
      <c r="C58" s="718" t="s">
        <v>647</v>
      </c>
      <c r="D58" s="237"/>
      <c r="E58" s="237"/>
      <c r="F58" s="237"/>
      <c r="G58" s="237"/>
      <c r="H58" s="431"/>
      <c r="I58" s="443"/>
      <c r="J58" s="1114">
        <f>I8*(1+(J41*J27)/100)</f>
        <v>746.76439822036355</v>
      </c>
      <c r="K58" s="738"/>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row>
    <row r="59" spans="1:83" ht="15.75" thickBot="1">
      <c r="A59" s="226"/>
      <c r="B59" s="430"/>
      <c r="C59" s="718" t="s">
        <v>648</v>
      </c>
      <c r="D59" s="237"/>
      <c r="E59" s="237"/>
      <c r="F59" s="237"/>
      <c r="G59" s="237"/>
      <c r="H59" s="431"/>
      <c r="I59" s="443"/>
      <c r="J59" s="1114">
        <f>I9*(1+(J42*J28)/100)</f>
        <v>1108.0893757314066</v>
      </c>
      <c r="K59" s="738"/>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row>
    <row r="60" spans="1:83" ht="15.75" thickBot="1">
      <c r="A60" s="226"/>
      <c r="B60" s="430"/>
      <c r="C60" s="716" t="s">
        <v>649</v>
      </c>
      <c r="D60" s="237"/>
      <c r="E60" s="237"/>
      <c r="F60" s="237"/>
      <c r="G60" s="237"/>
      <c r="H60" s="431"/>
      <c r="I60" s="443"/>
      <c r="J60" s="1114">
        <f>I10*(1+(J43*J26)/100)</f>
        <v>798.02819255387362</v>
      </c>
      <c r="K60" s="738"/>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row>
    <row r="61" spans="1:83" ht="15.75" thickBot="1">
      <c r="A61" s="226"/>
      <c r="B61" s="726"/>
      <c r="C61" s="432"/>
      <c r="D61" s="432"/>
      <c r="E61" s="432"/>
      <c r="F61" s="432"/>
      <c r="G61" s="432"/>
      <c r="H61" s="432"/>
      <c r="I61" s="432"/>
      <c r="J61" s="432"/>
      <c r="K61" s="433"/>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row>
    <row r="62" spans="1:83">
      <c r="A62" s="226"/>
      <c r="B62" s="226"/>
      <c r="C62" s="226"/>
      <c r="D62" s="226"/>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row>
    <row r="63" spans="1:83">
      <c r="A63" s="226"/>
      <c r="B63" s="226"/>
      <c r="C63" s="226"/>
      <c r="D63" s="226"/>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row>
    <row r="64" spans="1:83">
      <c r="A64" s="226"/>
      <c r="B64" s="226"/>
      <c r="C64" s="226"/>
      <c r="D64" s="226"/>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row>
    <row r="65" spans="1:83">
      <c r="A65" s="226"/>
      <c r="B65" s="226"/>
      <c r="C65" s="226"/>
      <c r="D65" s="226"/>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row>
    <row r="66" spans="1:83">
      <c r="A66" s="226"/>
      <c r="B66" s="226"/>
      <c r="C66" s="226"/>
      <c r="D66" s="226"/>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row>
    <row r="67" spans="1:83">
      <c r="A67" s="226"/>
      <c r="B67" s="226"/>
      <c r="C67" s="226"/>
      <c r="D67" s="226"/>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row>
    <row r="68" spans="1:83">
      <c r="A68" s="226"/>
      <c r="B68" s="226"/>
      <c r="C68" s="226"/>
      <c r="D68" s="226"/>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row>
    <row r="69" spans="1:83">
      <c r="A69" s="226"/>
      <c r="B69" s="226"/>
      <c r="C69" s="226"/>
      <c r="D69" s="226"/>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row>
    <row r="70" spans="1:83">
      <c r="A70" s="226"/>
      <c r="B70" s="226"/>
      <c r="C70" s="226"/>
      <c r="D70" s="226"/>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row>
    <row r="71" spans="1:83">
      <c r="A71" s="226"/>
      <c r="B71" s="226"/>
      <c r="C71" s="226"/>
      <c r="D71" s="226"/>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row>
    <row r="72" spans="1:83">
      <c r="A72" s="226"/>
      <c r="B72" s="226"/>
      <c r="C72" s="226"/>
      <c r="D72" s="226"/>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row>
    <row r="73" spans="1:83">
      <c r="A73" s="226"/>
      <c r="B73" s="226"/>
      <c r="C73" s="226"/>
      <c r="D73" s="226"/>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row>
    <row r="74" spans="1:83">
      <c r="A74" s="226"/>
      <c r="B74" s="226"/>
      <c r="C74" s="226"/>
      <c r="D74" s="226"/>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row>
    <row r="75" spans="1:83">
      <c r="A75" s="226"/>
      <c r="B75" s="226"/>
      <c r="C75" s="226"/>
      <c r="D75" s="226"/>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row>
    <row r="76" spans="1:83">
      <c r="A76" s="226"/>
      <c r="B76" s="226"/>
      <c r="C76" s="226"/>
      <c r="D76" s="226"/>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row>
    <row r="77" spans="1:83">
      <c r="A77" s="226"/>
      <c r="B77" s="226"/>
      <c r="C77" s="226"/>
      <c r="D77" s="226"/>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row>
    <row r="78" spans="1:83">
      <c r="A78" s="226"/>
      <c r="B78" s="226"/>
      <c r="C78" s="226"/>
      <c r="D78" s="226"/>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row>
    <row r="79" spans="1:83">
      <c r="A79" s="226"/>
      <c r="B79" s="226"/>
      <c r="C79" s="226"/>
      <c r="D79" s="226"/>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row>
    <row r="80" spans="1:83">
      <c r="A80" s="226"/>
      <c r="B80" s="226"/>
      <c r="C80" s="226"/>
      <c r="D80" s="226"/>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row>
    <row r="81" spans="1:83">
      <c r="A81" s="226"/>
      <c r="B81" s="226"/>
      <c r="C81" s="226"/>
      <c r="D81" s="226"/>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row>
    <row r="82" spans="1:83">
      <c r="A82" s="226"/>
      <c r="B82" s="226"/>
      <c r="C82" s="226"/>
      <c r="D82" s="226"/>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row>
    <row r="83" spans="1:83">
      <c r="A83" s="226"/>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row>
    <row r="84" spans="1:83">
      <c r="A84" s="226"/>
      <c r="B84" s="226"/>
      <c r="C84" s="226"/>
      <c r="D84" s="226"/>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row>
    <row r="85" spans="1:83">
      <c r="A85" s="226"/>
      <c r="B85" s="226"/>
      <c r="C85" s="226"/>
      <c r="D85" s="226"/>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row>
    <row r="86" spans="1:83">
      <c r="A86" s="226"/>
      <c r="B86" s="226"/>
      <c r="C86" s="226"/>
      <c r="D86" s="226"/>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row>
    <row r="87" spans="1:83">
      <c r="A87" s="226"/>
      <c r="B87" s="226"/>
      <c r="C87" s="226"/>
      <c r="D87" s="226"/>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row>
    <row r="88" spans="1:83">
      <c r="A88" s="226"/>
      <c r="B88" s="226"/>
      <c r="C88" s="226"/>
      <c r="D88" s="226"/>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row>
    <row r="89" spans="1:83">
      <c r="A89" s="226"/>
      <c r="B89" s="226"/>
      <c r="C89" s="226"/>
      <c r="D89" s="226"/>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row>
    <row r="90" spans="1:83">
      <c r="A90" s="226"/>
      <c r="B90" s="226"/>
      <c r="C90" s="226"/>
      <c r="D90" s="226"/>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row>
    <row r="91" spans="1:83">
      <c r="A91" s="226"/>
      <c r="B91" s="226"/>
      <c r="C91" s="226"/>
      <c r="D91" s="226"/>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row>
    <row r="92" spans="1:83">
      <c r="A92" s="226"/>
      <c r="B92" s="226"/>
      <c r="C92" s="226"/>
      <c r="D92" s="226"/>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row>
    <row r="93" spans="1:83">
      <c r="A93" s="226"/>
      <c r="B93" s="226"/>
      <c r="C93" s="226"/>
      <c r="D93" s="226"/>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row>
    <row r="94" spans="1:83">
      <c r="A94" s="226"/>
      <c r="B94" s="226"/>
      <c r="C94" s="226"/>
      <c r="D94" s="226"/>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row>
    <row r="95" spans="1:83">
      <c r="A95" s="226"/>
      <c r="B95" s="226"/>
      <c r="C95" s="226"/>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row>
    <row r="96" spans="1:83">
      <c r="A96" s="226"/>
      <c r="B96" s="226"/>
      <c r="C96" s="226"/>
      <c r="D96" s="226"/>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row>
    <row r="97" spans="1:83">
      <c r="A97" s="226"/>
      <c r="B97" s="226"/>
      <c r="C97" s="226"/>
      <c r="D97" s="226"/>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row>
    <row r="98" spans="1:83">
      <c r="A98" s="226"/>
      <c r="B98" s="226"/>
      <c r="C98" s="226"/>
      <c r="D98" s="226"/>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6"/>
      <c r="BM98" s="226"/>
      <c r="BN98" s="226"/>
      <c r="BO98" s="226"/>
      <c r="BP98" s="226"/>
      <c r="BQ98" s="226"/>
      <c r="BR98" s="226"/>
      <c r="BS98" s="226"/>
      <c r="BT98" s="226"/>
      <c r="BU98" s="226"/>
      <c r="BV98" s="226"/>
      <c r="BW98" s="226"/>
      <c r="BX98" s="226"/>
      <c r="BY98" s="226"/>
      <c r="BZ98" s="226"/>
      <c r="CA98" s="226"/>
      <c r="CB98" s="226"/>
      <c r="CC98" s="226"/>
      <c r="CD98" s="226"/>
      <c r="CE98" s="226"/>
    </row>
    <row r="99" spans="1:83">
      <c r="A99" s="226"/>
      <c r="B99" s="226"/>
      <c r="C99" s="226"/>
      <c r="D99" s="226"/>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row>
    <row r="100" spans="1:83">
      <c r="A100" s="226"/>
      <c r="B100" s="226"/>
      <c r="C100" s="226"/>
      <c r="D100" s="226"/>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row>
    <row r="101" spans="1:83">
      <c r="A101" s="226"/>
      <c r="B101" s="226"/>
      <c r="C101" s="226"/>
      <c r="D101" s="226"/>
      <c r="E101" s="226"/>
      <c r="F101" s="226"/>
      <c r="G101" s="226"/>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c r="AP101" s="226"/>
      <c r="AQ101" s="226"/>
      <c r="AR101" s="226"/>
      <c r="AS101" s="226"/>
      <c r="AT101" s="226"/>
      <c r="AU101" s="226"/>
      <c r="AV101" s="226"/>
      <c r="AW101" s="226"/>
      <c r="AX101" s="226"/>
      <c r="AY101" s="226"/>
      <c r="AZ101" s="226"/>
      <c r="BA101" s="226"/>
      <c r="BB101" s="226"/>
      <c r="BC101" s="226"/>
      <c r="BD101" s="226"/>
      <c r="BE101" s="226"/>
      <c r="BF101" s="226"/>
      <c r="BG101" s="226"/>
      <c r="BH101" s="226"/>
      <c r="BI101" s="226"/>
      <c r="BJ101" s="226"/>
      <c r="BK101" s="226"/>
      <c r="BL101" s="226"/>
      <c r="BM101" s="226"/>
      <c r="BN101" s="226"/>
      <c r="BO101" s="226"/>
      <c r="BP101" s="226"/>
      <c r="BQ101" s="226"/>
      <c r="BR101" s="226"/>
      <c r="BS101" s="226"/>
      <c r="BT101" s="226"/>
      <c r="BU101" s="226"/>
      <c r="BV101" s="226"/>
      <c r="BW101" s="226"/>
      <c r="BX101" s="226"/>
      <c r="BY101" s="226"/>
      <c r="BZ101" s="226"/>
      <c r="CA101" s="226"/>
      <c r="CB101" s="226"/>
      <c r="CC101" s="226"/>
      <c r="CD101" s="226"/>
      <c r="CE101" s="226"/>
    </row>
    <row r="102" spans="1:83">
      <c r="A102" s="226"/>
      <c r="B102" s="226"/>
      <c r="C102" s="226"/>
      <c r="D102" s="226"/>
      <c r="E102" s="226"/>
      <c r="F102" s="226"/>
      <c r="G102" s="226"/>
      <c r="H102" s="226"/>
      <c r="I102" s="226"/>
      <c r="J102" s="226"/>
      <c r="K102" s="226"/>
      <c r="L102" s="226"/>
      <c r="M102" s="226"/>
      <c r="N102" s="226"/>
      <c r="O102" s="226"/>
      <c r="P102" s="226"/>
      <c r="Q102" s="226"/>
      <c r="R102" s="226"/>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26"/>
      <c r="BD102" s="226"/>
      <c r="BE102" s="226"/>
      <c r="BF102" s="226"/>
      <c r="BG102" s="226"/>
      <c r="BH102" s="226"/>
      <c r="BI102" s="226"/>
      <c r="BJ102" s="226"/>
      <c r="BK102" s="226"/>
      <c r="BL102" s="226"/>
      <c r="BM102" s="226"/>
      <c r="BN102" s="226"/>
      <c r="BO102" s="226"/>
      <c r="BP102" s="226"/>
      <c r="BQ102" s="226"/>
      <c r="BR102" s="226"/>
      <c r="BS102" s="226"/>
      <c r="BT102" s="226"/>
      <c r="BU102" s="226"/>
      <c r="BV102" s="226"/>
      <c r="BW102" s="226"/>
      <c r="BX102" s="226"/>
      <c r="BY102" s="226"/>
      <c r="BZ102" s="226"/>
      <c r="CA102" s="226"/>
      <c r="CB102" s="226"/>
      <c r="CC102" s="226"/>
      <c r="CD102" s="226"/>
      <c r="CE102" s="226"/>
    </row>
    <row r="103" spans="1:83">
      <c r="A103" s="226"/>
      <c r="B103" s="226"/>
      <c r="C103" s="226"/>
      <c r="D103" s="226"/>
      <c r="E103" s="226"/>
      <c r="F103" s="226"/>
      <c r="G103" s="226"/>
      <c r="H103" s="226"/>
      <c r="I103" s="226"/>
      <c r="J103" s="226"/>
      <c r="K103" s="226"/>
      <c r="L103" s="226"/>
      <c r="M103" s="226"/>
      <c r="N103" s="226"/>
      <c r="O103" s="226"/>
      <c r="P103" s="226"/>
      <c r="Q103" s="226"/>
      <c r="R103" s="226"/>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26"/>
      <c r="BD103" s="226"/>
      <c r="BE103" s="226"/>
      <c r="BF103" s="226"/>
      <c r="BG103" s="226"/>
      <c r="BH103" s="226"/>
      <c r="BI103" s="226"/>
      <c r="BJ103" s="226"/>
      <c r="BK103" s="226"/>
      <c r="BL103" s="226"/>
      <c r="BM103" s="226"/>
      <c r="BN103" s="226"/>
      <c r="BO103" s="226"/>
      <c r="BP103" s="226"/>
      <c r="BQ103" s="226"/>
      <c r="BR103" s="226"/>
      <c r="BS103" s="226"/>
      <c r="BT103" s="226"/>
      <c r="BU103" s="226"/>
      <c r="BV103" s="226"/>
      <c r="BW103" s="226"/>
      <c r="BX103" s="226"/>
      <c r="BY103" s="226"/>
      <c r="BZ103" s="226"/>
      <c r="CA103" s="226"/>
      <c r="CB103" s="226"/>
      <c r="CC103" s="226"/>
      <c r="CD103" s="226"/>
      <c r="CE103" s="226"/>
    </row>
    <row r="104" spans="1:83">
      <c r="A104" s="226"/>
      <c r="B104" s="226"/>
      <c r="C104" s="226"/>
      <c r="D104" s="226"/>
      <c r="E104" s="226"/>
      <c r="F104" s="226"/>
      <c r="G104" s="226"/>
      <c r="H104" s="226"/>
      <c r="I104" s="226"/>
      <c r="J104" s="226"/>
      <c r="K104" s="226"/>
      <c r="L104" s="226"/>
      <c r="M104" s="226"/>
      <c r="N104" s="226"/>
      <c r="O104" s="226"/>
      <c r="P104" s="226"/>
      <c r="Q104" s="226"/>
      <c r="R104" s="226"/>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c r="AP104" s="226"/>
      <c r="AQ104" s="226"/>
      <c r="AR104" s="226"/>
      <c r="AS104" s="226"/>
      <c r="AT104" s="226"/>
      <c r="AU104" s="226"/>
      <c r="AV104" s="226"/>
      <c r="AW104" s="226"/>
      <c r="AX104" s="226"/>
      <c r="AY104" s="226"/>
      <c r="AZ104" s="226"/>
      <c r="BA104" s="226"/>
      <c r="BB104" s="226"/>
      <c r="BC104" s="226"/>
      <c r="BD104" s="226"/>
      <c r="BE104" s="226"/>
      <c r="BF104" s="226"/>
      <c r="BG104" s="226"/>
      <c r="BH104" s="226"/>
      <c r="BI104" s="226"/>
      <c r="BJ104" s="226"/>
      <c r="BK104" s="226"/>
      <c r="BL104" s="226"/>
      <c r="BM104" s="226"/>
      <c r="BN104" s="226"/>
      <c r="BO104" s="226"/>
      <c r="BP104" s="226"/>
      <c r="BQ104" s="226"/>
      <c r="BR104" s="226"/>
      <c r="BS104" s="226"/>
      <c r="BT104" s="226"/>
      <c r="BU104" s="226"/>
      <c r="BV104" s="226"/>
      <c r="BW104" s="226"/>
      <c r="BX104" s="226"/>
      <c r="BY104" s="226"/>
      <c r="BZ104" s="226"/>
      <c r="CA104" s="226"/>
      <c r="CB104" s="226"/>
      <c r="CC104" s="226"/>
      <c r="CD104" s="226"/>
      <c r="CE104" s="226"/>
    </row>
    <row r="105" spans="1:83">
      <c r="A105" s="226"/>
      <c r="B105" s="226"/>
      <c r="C105" s="226"/>
      <c r="D105" s="226"/>
      <c r="E105" s="226"/>
      <c r="F105" s="226"/>
      <c r="G105" s="226"/>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c r="AP105" s="226"/>
      <c r="AQ105" s="226"/>
      <c r="AR105" s="226"/>
      <c r="AS105" s="226"/>
      <c r="AT105" s="226"/>
      <c r="AU105" s="226"/>
      <c r="AV105" s="226"/>
      <c r="AW105" s="226"/>
      <c r="AX105" s="226"/>
      <c r="AY105" s="226"/>
      <c r="AZ105" s="226"/>
      <c r="BA105" s="226"/>
      <c r="BB105" s="226"/>
      <c r="BC105" s="226"/>
      <c r="BD105" s="226"/>
      <c r="BE105" s="226"/>
      <c r="BF105" s="226"/>
      <c r="BG105" s="226"/>
      <c r="BH105" s="226"/>
      <c r="BI105" s="226"/>
      <c r="BJ105" s="226"/>
      <c r="BK105" s="226"/>
      <c r="BL105" s="226"/>
      <c r="BM105" s="226"/>
      <c r="BN105" s="226"/>
      <c r="BO105" s="226"/>
      <c r="BP105" s="226"/>
      <c r="BQ105" s="226"/>
      <c r="BR105" s="226"/>
      <c r="BS105" s="226"/>
      <c r="BT105" s="226"/>
      <c r="BU105" s="226"/>
      <c r="BV105" s="226"/>
      <c r="BW105" s="226"/>
      <c r="BX105" s="226"/>
      <c r="BY105" s="226"/>
      <c r="BZ105" s="226"/>
      <c r="CA105" s="226"/>
      <c r="CB105" s="226"/>
      <c r="CC105" s="226"/>
      <c r="CD105" s="226"/>
      <c r="CE105" s="226"/>
    </row>
    <row r="106" spans="1:83">
      <c r="A106" s="226"/>
      <c r="B106" s="226"/>
      <c r="C106" s="226"/>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c r="BI106" s="226"/>
      <c r="BJ106" s="226"/>
      <c r="BK106" s="226"/>
      <c r="BL106" s="226"/>
      <c r="BM106" s="226"/>
      <c r="BN106" s="226"/>
      <c r="BO106" s="226"/>
      <c r="BP106" s="226"/>
      <c r="BQ106" s="226"/>
      <c r="BR106" s="226"/>
      <c r="BS106" s="226"/>
      <c r="BT106" s="226"/>
      <c r="BU106" s="226"/>
      <c r="BV106" s="226"/>
      <c r="BW106" s="226"/>
      <c r="BX106" s="226"/>
      <c r="BY106" s="226"/>
      <c r="BZ106" s="226"/>
      <c r="CA106" s="226"/>
      <c r="CB106" s="226"/>
      <c r="CC106" s="226"/>
      <c r="CD106" s="226"/>
      <c r="CE106" s="226"/>
    </row>
    <row r="107" spans="1:83">
      <c r="A107" s="226"/>
      <c r="B107" s="226"/>
      <c r="C107" s="226"/>
      <c r="D107" s="226"/>
      <c r="E107" s="226"/>
      <c r="F107" s="226"/>
      <c r="G107" s="226"/>
      <c r="H107" s="226"/>
      <c r="I107" s="226"/>
      <c r="J107" s="226"/>
      <c r="K107" s="226"/>
      <c r="L107" s="226"/>
      <c r="M107" s="226"/>
      <c r="N107" s="226"/>
      <c r="O107" s="226"/>
      <c r="P107" s="226"/>
      <c r="Q107" s="226"/>
      <c r="R107" s="226"/>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c r="AP107" s="226"/>
      <c r="AQ107" s="226"/>
      <c r="AR107" s="226"/>
      <c r="AS107" s="226"/>
      <c r="AT107" s="226"/>
      <c r="AU107" s="226"/>
      <c r="AV107" s="226"/>
      <c r="AW107" s="226"/>
      <c r="AX107" s="226"/>
      <c r="AY107" s="226"/>
      <c r="AZ107" s="226"/>
      <c r="BA107" s="226"/>
      <c r="BB107" s="226"/>
      <c r="BC107" s="226"/>
      <c r="BD107" s="226"/>
      <c r="BE107" s="226"/>
      <c r="BF107" s="226"/>
      <c r="BG107" s="226"/>
      <c r="BH107" s="226"/>
      <c r="BI107" s="226"/>
      <c r="BJ107" s="226"/>
      <c r="BK107" s="226"/>
      <c r="BL107" s="226"/>
      <c r="BM107" s="226"/>
      <c r="BN107" s="226"/>
      <c r="BO107" s="226"/>
      <c r="BP107" s="226"/>
      <c r="BQ107" s="226"/>
      <c r="BR107" s="226"/>
      <c r="BS107" s="226"/>
      <c r="BT107" s="226"/>
      <c r="BU107" s="226"/>
      <c r="BV107" s="226"/>
      <c r="BW107" s="226"/>
      <c r="BX107" s="226"/>
      <c r="BY107" s="226"/>
      <c r="BZ107" s="226"/>
      <c r="CA107" s="226"/>
      <c r="CB107" s="226"/>
      <c r="CC107" s="226"/>
      <c r="CD107" s="226"/>
      <c r="CE107" s="226"/>
    </row>
    <row r="108" spans="1:83">
      <c r="A108" s="226"/>
      <c r="B108" s="226"/>
      <c r="C108" s="226"/>
      <c r="D108" s="226"/>
      <c r="E108" s="226"/>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c r="AP108" s="226"/>
      <c r="AQ108" s="226"/>
      <c r="AR108" s="226"/>
      <c r="AS108" s="226"/>
      <c r="AT108" s="226"/>
      <c r="AU108" s="226"/>
      <c r="AV108" s="226"/>
      <c r="AW108" s="226"/>
      <c r="AX108" s="226"/>
      <c r="AY108" s="226"/>
      <c r="AZ108" s="226"/>
      <c r="BA108" s="226"/>
      <c r="BB108" s="226"/>
      <c r="BC108" s="226"/>
      <c r="BD108" s="226"/>
      <c r="BE108" s="226"/>
      <c r="BF108" s="226"/>
      <c r="BG108" s="226"/>
      <c r="BH108" s="226"/>
      <c r="BI108" s="226"/>
      <c r="BJ108" s="226"/>
      <c r="BK108" s="226"/>
      <c r="BL108" s="226"/>
      <c r="BM108" s="226"/>
      <c r="BN108" s="226"/>
      <c r="BO108" s="226"/>
      <c r="BP108" s="226"/>
      <c r="BQ108" s="226"/>
      <c r="BR108" s="226"/>
      <c r="BS108" s="226"/>
      <c r="BT108" s="226"/>
      <c r="BU108" s="226"/>
      <c r="BV108" s="226"/>
      <c r="BW108" s="226"/>
      <c r="BX108" s="226"/>
      <c r="BY108" s="226"/>
      <c r="BZ108" s="226"/>
      <c r="CA108" s="226"/>
      <c r="CB108" s="226"/>
      <c r="CC108" s="226"/>
      <c r="CD108" s="226"/>
      <c r="CE108" s="226"/>
    </row>
    <row r="109" spans="1:83">
      <c r="A109" s="226"/>
      <c r="B109" s="226"/>
      <c r="C109" s="226"/>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c r="AP109" s="226"/>
      <c r="AQ109" s="226"/>
      <c r="AR109" s="226"/>
      <c r="AS109" s="226"/>
      <c r="AT109" s="226"/>
      <c r="AU109" s="226"/>
      <c r="AV109" s="226"/>
      <c r="AW109" s="226"/>
      <c r="AX109" s="226"/>
      <c r="AY109" s="226"/>
      <c r="AZ109" s="226"/>
      <c r="BA109" s="226"/>
      <c r="BB109" s="226"/>
      <c r="BC109" s="226"/>
      <c r="BD109" s="226"/>
      <c r="BE109" s="226"/>
      <c r="BF109" s="226"/>
      <c r="BG109" s="226"/>
      <c r="BH109" s="226"/>
      <c r="BI109" s="226"/>
      <c r="BJ109" s="226"/>
      <c r="BK109" s="226"/>
      <c r="BL109" s="226"/>
      <c r="BM109" s="226"/>
      <c r="BN109" s="226"/>
      <c r="BO109" s="226"/>
      <c r="BP109" s="226"/>
      <c r="BQ109" s="226"/>
      <c r="BR109" s="226"/>
      <c r="BS109" s="226"/>
      <c r="BT109" s="226"/>
      <c r="BU109" s="226"/>
      <c r="BV109" s="226"/>
      <c r="BW109" s="226"/>
      <c r="BX109" s="226"/>
      <c r="BY109" s="226"/>
      <c r="BZ109" s="226"/>
      <c r="CA109" s="226"/>
      <c r="CB109" s="226"/>
      <c r="CC109" s="226"/>
      <c r="CD109" s="226"/>
      <c r="CE109" s="226"/>
    </row>
    <row r="110" spans="1:83">
      <c r="A110" s="226"/>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6"/>
      <c r="BH110" s="226"/>
      <c r="BI110" s="226"/>
      <c r="BJ110" s="226"/>
      <c r="BK110" s="226"/>
      <c r="BL110" s="226"/>
      <c r="BM110" s="226"/>
      <c r="BN110" s="226"/>
      <c r="BO110" s="226"/>
      <c r="BP110" s="226"/>
      <c r="BQ110" s="226"/>
      <c r="BR110" s="226"/>
      <c r="BS110" s="226"/>
      <c r="BT110" s="226"/>
      <c r="BU110" s="226"/>
      <c r="BV110" s="226"/>
      <c r="BW110" s="226"/>
      <c r="BX110" s="226"/>
      <c r="BY110" s="226"/>
      <c r="BZ110" s="226"/>
      <c r="CA110" s="226"/>
      <c r="CB110" s="226"/>
      <c r="CC110" s="226"/>
      <c r="CD110" s="226"/>
      <c r="CE110" s="226"/>
    </row>
    <row r="111" spans="1:83">
      <c r="A111" s="226"/>
      <c r="B111" s="226"/>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c r="AP111" s="226"/>
      <c r="AQ111" s="226"/>
      <c r="AR111" s="226"/>
      <c r="AS111" s="226"/>
      <c r="AT111" s="226"/>
      <c r="AU111" s="226"/>
      <c r="AV111" s="226"/>
      <c r="AW111" s="226"/>
      <c r="AX111" s="226"/>
      <c r="AY111" s="226"/>
      <c r="AZ111" s="226"/>
      <c r="BA111" s="226"/>
      <c r="BB111" s="226"/>
      <c r="BC111" s="226"/>
      <c r="BD111" s="226"/>
      <c r="BE111" s="226"/>
      <c r="BF111" s="226"/>
      <c r="BG111" s="226"/>
      <c r="BH111" s="226"/>
      <c r="BI111" s="226"/>
      <c r="BJ111" s="226"/>
      <c r="BK111" s="226"/>
      <c r="BL111" s="226"/>
      <c r="BM111" s="226"/>
      <c r="BN111" s="226"/>
      <c r="BO111" s="226"/>
      <c r="BP111" s="226"/>
      <c r="BQ111" s="226"/>
      <c r="BR111" s="226"/>
      <c r="BS111" s="226"/>
      <c r="BT111" s="226"/>
      <c r="BU111" s="226"/>
      <c r="BV111" s="226"/>
      <c r="BW111" s="226"/>
      <c r="BX111" s="226"/>
      <c r="BY111" s="226"/>
      <c r="BZ111" s="226"/>
      <c r="CA111" s="226"/>
      <c r="CB111" s="226"/>
      <c r="CC111" s="226"/>
      <c r="CD111" s="226"/>
      <c r="CE111" s="226"/>
    </row>
    <row r="112" spans="1:83">
      <c r="A112" s="226"/>
      <c r="B112" s="226"/>
      <c r="C112" s="226"/>
      <c r="D112" s="226"/>
      <c r="E112" s="226"/>
      <c r="F112" s="226"/>
      <c r="G112" s="226"/>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c r="AP112" s="226"/>
      <c r="AQ112" s="226"/>
      <c r="AR112" s="226"/>
      <c r="AS112" s="226"/>
      <c r="AT112" s="226"/>
      <c r="AU112" s="226"/>
      <c r="AV112" s="226"/>
      <c r="AW112" s="226"/>
      <c r="AX112" s="226"/>
      <c r="AY112" s="226"/>
      <c r="AZ112" s="226"/>
      <c r="BA112" s="226"/>
      <c r="BB112" s="226"/>
      <c r="BC112" s="226"/>
      <c r="BD112" s="226"/>
      <c r="BE112" s="226"/>
      <c r="BF112" s="226"/>
      <c r="BG112" s="226"/>
      <c r="BH112" s="226"/>
      <c r="BI112" s="226"/>
      <c r="BJ112" s="226"/>
      <c r="BK112" s="226"/>
      <c r="BL112" s="226"/>
      <c r="BM112" s="226"/>
      <c r="BN112" s="226"/>
      <c r="BO112" s="226"/>
      <c r="BP112" s="226"/>
      <c r="BQ112" s="226"/>
      <c r="BR112" s="226"/>
      <c r="BS112" s="226"/>
      <c r="BT112" s="226"/>
      <c r="BU112" s="226"/>
      <c r="BV112" s="226"/>
      <c r="BW112" s="226"/>
      <c r="BX112" s="226"/>
      <c r="BY112" s="226"/>
      <c r="BZ112" s="226"/>
      <c r="CA112" s="226"/>
      <c r="CB112" s="226"/>
      <c r="CC112" s="226"/>
      <c r="CD112" s="226"/>
      <c r="CE112" s="226"/>
    </row>
    <row r="113" spans="1:83">
      <c r="A113" s="226"/>
      <c r="B113" s="226"/>
      <c r="C113" s="226"/>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c r="AP113" s="226"/>
      <c r="AQ113" s="226"/>
      <c r="AR113" s="226"/>
      <c r="AS113" s="226"/>
      <c r="AT113" s="226"/>
      <c r="AU113" s="226"/>
      <c r="AV113" s="226"/>
      <c r="AW113" s="226"/>
      <c r="AX113" s="226"/>
      <c r="AY113" s="226"/>
      <c r="AZ113" s="226"/>
      <c r="BA113" s="226"/>
      <c r="BB113" s="226"/>
      <c r="BC113" s="226"/>
      <c r="BD113" s="226"/>
      <c r="BE113" s="226"/>
      <c r="BF113" s="226"/>
      <c r="BG113" s="226"/>
      <c r="BH113" s="226"/>
      <c r="BI113" s="226"/>
      <c r="BJ113" s="226"/>
      <c r="BK113" s="226"/>
      <c r="BL113" s="226"/>
      <c r="BM113" s="226"/>
      <c r="BN113" s="226"/>
      <c r="BO113" s="226"/>
      <c r="BP113" s="226"/>
      <c r="BQ113" s="226"/>
      <c r="BR113" s="226"/>
      <c r="BS113" s="226"/>
      <c r="BT113" s="226"/>
      <c r="BU113" s="226"/>
      <c r="BV113" s="226"/>
      <c r="BW113" s="226"/>
      <c r="BX113" s="226"/>
      <c r="BY113" s="226"/>
      <c r="BZ113" s="226"/>
      <c r="CA113" s="226"/>
      <c r="CB113" s="226"/>
      <c r="CC113" s="226"/>
      <c r="CD113" s="226"/>
      <c r="CE113" s="226"/>
    </row>
    <row r="114" spans="1:83">
      <c r="A114" s="226"/>
      <c r="B114" s="226"/>
      <c r="C114" s="226"/>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c r="AP114" s="226"/>
      <c r="AQ114" s="226"/>
      <c r="AR114" s="226"/>
      <c r="AS114" s="226"/>
      <c r="AT114" s="226"/>
      <c r="AU114" s="226"/>
      <c r="AV114" s="226"/>
      <c r="AW114" s="226"/>
      <c r="AX114" s="226"/>
      <c r="AY114" s="226"/>
      <c r="AZ114" s="226"/>
      <c r="BA114" s="226"/>
      <c r="BB114" s="226"/>
      <c r="BC114" s="226"/>
      <c r="BD114" s="226"/>
      <c r="BE114" s="226"/>
      <c r="BF114" s="226"/>
      <c r="BG114" s="226"/>
      <c r="BH114" s="226"/>
      <c r="BI114" s="226"/>
      <c r="BJ114" s="226"/>
      <c r="BK114" s="226"/>
      <c r="BL114" s="226"/>
      <c r="BM114" s="226"/>
      <c r="BN114" s="226"/>
      <c r="BO114" s="226"/>
      <c r="BP114" s="226"/>
      <c r="BQ114" s="226"/>
      <c r="BR114" s="226"/>
      <c r="BS114" s="226"/>
      <c r="BT114" s="226"/>
      <c r="BU114" s="226"/>
      <c r="BV114" s="226"/>
      <c r="BW114" s="226"/>
      <c r="BX114" s="226"/>
      <c r="BY114" s="226"/>
      <c r="BZ114" s="226"/>
      <c r="CA114" s="226"/>
      <c r="CB114" s="226"/>
      <c r="CC114" s="226"/>
      <c r="CD114" s="226"/>
      <c r="CE114" s="226"/>
    </row>
    <row r="115" spans="1:83">
      <c r="A115" s="226"/>
      <c r="B115" s="226"/>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c r="AP115" s="226"/>
      <c r="AQ115" s="226"/>
      <c r="AR115" s="226"/>
      <c r="AS115" s="226"/>
      <c r="AT115" s="226"/>
      <c r="AU115" s="226"/>
      <c r="AV115" s="226"/>
      <c r="AW115" s="226"/>
      <c r="AX115" s="226"/>
      <c r="AY115" s="226"/>
      <c r="AZ115" s="226"/>
      <c r="BA115" s="226"/>
      <c r="BB115" s="226"/>
      <c r="BC115" s="226"/>
      <c r="BD115" s="226"/>
      <c r="BE115" s="226"/>
      <c r="BF115" s="226"/>
      <c r="BG115" s="226"/>
      <c r="BH115" s="226"/>
      <c r="BI115" s="226"/>
      <c r="BJ115" s="226"/>
      <c r="BK115" s="226"/>
      <c r="BL115" s="226"/>
      <c r="BM115" s="226"/>
      <c r="BN115" s="226"/>
      <c r="BO115" s="226"/>
      <c r="BP115" s="226"/>
      <c r="BQ115" s="226"/>
      <c r="BR115" s="226"/>
      <c r="BS115" s="226"/>
      <c r="BT115" s="226"/>
      <c r="BU115" s="226"/>
      <c r="BV115" s="226"/>
      <c r="BW115" s="226"/>
      <c r="BX115" s="226"/>
      <c r="BY115" s="226"/>
      <c r="BZ115" s="226"/>
      <c r="CA115" s="226"/>
      <c r="CB115" s="226"/>
      <c r="CC115" s="226"/>
      <c r="CD115" s="226"/>
      <c r="CE115" s="226"/>
    </row>
    <row r="116" spans="1:83">
      <c r="A116" s="226"/>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c r="AP116" s="226"/>
      <c r="AQ116" s="226"/>
      <c r="AR116" s="226"/>
      <c r="AS116" s="226"/>
      <c r="AT116" s="226"/>
      <c r="AU116" s="226"/>
      <c r="AV116" s="226"/>
      <c r="AW116" s="226"/>
      <c r="AX116" s="226"/>
      <c r="AY116" s="226"/>
      <c r="AZ116" s="226"/>
      <c r="BA116" s="226"/>
      <c r="BB116" s="226"/>
      <c r="BC116" s="226"/>
      <c r="BD116" s="226"/>
      <c r="BE116" s="226"/>
      <c r="BF116" s="226"/>
      <c r="BG116" s="226"/>
      <c r="BH116" s="226"/>
      <c r="BI116" s="226"/>
      <c r="BJ116" s="226"/>
      <c r="BK116" s="226"/>
      <c r="BL116" s="226"/>
      <c r="BM116" s="226"/>
      <c r="BN116" s="226"/>
      <c r="BO116" s="226"/>
      <c r="BP116" s="226"/>
      <c r="BQ116" s="226"/>
      <c r="BR116" s="226"/>
      <c r="BS116" s="226"/>
      <c r="BT116" s="226"/>
      <c r="BU116" s="226"/>
      <c r="BV116" s="226"/>
      <c r="BW116" s="226"/>
      <c r="BX116" s="226"/>
      <c r="BY116" s="226"/>
      <c r="BZ116" s="226"/>
      <c r="CA116" s="226"/>
      <c r="CB116" s="226"/>
      <c r="CC116" s="226"/>
      <c r="CD116" s="226"/>
      <c r="CE116" s="226"/>
    </row>
    <row r="117" spans="1:83">
      <c r="A117" s="226"/>
      <c r="B117" s="226"/>
      <c r="C117" s="226"/>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c r="AP117" s="226"/>
      <c r="AQ117" s="226"/>
      <c r="AR117" s="226"/>
      <c r="AS117" s="226"/>
      <c r="AT117" s="226"/>
      <c r="AU117" s="226"/>
      <c r="AV117" s="226"/>
      <c r="AW117" s="226"/>
      <c r="AX117" s="226"/>
      <c r="AY117" s="226"/>
      <c r="AZ117" s="226"/>
      <c r="BA117" s="226"/>
      <c r="BB117" s="226"/>
      <c r="BC117" s="226"/>
      <c r="BD117" s="226"/>
      <c r="BE117" s="226"/>
      <c r="BF117" s="226"/>
      <c r="BG117" s="226"/>
      <c r="BH117" s="226"/>
      <c r="BI117" s="226"/>
      <c r="BJ117" s="226"/>
      <c r="BK117" s="226"/>
      <c r="BL117" s="226"/>
      <c r="BM117" s="226"/>
      <c r="BN117" s="226"/>
      <c r="BO117" s="226"/>
      <c r="BP117" s="226"/>
      <c r="BQ117" s="226"/>
      <c r="BR117" s="226"/>
      <c r="BS117" s="226"/>
      <c r="BT117" s="226"/>
      <c r="BU117" s="226"/>
      <c r="BV117" s="226"/>
      <c r="BW117" s="226"/>
      <c r="BX117" s="226"/>
      <c r="BY117" s="226"/>
      <c r="BZ117" s="226"/>
      <c r="CA117" s="226"/>
      <c r="CB117" s="226"/>
      <c r="CC117" s="226"/>
      <c r="CD117" s="226"/>
      <c r="CE117" s="226"/>
    </row>
    <row r="118" spans="1:83">
      <c r="A118" s="226"/>
      <c r="B118" s="226"/>
      <c r="C118" s="226"/>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c r="BQ118" s="226"/>
      <c r="BR118" s="226"/>
      <c r="BS118" s="226"/>
      <c r="BT118" s="226"/>
      <c r="BU118" s="226"/>
      <c r="BV118" s="226"/>
      <c r="BW118" s="226"/>
      <c r="BX118" s="226"/>
      <c r="BY118" s="226"/>
      <c r="BZ118" s="226"/>
      <c r="CA118" s="226"/>
      <c r="CB118" s="226"/>
      <c r="CC118" s="226"/>
      <c r="CD118" s="226"/>
      <c r="CE118" s="226"/>
    </row>
    <row r="119" spans="1:83">
      <c r="A119" s="226"/>
      <c r="B119" s="226"/>
      <c r="C119" s="226"/>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c r="AP119" s="226"/>
      <c r="AQ119" s="226"/>
      <c r="AR119" s="226"/>
      <c r="AS119" s="226"/>
      <c r="AT119" s="226"/>
      <c r="AU119" s="226"/>
      <c r="AV119" s="226"/>
      <c r="AW119" s="226"/>
      <c r="AX119" s="226"/>
      <c r="AY119" s="226"/>
      <c r="AZ119" s="226"/>
      <c r="BA119" s="226"/>
      <c r="BB119" s="226"/>
      <c r="BC119" s="226"/>
      <c r="BD119" s="226"/>
      <c r="BE119" s="226"/>
      <c r="BF119" s="226"/>
      <c r="BG119" s="226"/>
      <c r="BH119" s="226"/>
      <c r="BI119" s="226"/>
      <c r="BJ119" s="226"/>
      <c r="BK119" s="226"/>
      <c r="BL119" s="226"/>
      <c r="BM119" s="226"/>
      <c r="BN119" s="226"/>
      <c r="BO119" s="226"/>
      <c r="BP119" s="226"/>
      <c r="BQ119" s="226"/>
      <c r="BR119" s="226"/>
      <c r="BS119" s="226"/>
      <c r="BT119" s="226"/>
      <c r="BU119" s="226"/>
      <c r="BV119" s="226"/>
      <c r="BW119" s="226"/>
      <c r="BX119" s="226"/>
      <c r="BY119" s="226"/>
      <c r="BZ119" s="226"/>
      <c r="CA119" s="226"/>
      <c r="CB119" s="226"/>
      <c r="CC119" s="226"/>
      <c r="CD119" s="226"/>
      <c r="CE119" s="226"/>
    </row>
    <row r="120" spans="1:83">
      <c r="A120" s="226"/>
      <c r="B120" s="226"/>
      <c r="C120" s="226"/>
      <c r="D120" s="226"/>
      <c r="E120" s="226"/>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c r="AP120" s="226"/>
      <c r="AQ120" s="226"/>
      <c r="AR120" s="226"/>
      <c r="AS120" s="226"/>
      <c r="AT120" s="226"/>
      <c r="AU120" s="226"/>
      <c r="AV120" s="226"/>
      <c r="AW120" s="226"/>
      <c r="AX120" s="226"/>
      <c r="AY120" s="226"/>
      <c r="AZ120" s="226"/>
      <c r="BA120" s="226"/>
      <c r="BB120" s="226"/>
      <c r="BC120" s="226"/>
      <c r="BD120" s="226"/>
      <c r="BE120" s="226"/>
      <c r="BF120" s="226"/>
      <c r="BG120" s="226"/>
      <c r="BH120" s="226"/>
      <c r="BI120" s="226"/>
      <c r="BJ120" s="226"/>
      <c r="BK120" s="226"/>
      <c r="BL120" s="226"/>
      <c r="BM120" s="226"/>
      <c r="BN120" s="226"/>
      <c r="BO120" s="226"/>
      <c r="BP120" s="226"/>
      <c r="BQ120" s="226"/>
      <c r="BR120" s="226"/>
      <c r="BS120" s="226"/>
      <c r="BT120" s="226"/>
      <c r="BU120" s="226"/>
      <c r="BV120" s="226"/>
      <c r="BW120" s="226"/>
      <c r="BX120" s="226"/>
      <c r="BY120" s="226"/>
      <c r="BZ120" s="226"/>
      <c r="CA120" s="226"/>
      <c r="CB120" s="226"/>
      <c r="CC120" s="226"/>
      <c r="CD120" s="226"/>
      <c r="CE120" s="226"/>
    </row>
    <row r="121" spans="1:83">
      <c r="A121" s="226"/>
      <c r="B121" s="226"/>
      <c r="C121" s="226"/>
      <c r="D121" s="226"/>
      <c r="E121" s="226"/>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c r="AP121" s="226"/>
      <c r="AQ121" s="226"/>
      <c r="AR121" s="226"/>
      <c r="AS121" s="226"/>
      <c r="AT121" s="226"/>
      <c r="AU121" s="226"/>
      <c r="AV121" s="226"/>
      <c r="AW121" s="226"/>
      <c r="AX121" s="226"/>
      <c r="AY121" s="226"/>
      <c r="AZ121" s="226"/>
      <c r="BA121" s="226"/>
      <c r="BB121" s="226"/>
      <c r="BC121" s="226"/>
      <c r="BD121" s="226"/>
      <c r="BE121" s="226"/>
      <c r="BF121" s="226"/>
      <c r="BG121" s="226"/>
      <c r="BH121" s="226"/>
      <c r="BI121" s="226"/>
      <c r="BJ121" s="226"/>
      <c r="BK121" s="226"/>
      <c r="BL121" s="226"/>
      <c r="BM121" s="226"/>
      <c r="BN121" s="226"/>
      <c r="BO121" s="226"/>
      <c r="BP121" s="226"/>
      <c r="BQ121" s="226"/>
      <c r="BR121" s="226"/>
      <c r="BS121" s="226"/>
      <c r="BT121" s="226"/>
      <c r="BU121" s="226"/>
      <c r="BV121" s="226"/>
      <c r="BW121" s="226"/>
      <c r="BX121" s="226"/>
      <c r="BY121" s="226"/>
      <c r="BZ121" s="226"/>
      <c r="CA121" s="226"/>
      <c r="CB121" s="226"/>
      <c r="CC121" s="226"/>
      <c r="CD121" s="226"/>
      <c r="CE121" s="226"/>
    </row>
    <row r="122" spans="1:83">
      <c r="A122" s="226"/>
      <c r="B122" s="226"/>
      <c r="C122" s="226"/>
      <c r="D122" s="226"/>
      <c r="E122" s="226"/>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c r="AP122" s="226"/>
      <c r="AQ122" s="226"/>
      <c r="AR122" s="226"/>
      <c r="AS122" s="226"/>
      <c r="AT122" s="226"/>
      <c r="AU122" s="226"/>
      <c r="AV122" s="226"/>
      <c r="AW122" s="226"/>
      <c r="AX122" s="226"/>
      <c r="AY122" s="226"/>
      <c r="AZ122" s="226"/>
      <c r="BA122" s="226"/>
      <c r="BB122" s="226"/>
      <c r="BC122" s="226"/>
      <c r="BD122" s="226"/>
      <c r="BE122" s="226"/>
      <c r="BF122" s="226"/>
      <c r="BG122" s="226"/>
      <c r="BH122" s="226"/>
      <c r="BI122" s="226"/>
      <c r="BJ122" s="226"/>
      <c r="BK122" s="226"/>
      <c r="BL122" s="226"/>
      <c r="BM122" s="226"/>
      <c r="BN122" s="226"/>
      <c r="BO122" s="226"/>
      <c r="BP122" s="226"/>
      <c r="BQ122" s="226"/>
      <c r="BR122" s="226"/>
      <c r="BS122" s="226"/>
      <c r="BT122" s="226"/>
      <c r="BU122" s="226"/>
      <c r="BV122" s="226"/>
      <c r="BW122" s="226"/>
      <c r="BX122" s="226"/>
      <c r="BY122" s="226"/>
      <c r="BZ122" s="226"/>
      <c r="CA122" s="226"/>
      <c r="CB122" s="226"/>
      <c r="CC122" s="226"/>
      <c r="CD122" s="226"/>
      <c r="CE122" s="226"/>
    </row>
    <row r="123" spans="1:83">
      <c r="A123" s="226"/>
      <c r="B123" s="226"/>
      <c r="C123" s="226"/>
      <c r="D123" s="226"/>
      <c r="E123" s="226"/>
      <c r="F123" s="226"/>
      <c r="G123" s="226"/>
      <c r="H123" s="226"/>
      <c r="I123" s="226"/>
      <c r="J123" s="226"/>
      <c r="K123" s="226"/>
      <c r="L123" s="226"/>
      <c r="M123" s="226"/>
      <c r="N123" s="226"/>
      <c r="O123" s="226"/>
      <c r="P123" s="226"/>
      <c r="Q123" s="226"/>
      <c r="R123" s="226"/>
      <c r="S123" s="226"/>
      <c r="T123" s="226"/>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c r="AP123" s="226"/>
      <c r="AQ123" s="226"/>
      <c r="AR123" s="226"/>
      <c r="AS123" s="226"/>
      <c r="AT123" s="226"/>
      <c r="AU123" s="226"/>
      <c r="AV123" s="226"/>
      <c r="AW123" s="226"/>
      <c r="AX123" s="226"/>
      <c r="AY123" s="226"/>
      <c r="AZ123" s="226"/>
      <c r="BA123" s="226"/>
      <c r="BB123" s="226"/>
      <c r="BC123" s="226"/>
      <c r="BD123" s="226"/>
      <c r="BE123" s="226"/>
      <c r="BF123" s="226"/>
      <c r="BG123" s="226"/>
      <c r="BH123" s="226"/>
      <c r="BI123" s="226"/>
      <c r="BJ123" s="226"/>
      <c r="BK123" s="226"/>
      <c r="BL123" s="226"/>
      <c r="BM123" s="226"/>
      <c r="BN123" s="226"/>
      <c r="BO123" s="226"/>
      <c r="BP123" s="226"/>
      <c r="BQ123" s="226"/>
      <c r="BR123" s="226"/>
      <c r="BS123" s="226"/>
      <c r="BT123" s="226"/>
      <c r="BU123" s="226"/>
      <c r="BV123" s="226"/>
      <c r="BW123" s="226"/>
      <c r="BX123" s="226"/>
      <c r="BY123" s="226"/>
      <c r="BZ123" s="226"/>
      <c r="CA123" s="226"/>
      <c r="CB123" s="226"/>
      <c r="CC123" s="226"/>
      <c r="CD123" s="226"/>
      <c r="CE123" s="226"/>
    </row>
    <row r="124" spans="1:83">
      <c r="A124" s="226"/>
      <c r="B124" s="226"/>
      <c r="C124" s="226"/>
      <c r="D124" s="226"/>
      <c r="E124" s="226"/>
      <c r="F124" s="226"/>
      <c r="G124" s="226"/>
      <c r="H124" s="226"/>
      <c r="I124" s="226"/>
      <c r="J124" s="226"/>
      <c r="K124" s="226"/>
      <c r="L124" s="226"/>
      <c r="M124" s="226"/>
      <c r="N124" s="226"/>
      <c r="O124" s="226"/>
      <c r="P124" s="226"/>
      <c r="Q124" s="226"/>
      <c r="R124" s="226"/>
      <c r="S124" s="226"/>
      <c r="T124" s="226"/>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c r="AP124" s="226"/>
      <c r="AQ124" s="226"/>
      <c r="AR124" s="226"/>
      <c r="AS124" s="226"/>
      <c r="AT124" s="226"/>
      <c r="AU124" s="226"/>
      <c r="AV124" s="226"/>
      <c r="AW124" s="226"/>
      <c r="AX124" s="226"/>
      <c r="AY124" s="226"/>
      <c r="AZ124" s="226"/>
      <c r="BA124" s="226"/>
      <c r="BB124" s="226"/>
      <c r="BC124" s="226"/>
      <c r="BD124" s="226"/>
      <c r="BE124" s="226"/>
      <c r="BF124" s="226"/>
      <c r="BG124" s="226"/>
      <c r="BH124" s="226"/>
      <c r="BI124" s="226"/>
      <c r="BJ124" s="226"/>
      <c r="BK124" s="226"/>
      <c r="BL124" s="226"/>
      <c r="BM124" s="226"/>
      <c r="BN124" s="226"/>
      <c r="BO124" s="226"/>
      <c r="BP124" s="226"/>
      <c r="BQ124" s="226"/>
      <c r="BR124" s="226"/>
      <c r="BS124" s="226"/>
      <c r="BT124" s="226"/>
      <c r="BU124" s="226"/>
      <c r="BV124" s="226"/>
      <c r="BW124" s="226"/>
      <c r="BX124" s="226"/>
      <c r="BY124" s="226"/>
      <c r="BZ124" s="226"/>
      <c r="CA124" s="226"/>
      <c r="CB124" s="226"/>
      <c r="CC124" s="226"/>
      <c r="CD124" s="226"/>
      <c r="CE124" s="226"/>
    </row>
    <row r="125" spans="1:83">
      <c r="A125" s="226"/>
      <c r="B125" s="226"/>
      <c r="C125" s="226"/>
      <c r="D125" s="226"/>
      <c r="E125" s="226"/>
      <c r="F125" s="226"/>
      <c r="G125" s="226"/>
      <c r="H125" s="226"/>
      <c r="I125" s="226"/>
      <c r="J125" s="226"/>
      <c r="K125" s="226"/>
      <c r="L125" s="226"/>
      <c r="M125" s="226"/>
      <c r="N125" s="226"/>
      <c r="O125" s="226"/>
      <c r="P125" s="226"/>
      <c r="Q125" s="226"/>
      <c r="R125" s="226"/>
      <c r="S125" s="226"/>
      <c r="T125" s="226"/>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c r="AP125" s="226"/>
      <c r="AQ125" s="226"/>
      <c r="AR125" s="226"/>
      <c r="AS125" s="226"/>
      <c r="AT125" s="226"/>
      <c r="AU125" s="226"/>
      <c r="AV125" s="226"/>
      <c r="AW125" s="226"/>
      <c r="AX125" s="226"/>
      <c r="AY125" s="226"/>
      <c r="AZ125" s="226"/>
      <c r="BA125" s="226"/>
      <c r="BB125" s="226"/>
      <c r="BC125" s="226"/>
      <c r="BD125" s="226"/>
      <c r="BE125" s="226"/>
      <c r="BF125" s="226"/>
      <c r="BG125" s="226"/>
      <c r="BH125" s="226"/>
      <c r="BI125" s="226"/>
      <c r="BJ125" s="226"/>
      <c r="BK125" s="226"/>
      <c r="BL125" s="226"/>
      <c r="BM125" s="226"/>
      <c r="BN125" s="226"/>
      <c r="BO125" s="226"/>
      <c r="BP125" s="226"/>
      <c r="BQ125" s="226"/>
      <c r="BR125" s="226"/>
      <c r="BS125" s="226"/>
      <c r="BT125" s="226"/>
      <c r="BU125" s="226"/>
      <c r="BV125" s="226"/>
      <c r="BW125" s="226"/>
      <c r="BX125" s="226"/>
      <c r="BY125" s="226"/>
      <c r="BZ125" s="226"/>
      <c r="CA125" s="226"/>
      <c r="CB125" s="226"/>
      <c r="CC125" s="226"/>
      <c r="CD125" s="226"/>
      <c r="CE125" s="226"/>
    </row>
    <row r="126" spans="1:83">
      <c r="A126" s="226"/>
      <c r="B126" s="226"/>
      <c r="C126" s="226"/>
      <c r="D126" s="226"/>
      <c r="E126" s="226"/>
      <c r="F126" s="226"/>
      <c r="G126" s="226"/>
      <c r="H126" s="226"/>
      <c r="I126" s="226"/>
      <c r="J126" s="226"/>
      <c r="K126" s="226"/>
      <c r="L126" s="226"/>
      <c r="M126" s="226"/>
      <c r="N126" s="226"/>
      <c r="O126" s="226"/>
      <c r="P126" s="226"/>
      <c r="Q126" s="226"/>
      <c r="R126" s="226"/>
      <c r="S126" s="226"/>
      <c r="T126" s="226"/>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c r="AP126" s="226"/>
      <c r="AQ126" s="226"/>
      <c r="AR126" s="226"/>
      <c r="AS126" s="226"/>
      <c r="AT126" s="226"/>
      <c r="AU126" s="226"/>
      <c r="AV126" s="226"/>
      <c r="AW126" s="226"/>
      <c r="AX126" s="226"/>
      <c r="AY126" s="226"/>
      <c r="AZ126" s="226"/>
      <c r="BA126" s="226"/>
      <c r="BB126" s="226"/>
      <c r="BC126" s="226"/>
      <c r="BD126" s="226"/>
      <c r="BE126" s="226"/>
      <c r="BF126" s="226"/>
      <c r="BG126" s="226"/>
      <c r="BH126" s="226"/>
      <c r="BI126" s="226"/>
      <c r="BJ126" s="226"/>
      <c r="BK126" s="226"/>
      <c r="BL126" s="226"/>
      <c r="BM126" s="226"/>
      <c r="BN126" s="226"/>
      <c r="BO126" s="226"/>
      <c r="BP126" s="226"/>
      <c r="BQ126" s="226"/>
      <c r="BR126" s="226"/>
      <c r="BS126" s="226"/>
      <c r="BT126" s="226"/>
      <c r="BU126" s="226"/>
      <c r="BV126" s="226"/>
      <c r="BW126" s="226"/>
      <c r="BX126" s="226"/>
      <c r="BY126" s="226"/>
      <c r="BZ126" s="226"/>
      <c r="CA126" s="226"/>
      <c r="CB126" s="226"/>
      <c r="CC126" s="226"/>
      <c r="CD126" s="226"/>
      <c r="CE126" s="226"/>
    </row>
    <row r="127" spans="1:83">
      <c r="A127" s="226"/>
      <c r="B127" s="226"/>
      <c r="C127" s="226"/>
      <c r="D127" s="226"/>
      <c r="E127" s="226"/>
      <c r="F127" s="226"/>
      <c r="G127" s="226"/>
      <c r="H127" s="226"/>
      <c r="I127" s="226"/>
      <c r="J127" s="226"/>
      <c r="K127" s="226"/>
      <c r="L127" s="226"/>
      <c r="M127" s="226"/>
      <c r="N127" s="226"/>
      <c r="O127" s="226"/>
      <c r="P127" s="226"/>
      <c r="Q127" s="226"/>
      <c r="R127" s="226"/>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c r="AP127" s="226"/>
      <c r="AQ127" s="226"/>
      <c r="AR127" s="226"/>
      <c r="AS127" s="226"/>
      <c r="AT127" s="226"/>
      <c r="AU127" s="226"/>
      <c r="AV127" s="226"/>
      <c r="AW127" s="226"/>
      <c r="AX127" s="226"/>
      <c r="AY127" s="226"/>
      <c r="AZ127" s="226"/>
      <c r="BA127" s="226"/>
      <c r="BB127" s="226"/>
      <c r="BC127" s="226"/>
      <c r="BD127" s="226"/>
      <c r="BE127" s="226"/>
      <c r="BF127" s="226"/>
      <c r="BG127" s="226"/>
      <c r="BH127" s="226"/>
      <c r="BI127" s="226"/>
      <c r="BJ127" s="226"/>
      <c r="BK127" s="226"/>
      <c r="BL127" s="226"/>
      <c r="BM127" s="226"/>
      <c r="BN127" s="226"/>
      <c r="BO127" s="226"/>
      <c r="BP127" s="226"/>
      <c r="BQ127" s="226"/>
      <c r="BR127" s="226"/>
      <c r="BS127" s="226"/>
      <c r="BT127" s="226"/>
      <c r="BU127" s="226"/>
      <c r="BV127" s="226"/>
      <c r="BW127" s="226"/>
      <c r="BX127" s="226"/>
      <c r="BY127" s="226"/>
      <c r="BZ127" s="226"/>
      <c r="CA127" s="226"/>
      <c r="CB127" s="226"/>
      <c r="CC127" s="226"/>
      <c r="CD127" s="226"/>
      <c r="CE127" s="226"/>
    </row>
    <row r="128" spans="1:83">
      <c r="A128" s="226"/>
      <c r="B128" s="226"/>
      <c r="C128" s="226"/>
      <c r="D128" s="226"/>
      <c r="E128" s="226"/>
      <c r="F128" s="226"/>
      <c r="G128" s="226"/>
      <c r="H128" s="226"/>
      <c r="I128" s="226"/>
      <c r="J128" s="226"/>
      <c r="K128" s="226"/>
      <c r="L128" s="226"/>
      <c r="M128" s="226"/>
      <c r="N128" s="226"/>
      <c r="O128" s="226"/>
      <c r="P128" s="226"/>
      <c r="Q128" s="226"/>
      <c r="R128" s="226"/>
      <c r="S128" s="226"/>
      <c r="T128" s="226"/>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c r="AP128" s="226"/>
      <c r="AQ128" s="226"/>
      <c r="AR128" s="226"/>
      <c r="AS128" s="226"/>
      <c r="AT128" s="226"/>
      <c r="AU128" s="226"/>
      <c r="AV128" s="226"/>
      <c r="AW128" s="226"/>
      <c r="AX128" s="226"/>
      <c r="AY128" s="226"/>
      <c r="AZ128" s="226"/>
      <c r="BA128" s="226"/>
      <c r="BB128" s="226"/>
      <c r="BC128" s="226"/>
      <c r="BD128" s="226"/>
      <c r="BE128" s="226"/>
      <c r="BF128" s="226"/>
      <c r="BG128" s="226"/>
      <c r="BH128" s="226"/>
      <c r="BI128" s="226"/>
      <c r="BJ128" s="226"/>
      <c r="BK128" s="226"/>
      <c r="BL128" s="226"/>
      <c r="BM128" s="226"/>
      <c r="BN128" s="226"/>
      <c r="BO128" s="226"/>
      <c r="BP128" s="226"/>
      <c r="BQ128" s="226"/>
      <c r="BR128" s="226"/>
      <c r="BS128" s="226"/>
      <c r="BT128" s="226"/>
      <c r="BU128" s="226"/>
      <c r="BV128" s="226"/>
      <c r="BW128" s="226"/>
      <c r="BX128" s="226"/>
      <c r="BY128" s="226"/>
      <c r="BZ128" s="226"/>
      <c r="CA128" s="226"/>
      <c r="CB128" s="226"/>
      <c r="CC128" s="226"/>
      <c r="CD128" s="226"/>
      <c r="CE128" s="226"/>
    </row>
    <row r="129" spans="1:83">
      <c r="A129" s="226"/>
      <c r="B129" s="226"/>
      <c r="C129" s="226"/>
      <c r="D129" s="226"/>
      <c r="E129" s="226"/>
      <c r="F129" s="226"/>
      <c r="G129" s="226"/>
      <c r="H129" s="226"/>
      <c r="I129" s="226"/>
      <c r="J129" s="226"/>
      <c r="K129" s="226"/>
      <c r="L129" s="226"/>
      <c r="M129" s="226"/>
      <c r="N129" s="226"/>
      <c r="O129" s="226"/>
      <c r="P129" s="226"/>
      <c r="Q129" s="226"/>
      <c r="R129" s="226"/>
      <c r="S129" s="226"/>
      <c r="T129" s="226"/>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c r="AP129" s="226"/>
      <c r="AQ129" s="226"/>
      <c r="AR129" s="226"/>
      <c r="AS129" s="226"/>
      <c r="AT129" s="226"/>
      <c r="AU129" s="226"/>
      <c r="AV129" s="226"/>
      <c r="AW129" s="226"/>
      <c r="AX129" s="226"/>
      <c r="AY129" s="226"/>
      <c r="AZ129" s="226"/>
      <c r="BA129" s="226"/>
      <c r="BB129" s="226"/>
      <c r="BC129" s="226"/>
      <c r="BD129" s="226"/>
      <c r="BE129" s="226"/>
      <c r="BF129" s="226"/>
      <c r="BG129" s="226"/>
      <c r="BH129" s="226"/>
      <c r="BI129" s="226"/>
      <c r="BJ129" s="226"/>
      <c r="BK129" s="226"/>
      <c r="BL129" s="226"/>
      <c r="BM129" s="226"/>
      <c r="BN129" s="226"/>
      <c r="BO129" s="226"/>
      <c r="BP129" s="226"/>
      <c r="BQ129" s="226"/>
      <c r="BR129" s="226"/>
      <c r="BS129" s="226"/>
      <c r="BT129" s="226"/>
      <c r="BU129" s="226"/>
      <c r="BV129" s="226"/>
      <c r="BW129" s="226"/>
      <c r="BX129" s="226"/>
      <c r="BY129" s="226"/>
      <c r="BZ129" s="226"/>
      <c r="CA129" s="226"/>
      <c r="CB129" s="226"/>
      <c r="CC129" s="226"/>
      <c r="CD129" s="226"/>
      <c r="CE129" s="226"/>
    </row>
    <row r="130" spans="1:83">
      <c r="A130" s="226"/>
      <c r="B130" s="226"/>
      <c r="C130" s="226"/>
      <c r="D130" s="226"/>
      <c r="E130" s="226"/>
      <c r="F130" s="226"/>
      <c r="G130" s="226"/>
      <c r="H130" s="226"/>
      <c r="I130" s="226"/>
      <c r="J130" s="226"/>
      <c r="K130" s="226"/>
      <c r="L130" s="226"/>
      <c r="M130" s="226"/>
      <c r="N130" s="226"/>
      <c r="O130" s="226"/>
      <c r="P130" s="226"/>
      <c r="Q130" s="226"/>
      <c r="R130" s="226"/>
      <c r="S130" s="226"/>
      <c r="T130" s="226"/>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c r="AP130" s="226"/>
      <c r="AQ130" s="226"/>
      <c r="AR130" s="226"/>
      <c r="AS130" s="226"/>
      <c r="AT130" s="226"/>
      <c r="AU130" s="226"/>
      <c r="AV130" s="226"/>
      <c r="AW130" s="226"/>
      <c r="AX130" s="226"/>
      <c r="AY130" s="226"/>
      <c r="AZ130" s="226"/>
      <c r="BA130" s="226"/>
      <c r="BB130" s="226"/>
      <c r="BC130" s="226"/>
      <c r="BD130" s="226"/>
      <c r="BE130" s="226"/>
      <c r="BF130" s="226"/>
      <c r="BG130" s="226"/>
      <c r="BH130" s="226"/>
      <c r="BI130" s="226"/>
      <c r="BJ130" s="226"/>
      <c r="BK130" s="226"/>
      <c r="BL130" s="226"/>
      <c r="BM130" s="226"/>
      <c r="BN130" s="226"/>
      <c r="BO130" s="226"/>
      <c r="BP130" s="226"/>
      <c r="BQ130" s="226"/>
      <c r="BR130" s="226"/>
      <c r="BS130" s="226"/>
      <c r="BT130" s="226"/>
      <c r="BU130" s="226"/>
      <c r="BV130" s="226"/>
      <c r="BW130" s="226"/>
      <c r="BX130" s="226"/>
      <c r="BY130" s="226"/>
      <c r="BZ130" s="226"/>
      <c r="CA130" s="226"/>
      <c r="CB130" s="226"/>
      <c r="CC130" s="226"/>
      <c r="CD130" s="226"/>
      <c r="CE130" s="226"/>
    </row>
    <row r="131" spans="1:83">
      <c r="A131" s="226"/>
      <c r="B131" s="226"/>
      <c r="C131" s="226"/>
      <c r="D131" s="226"/>
      <c r="E131" s="226"/>
      <c r="F131" s="226"/>
      <c r="G131" s="226"/>
      <c r="H131" s="226"/>
      <c r="I131" s="226"/>
      <c r="J131" s="226"/>
      <c r="K131" s="226"/>
      <c r="L131" s="226"/>
      <c r="M131" s="226"/>
      <c r="N131" s="226"/>
      <c r="O131" s="226"/>
      <c r="P131" s="226"/>
      <c r="Q131" s="226"/>
      <c r="R131" s="226"/>
      <c r="S131" s="226"/>
      <c r="T131" s="226"/>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c r="AP131" s="226"/>
      <c r="AQ131" s="226"/>
      <c r="AR131" s="226"/>
      <c r="AS131" s="226"/>
      <c r="AT131" s="226"/>
      <c r="AU131" s="226"/>
      <c r="AV131" s="226"/>
      <c r="AW131" s="226"/>
      <c r="AX131" s="226"/>
      <c r="AY131" s="226"/>
      <c r="AZ131" s="226"/>
      <c r="BA131" s="226"/>
      <c r="BB131" s="226"/>
      <c r="BC131" s="226"/>
      <c r="BD131" s="226"/>
      <c r="BE131" s="226"/>
      <c r="BF131" s="226"/>
      <c r="BG131" s="226"/>
      <c r="BH131" s="226"/>
      <c r="BI131" s="226"/>
      <c r="BJ131" s="226"/>
      <c r="BK131" s="226"/>
      <c r="BL131" s="226"/>
      <c r="BM131" s="226"/>
      <c r="BN131" s="226"/>
      <c r="BO131" s="226"/>
      <c r="BP131" s="226"/>
      <c r="BQ131" s="226"/>
      <c r="BR131" s="226"/>
      <c r="BS131" s="226"/>
      <c r="BT131" s="226"/>
      <c r="BU131" s="226"/>
      <c r="BV131" s="226"/>
      <c r="BW131" s="226"/>
      <c r="BX131" s="226"/>
      <c r="BY131" s="226"/>
      <c r="BZ131" s="226"/>
      <c r="CA131" s="226"/>
      <c r="CB131" s="226"/>
      <c r="CC131" s="226"/>
      <c r="CD131" s="226"/>
      <c r="CE131" s="226"/>
    </row>
    <row r="132" spans="1:83">
      <c r="A132" s="226"/>
      <c r="B132" s="226"/>
      <c r="C132" s="226"/>
      <c r="D132" s="226"/>
      <c r="E132" s="226"/>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c r="AP132" s="226"/>
      <c r="AQ132" s="226"/>
      <c r="AR132" s="226"/>
      <c r="AS132" s="226"/>
      <c r="AT132" s="226"/>
      <c r="AU132" s="226"/>
      <c r="AV132" s="226"/>
      <c r="AW132" s="226"/>
      <c r="AX132" s="226"/>
      <c r="AY132" s="226"/>
      <c r="AZ132" s="226"/>
      <c r="BA132" s="226"/>
      <c r="BB132" s="226"/>
      <c r="BC132" s="226"/>
      <c r="BD132" s="226"/>
      <c r="BE132" s="226"/>
      <c r="BF132" s="226"/>
      <c r="BG132" s="226"/>
      <c r="BH132" s="226"/>
      <c r="BI132" s="226"/>
      <c r="BJ132" s="226"/>
      <c r="BK132" s="226"/>
      <c r="BL132" s="226"/>
      <c r="BM132" s="226"/>
      <c r="BN132" s="226"/>
      <c r="BO132" s="226"/>
      <c r="BP132" s="226"/>
      <c r="BQ132" s="226"/>
      <c r="BR132" s="226"/>
      <c r="BS132" s="226"/>
      <c r="BT132" s="226"/>
      <c r="BU132" s="226"/>
      <c r="BV132" s="226"/>
      <c r="BW132" s="226"/>
      <c r="BX132" s="226"/>
      <c r="BY132" s="226"/>
      <c r="BZ132" s="226"/>
      <c r="CA132" s="226"/>
      <c r="CB132" s="226"/>
      <c r="CC132" s="226"/>
      <c r="CD132" s="226"/>
      <c r="CE132" s="226"/>
    </row>
    <row r="133" spans="1:83">
      <c r="A133" s="226"/>
      <c r="B133" s="226"/>
      <c r="C133" s="226"/>
      <c r="D133" s="226"/>
      <c r="E133" s="226"/>
      <c r="F133" s="226"/>
      <c r="G133" s="226"/>
      <c r="H133" s="226"/>
      <c r="I133" s="226"/>
      <c r="J133" s="226"/>
      <c r="K133" s="226"/>
      <c r="L133" s="226"/>
      <c r="M133" s="226"/>
      <c r="N133" s="226"/>
      <c r="O133" s="226"/>
      <c r="P133" s="226"/>
      <c r="Q133" s="226"/>
      <c r="R133" s="226"/>
      <c r="S133" s="226"/>
      <c r="T133" s="226"/>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c r="AP133" s="226"/>
      <c r="AQ133" s="226"/>
      <c r="AR133" s="226"/>
      <c r="AS133" s="226"/>
      <c r="AT133" s="226"/>
      <c r="AU133" s="226"/>
      <c r="AV133" s="226"/>
      <c r="AW133" s="226"/>
      <c r="AX133" s="226"/>
      <c r="AY133" s="226"/>
      <c r="AZ133" s="226"/>
      <c r="BA133" s="226"/>
      <c r="BB133" s="226"/>
      <c r="BC133" s="226"/>
      <c r="BD133" s="226"/>
      <c r="BE133" s="226"/>
      <c r="BF133" s="226"/>
      <c r="BG133" s="226"/>
      <c r="BH133" s="226"/>
      <c r="BI133" s="226"/>
      <c r="BJ133" s="226"/>
      <c r="BK133" s="226"/>
      <c r="BL133" s="226"/>
      <c r="BM133" s="226"/>
      <c r="BN133" s="226"/>
      <c r="BO133" s="226"/>
      <c r="BP133" s="226"/>
      <c r="BQ133" s="226"/>
      <c r="BR133" s="226"/>
      <c r="BS133" s="226"/>
      <c r="BT133" s="226"/>
      <c r="BU133" s="226"/>
      <c r="BV133" s="226"/>
      <c r="BW133" s="226"/>
      <c r="BX133" s="226"/>
      <c r="BY133" s="226"/>
      <c r="BZ133" s="226"/>
      <c r="CA133" s="226"/>
      <c r="CB133" s="226"/>
      <c r="CC133" s="226"/>
      <c r="CD133" s="226"/>
      <c r="CE133" s="226"/>
    </row>
    <row r="134" spans="1:83">
      <c r="A134" s="226"/>
      <c r="B134" s="226"/>
      <c r="C134" s="226"/>
      <c r="D134" s="226"/>
      <c r="E134" s="226"/>
      <c r="F134" s="226"/>
      <c r="G134" s="226"/>
      <c r="H134" s="226"/>
      <c r="I134" s="226"/>
      <c r="J134" s="226"/>
      <c r="K134" s="226"/>
      <c r="L134" s="226"/>
      <c r="M134" s="226"/>
      <c r="N134" s="226"/>
      <c r="O134" s="226"/>
      <c r="P134" s="226"/>
      <c r="Q134" s="226"/>
      <c r="R134" s="226"/>
      <c r="S134" s="226"/>
      <c r="T134" s="226"/>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c r="AP134" s="226"/>
      <c r="AQ134" s="226"/>
      <c r="AR134" s="226"/>
      <c r="AS134" s="226"/>
      <c r="AT134" s="226"/>
      <c r="AU134" s="226"/>
      <c r="AV134" s="226"/>
      <c r="AW134" s="226"/>
      <c r="AX134" s="226"/>
      <c r="AY134" s="226"/>
      <c r="AZ134" s="226"/>
      <c r="BA134" s="226"/>
      <c r="BB134" s="226"/>
      <c r="BC134" s="226"/>
      <c r="BD134" s="226"/>
      <c r="BE134" s="226"/>
      <c r="BF134" s="226"/>
      <c r="BG134" s="226"/>
      <c r="BH134" s="226"/>
      <c r="BI134" s="226"/>
      <c r="BJ134" s="226"/>
      <c r="BK134" s="226"/>
      <c r="BL134" s="226"/>
      <c r="BM134" s="226"/>
      <c r="BN134" s="226"/>
      <c r="BO134" s="226"/>
      <c r="BP134" s="226"/>
      <c r="BQ134" s="226"/>
      <c r="BR134" s="226"/>
      <c r="BS134" s="226"/>
      <c r="BT134" s="226"/>
      <c r="BU134" s="226"/>
      <c r="BV134" s="226"/>
      <c r="BW134" s="226"/>
      <c r="BX134" s="226"/>
      <c r="BY134" s="226"/>
      <c r="BZ134" s="226"/>
      <c r="CA134" s="226"/>
      <c r="CB134" s="226"/>
      <c r="CC134" s="226"/>
      <c r="CD134" s="226"/>
      <c r="CE134" s="226"/>
    </row>
    <row r="135" spans="1:83">
      <c r="A135" s="226"/>
      <c r="B135" s="226"/>
      <c r="C135" s="226"/>
      <c r="D135" s="226"/>
      <c r="E135" s="226"/>
      <c r="F135" s="226"/>
      <c r="G135" s="226"/>
      <c r="H135" s="226"/>
      <c r="I135" s="226"/>
      <c r="J135" s="226"/>
      <c r="K135" s="226"/>
      <c r="L135" s="226"/>
      <c r="M135" s="226"/>
      <c r="N135" s="226"/>
      <c r="O135" s="226"/>
      <c r="P135" s="226"/>
      <c r="Q135" s="226"/>
      <c r="R135" s="226"/>
      <c r="S135" s="226"/>
      <c r="T135" s="226"/>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c r="AP135" s="226"/>
      <c r="AQ135" s="226"/>
      <c r="AR135" s="226"/>
      <c r="AS135" s="226"/>
      <c r="AT135" s="226"/>
      <c r="AU135" s="226"/>
      <c r="AV135" s="226"/>
      <c r="AW135" s="226"/>
      <c r="AX135" s="226"/>
      <c r="AY135" s="226"/>
      <c r="AZ135" s="226"/>
      <c r="BA135" s="226"/>
      <c r="BB135" s="226"/>
      <c r="BC135" s="226"/>
      <c r="BD135" s="226"/>
      <c r="BE135" s="226"/>
      <c r="BF135" s="226"/>
      <c r="BG135" s="226"/>
      <c r="BH135" s="226"/>
      <c r="BI135" s="226"/>
      <c r="BJ135" s="226"/>
      <c r="BK135" s="226"/>
      <c r="BL135" s="226"/>
      <c r="BM135" s="226"/>
      <c r="BN135" s="226"/>
      <c r="BO135" s="226"/>
      <c r="BP135" s="226"/>
      <c r="BQ135" s="226"/>
      <c r="BR135" s="226"/>
      <c r="BS135" s="226"/>
      <c r="BT135" s="226"/>
      <c r="BU135" s="226"/>
      <c r="BV135" s="226"/>
      <c r="BW135" s="226"/>
      <c r="BX135" s="226"/>
      <c r="BY135" s="226"/>
      <c r="BZ135" s="226"/>
      <c r="CA135" s="226"/>
      <c r="CB135" s="226"/>
      <c r="CC135" s="226"/>
      <c r="CD135" s="226"/>
      <c r="CE135" s="226"/>
    </row>
    <row r="136" spans="1:83">
      <c r="A136" s="226"/>
      <c r="B136" s="226"/>
      <c r="C136" s="226"/>
      <c r="D136" s="226"/>
      <c r="E136" s="226"/>
      <c r="F136" s="226"/>
      <c r="G136" s="226"/>
      <c r="H136" s="226"/>
      <c r="I136" s="226"/>
      <c r="J136" s="226"/>
      <c r="K136" s="226"/>
      <c r="L136" s="226"/>
      <c r="M136" s="226"/>
      <c r="N136" s="226"/>
      <c r="O136" s="226"/>
      <c r="P136" s="226"/>
      <c r="Q136" s="226"/>
      <c r="R136" s="226"/>
      <c r="S136" s="226"/>
      <c r="T136" s="226"/>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c r="AP136" s="226"/>
      <c r="AQ136" s="226"/>
      <c r="AR136" s="226"/>
      <c r="AS136" s="226"/>
      <c r="AT136" s="226"/>
      <c r="AU136" s="226"/>
      <c r="AV136" s="226"/>
      <c r="AW136" s="226"/>
      <c r="AX136" s="226"/>
      <c r="AY136" s="226"/>
      <c r="AZ136" s="226"/>
      <c r="BA136" s="226"/>
      <c r="BB136" s="226"/>
      <c r="BC136" s="226"/>
      <c r="BD136" s="226"/>
      <c r="BE136" s="226"/>
      <c r="BF136" s="226"/>
      <c r="BG136" s="226"/>
      <c r="BH136" s="226"/>
      <c r="BI136" s="226"/>
      <c r="BJ136" s="226"/>
      <c r="BK136" s="226"/>
      <c r="BL136" s="226"/>
      <c r="BM136" s="226"/>
      <c r="BN136" s="226"/>
      <c r="BO136" s="226"/>
      <c r="BP136" s="226"/>
      <c r="BQ136" s="226"/>
      <c r="BR136" s="226"/>
      <c r="BS136" s="226"/>
      <c r="BT136" s="226"/>
      <c r="BU136" s="226"/>
      <c r="BV136" s="226"/>
      <c r="BW136" s="226"/>
      <c r="BX136" s="226"/>
      <c r="BY136" s="226"/>
      <c r="BZ136" s="226"/>
      <c r="CA136" s="226"/>
      <c r="CB136" s="226"/>
      <c r="CC136" s="226"/>
      <c r="CD136" s="226"/>
      <c r="CE136" s="226"/>
    </row>
    <row r="137" spans="1:83">
      <c r="A137" s="226"/>
      <c r="B137" s="226"/>
      <c r="C137" s="226"/>
      <c r="D137" s="226"/>
      <c r="E137" s="226"/>
      <c r="F137" s="226"/>
      <c r="G137" s="226"/>
      <c r="H137" s="226"/>
      <c r="I137" s="226"/>
      <c r="J137" s="226"/>
      <c r="K137" s="226"/>
      <c r="L137" s="226"/>
      <c r="M137" s="226"/>
      <c r="N137" s="226"/>
      <c r="O137" s="226"/>
      <c r="P137" s="226"/>
      <c r="Q137" s="226"/>
      <c r="R137" s="226"/>
      <c r="S137" s="226"/>
      <c r="T137" s="226"/>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c r="AP137" s="226"/>
      <c r="AQ137" s="226"/>
      <c r="AR137" s="226"/>
      <c r="AS137" s="226"/>
      <c r="AT137" s="226"/>
      <c r="AU137" s="226"/>
      <c r="AV137" s="226"/>
      <c r="AW137" s="226"/>
      <c r="AX137" s="226"/>
      <c r="AY137" s="226"/>
      <c r="AZ137" s="226"/>
      <c r="BA137" s="226"/>
      <c r="BB137" s="226"/>
      <c r="BC137" s="226"/>
      <c r="BD137" s="226"/>
      <c r="BE137" s="226"/>
      <c r="BF137" s="226"/>
      <c r="BG137" s="226"/>
      <c r="BH137" s="226"/>
      <c r="BI137" s="226"/>
      <c r="BJ137" s="226"/>
      <c r="BK137" s="226"/>
      <c r="BL137" s="226"/>
      <c r="BM137" s="226"/>
      <c r="BN137" s="226"/>
      <c r="BO137" s="226"/>
      <c r="BP137" s="226"/>
      <c r="BQ137" s="226"/>
      <c r="BR137" s="226"/>
      <c r="BS137" s="226"/>
      <c r="BT137" s="226"/>
      <c r="BU137" s="226"/>
      <c r="BV137" s="226"/>
      <c r="BW137" s="226"/>
      <c r="BX137" s="226"/>
      <c r="BY137" s="226"/>
      <c r="BZ137" s="226"/>
      <c r="CA137" s="226"/>
      <c r="CB137" s="226"/>
      <c r="CC137" s="226"/>
      <c r="CD137" s="226"/>
      <c r="CE137" s="226"/>
    </row>
    <row r="138" spans="1:83">
      <c r="A138" s="226"/>
      <c r="B138" s="226"/>
      <c r="C138" s="226"/>
      <c r="D138" s="226"/>
      <c r="E138" s="226"/>
      <c r="F138" s="226"/>
      <c r="G138" s="226"/>
      <c r="H138" s="226"/>
      <c r="I138" s="226"/>
      <c r="J138" s="226"/>
      <c r="K138" s="226"/>
      <c r="L138" s="226"/>
      <c r="M138" s="226"/>
      <c r="N138" s="226"/>
      <c r="O138" s="226"/>
      <c r="P138" s="226"/>
      <c r="Q138" s="226"/>
      <c r="R138" s="226"/>
      <c r="S138" s="226"/>
      <c r="T138" s="226"/>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c r="AP138" s="226"/>
      <c r="AQ138" s="226"/>
      <c r="AR138" s="226"/>
      <c r="AS138" s="226"/>
      <c r="AT138" s="226"/>
      <c r="AU138" s="226"/>
      <c r="AV138" s="226"/>
      <c r="AW138" s="226"/>
      <c r="AX138" s="226"/>
      <c r="AY138" s="226"/>
      <c r="AZ138" s="226"/>
      <c r="BA138" s="226"/>
      <c r="BB138" s="226"/>
      <c r="BC138" s="226"/>
      <c r="BD138" s="226"/>
      <c r="BE138" s="226"/>
      <c r="BF138" s="226"/>
      <c r="BG138" s="226"/>
      <c r="BH138" s="226"/>
      <c r="BI138" s="226"/>
      <c r="BJ138" s="226"/>
      <c r="BK138" s="226"/>
      <c r="BL138" s="226"/>
      <c r="BM138" s="226"/>
      <c r="BN138" s="226"/>
      <c r="BO138" s="226"/>
      <c r="BP138" s="226"/>
      <c r="BQ138" s="226"/>
      <c r="BR138" s="226"/>
      <c r="BS138" s="226"/>
      <c r="BT138" s="226"/>
      <c r="BU138" s="226"/>
      <c r="BV138" s="226"/>
      <c r="BW138" s="226"/>
      <c r="BX138" s="226"/>
      <c r="BY138" s="226"/>
      <c r="BZ138" s="226"/>
      <c r="CA138" s="226"/>
      <c r="CB138" s="226"/>
      <c r="CC138" s="226"/>
      <c r="CD138" s="226"/>
      <c r="CE138" s="226"/>
    </row>
    <row r="139" spans="1:83">
      <c r="A139" s="226"/>
      <c r="B139" s="226"/>
      <c r="C139" s="226"/>
      <c r="D139" s="226"/>
      <c r="E139" s="226"/>
      <c r="F139" s="226"/>
      <c r="G139" s="226"/>
      <c r="H139" s="226"/>
      <c r="I139" s="226"/>
      <c r="J139" s="226"/>
      <c r="K139" s="226"/>
      <c r="L139" s="226"/>
      <c r="M139" s="226"/>
      <c r="N139" s="226"/>
      <c r="O139" s="226"/>
      <c r="P139" s="226"/>
      <c r="Q139" s="226"/>
      <c r="R139" s="226"/>
      <c r="S139" s="226"/>
      <c r="T139" s="226"/>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c r="AP139" s="226"/>
      <c r="AQ139" s="226"/>
      <c r="AR139" s="226"/>
      <c r="AS139" s="226"/>
      <c r="AT139" s="226"/>
      <c r="AU139" s="226"/>
      <c r="AV139" s="226"/>
      <c r="AW139" s="226"/>
      <c r="AX139" s="226"/>
      <c r="AY139" s="226"/>
      <c r="AZ139" s="226"/>
      <c r="BA139" s="226"/>
      <c r="BB139" s="226"/>
      <c r="BC139" s="226"/>
      <c r="BD139" s="226"/>
      <c r="BE139" s="226"/>
      <c r="BF139" s="226"/>
      <c r="BG139" s="226"/>
      <c r="BH139" s="226"/>
      <c r="BI139" s="226"/>
      <c r="BJ139" s="226"/>
      <c r="BK139" s="226"/>
      <c r="BL139" s="226"/>
      <c r="BM139" s="226"/>
      <c r="BN139" s="226"/>
      <c r="BO139" s="226"/>
      <c r="BP139" s="226"/>
      <c r="BQ139" s="226"/>
      <c r="BR139" s="226"/>
      <c r="BS139" s="226"/>
      <c r="BT139" s="226"/>
      <c r="BU139" s="226"/>
      <c r="BV139" s="226"/>
      <c r="BW139" s="226"/>
      <c r="BX139" s="226"/>
      <c r="BY139" s="226"/>
      <c r="BZ139" s="226"/>
      <c r="CA139" s="226"/>
      <c r="CB139" s="226"/>
      <c r="CC139" s="226"/>
      <c r="CD139" s="226"/>
      <c r="CE139" s="226"/>
    </row>
    <row r="140" spans="1:83">
      <c r="A140" s="226"/>
      <c r="B140" s="226"/>
      <c r="C140" s="226"/>
      <c r="D140" s="226"/>
      <c r="E140" s="226"/>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c r="AP140" s="226"/>
      <c r="AQ140" s="226"/>
      <c r="AR140" s="226"/>
      <c r="AS140" s="226"/>
      <c r="AT140" s="226"/>
      <c r="AU140" s="226"/>
      <c r="AV140" s="226"/>
      <c r="AW140" s="226"/>
      <c r="AX140" s="226"/>
      <c r="AY140" s="226"/>
      <c r="AZ140" s="226"/>
      <c r="BA140" s="226"/>
      <c r="BB140" s="226"/>
      <c r="BC140" s="226"/>
      <c r="BD140" s="226"/>
      <c r="BE140" s="226"/>
      <c r="BF140" s="226"/>
      <c r="BG140" s="226"/>
      <c r="BH140" s="226"/>
      <c r="BI140" s="226"/>
      <c r="BJ140" s="226"/>
      <c r="BK140" s="226"/>
      <c r="BL140" s="226"/>
      <c r="BM140" s="226"/>
      <c r="BN140" s="226"/>
      <c r="BO140" s="226"/>
      <c r="BP140" s="226"/>
      <c r="BQ140" s="226"/>
      <c r="BR140" s="226"/>
      <c r="BS140" s="226"/>
      <c r="BT140" s="226"/>
      <c r="BU140" s="226"/>
      <c r="BV140" s="226"/>
      <c r="BW140" s="226"/>
      <c r="BX140" s="226"/>
      <c r="BY140" s="226"/>
      <c r="BZ140" s="226"/>
      <c r="CA140" s="226"/>
      <c r="CB140" s="226"/>
      <c r="CC140" s="226"/>
      <c r="CD140" s="226"/>
      <c r="CE140" s="226"/>
    </row>
    <row r="141" spans="1:83">
      <c r="A141" s="226"/>
      <c r="B141" s="226"/>
      <c r="C141" s="226"/>
      <c r="D141" s="226"/>
      <c r="E141" s="226"/>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c r="AP141" s="226"/>
      <c r="AQ141" s="226"/>
      <c r="AR141" s="226"/>
      <c r="AS141" s="226"/>
      <c r="AT141" s="226"/>
      <c r="AU141" s="226"/>
      <c r="AV141" s="226"/>
      <c r="AW141" s="226"/>
      <c r="AX141" s="226"/>
      <c r="AY141" s="226"/>
      <c r="AZ141" s="226"/>
      <c r="BA141" s="226"/>
      <c r="BB141" s="226"/>
      <c r="BC141" s="226"/>
      <c r="BD141" s="226"/>
      <c r="BE141" s="226"/>
      <c r="BF141" s="226"/>
      <c r="BG141" s="226"/>
      <c r="BH141" s="226"/>
      <c r="BI141" s="226"/>
      <c r="BJ141" s="226"/>
      <c r="BK141" s="226"/>
      <c r="BL141" s="226"/>
      <c r="BM141" s="226"/>
      <c r="BN141" s="226"/>
      <c r="BO141" s="226"/>
      <c r="BP141" s="226"/>
      <c r="BQ141" s="226"/>
      <c r="BR141" s="226"/>
      <c r="BS141" s="226"/>
      <c r="BT141" s="226"/>
      <c r="BU141" s="226"/>
      <c r="BV141" s="226"/>
      <c r="BW141" s="226"/>
      <c r="BX141" s="226"/>
      <c r="BY141" s="226"/>
      <c r="BZ141" s="226"/>
      <c r="CA141" s="226"/>
      <c r="CB141" s="226"/>
      <c r="CC141" s="226"/>
      <c r="CD141" s="226"/>
      <c r="CE141" s="226"/>
    </row>
    <row r="142" spans="1:83">
      <c r="A142" s="226"/>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c r="AP142" s="226"/>
      <c r="AQ142" s="226"/>
      <c r="AR142" s="226"/>
      <c r="AS142" s="226"/>
      <c r="AT142" s="226"/>
      <c r="AU142" s="226"/>
      <c r="AV142" s="226"/>
      <c r="AW142" s="226"/>
      <c r="AX142" s="226"/>
      <c r="AY142" s="226"/>
      <c r="AZ142" s="226"/>
      <c r="BA142" s="226"/>
      <c r="BB142" s="226"/>
      <c r="BC142" s="226"/>
      <c r="BD142" s="226"/>
      <c r="BE142" s="226"/>
      <c r="BF142" s="226"/>
      <c r="BG142" s="226"/>
      <c r="BH142" s="226"/>
      <c r="BI142" s="226"/>
      <c r="BJ142" s="226"/>
      <c r="BK142" s="226"/>
      <c r="BL142" s="226"/>
      <c r="BM142" s="226"/>
      <c r="BN142" s="226"/>
      <c r="BO142" s="226"/>
      <c r="BP142" s="226"/>
      <c r="BQ142" s="226"/>
      <c r="BR142" s="226"/>
      <c r="BS142" s="226"/>
      <c r="BT142" s="226"/>
      <c r="BU142" s="226"/>
      <c r="BV142" s="226"/>
      <c r="BW142" s="226"/>
      <c r="BX142" s="226"/>
      <c r="BY142" s="226"/>
      <c r="BZ142" s="226"/>
      <c r="CA142" s="226"/>
      <c r="CB142" s="226"/>
      <c r="CC142" s="226"/>
      <c r="CD142" s="226"/>
      <c r="CE142" s="226"/>
    </row>
    <row r="143" spans="1:83">
      <c r="A143" s="226"/>
      <c r="B143" s="226"/>
      <c r="C143" s="226"/>
      <c r="D143" s="226"/>
      <c r="E143" s="226"/>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c r="AP143" s="226"/>
      <c r="AQ143" s="226"/>
      <c r="AR143" s="226"/>
      <c r="AS143" s="226"/>
      <c r="AT143" s="226"/>
      <c r="AU143" s="226"/>
      <c r="AV143" s="226"/>
      <c r="AW143" s="226"/>
      <c r="AX143" s="226"/>
      <c r="AY143" s="226"/>
      <c r="AZ143" s="226"/>
      <c r="BA143" s="226"/>
      <c r="BB143" s="226"/>
      <c r="BC143" s="226"/>
      <c r="BD143" s="226"/>
      <c r="BE143" s="226"/>
      <c r="BF143" s="226"/>
      <c r="BG143" s="226"/>
      <c r="BH143" s="226"/>
      <c r="BI143" s="226"/>
      <c r="BJ143" s="226"/>
      <c r="BK143" s="226"/>
      <c r="BL143" s="226"/>
      <c r="BM143" s="226"/>
      <c r="BN143" s="226"/>
      <c r="BO143" s="226"/>
      <c r="BP143" s="226"/>
      <c r="BQ143" s="226"/>
      <c r="BR143" s="226"/>
      <c r="BS143" s="226"/>
      <c r="BT143" s="226"/>
      <c r="BU143" s="226"/>
      <c r="BV143" s="226"/>
      <c r="BW143" s="226"/>
      <c r="BX143" s="226"/>
      <c r="BY143" s="226"/>
      <c r="BZ143" s="226"/>
      <c r="CA143" s="226"/>
      <c r="CB143" s="226"/>
      <c r="CC143" s="226"/>
      <c r="CD143" s="226"/>
      <c r="CE143" s="226"/>
    </row>
    <row r="144" spans="1:83">
      <c r="A144" s="226"/>
      <c r="B144" s="226"/>
      <c r="C144" s="226"/>
      <c r="D144" s="226"/>
      <c r="E144" s="226"/>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c r="AP144" s="226"/>
      <c r="AQ144" s="226"/>
      <c r="AR144" s="226"/>
      <c r="AS144" s="226"/>
      <c r="AT144" s="226"/>
      <c r="AU144" s="226"/>
      <c r="AV144" s="226"/>
      <c r="AW144" s="226"/>
      <c r="AX144" s="226"/>
      <c r="AY144" s="226"/>
      <c r="AZ144" s="226"/>
      <c r="BA144" s="226"/>
      <c r="BB144" s="226"/>
      <c r="BC144" s="226"/>
      <c r="BD144" s="226"/>
      <c r="BE144" s="226"/>
      <c r="BF144" s="226"/>
      <c r="BG144" s="226"/>
      <c r="BH144" s="226"/>
      <c r="BI144" s="226"/>
      <c r="BJ144" s="226"/>
      <c r="BK144" s="226"/>
      <c r="BL144" s="226"/>
      <c r="BM144" s="226"/>
      <c r="BN144" s="226"/>
      <c r="BO144" s="226"/>
      <c r="BP144" s="226"/>
      <c r="BQ144" s="226"/>
      <c r="BR144" s="226"/>
      <c r="BS144" s="226"/>
      <c r="BT144" s="226"/>
      <c r="BU144" s="226"/>
      <c r="BV144" s="226"/>
      <c r="BW144" s="226"/>
      <c r="BX144" s="226"/>
      <c r="BY144" s="226"/>
      <c r="BZ144" s="226"/>
      <c r="CA144" s="226"/>
      <c r="CB144" s="226"/>
      <c r="CC144" s="226"/>
      <c r="CD144" s="226"/>
      <c r="CE144" s="226"/>
    </row>
    <row r="145" spans="1:83">
      <c r="A145" s="226"/>
      <c r="B145" s="226"/>
      <c r="C145" s="226"/>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c r="AP145" s="226"/>
      <c r="AQ145" s="226"/>
      <c r="AR145" s="226"/>
      <c r="AS145" s="226"/>
      <c r="AT145" s="226"/>
      <c r="AU145" s="226"/>
      <c r="AV145" s="226"/>
      <c r="AW145" s="226"/>
      <c r="AX145" s="226"/>
      <c r="AY145" s="226"/>
      <c r="AZ145" s="226"/>
      <c r="BA145" s="226"/>
      <c r="BB145" s="226"/>
      <c r="BC145" s="226"/>
      <c r="BD145" s="226"/>
      <c r="BE145" s="226"/>
      <c r="BF145" s="226"/>
      <c r="BG145" s="226"/>
      <c r="BH145" s="226"/>
      <c r="BI145" s="226"/>
      <c r="BJ145" s="226"/>
      <c r="BK145" s="226"/>
      <c r="BL145" s="226"/>
      <c r="BM145" s="226"/>
      <c r="BN145" s="226"/>
      <c r="BO145" s="226"/>
      <c r="BP145" s="226"/>
      <c r="BQ145" s="226"/>
      <c r="BR145" s="226"/>
      <c r="BS145" s="226"/>
      <c r="BT145" s="226"/>
      <c r="BU145" s="226"/>
      <c r="BV145" s="226"/>
      <c r="BW145" s="226"/>
      <c r="BX145" s="226"/>
      <c r="BY145" s="226"/>
      <c r="BZ145" s="226"/>
      <c r="CA145" s="226"/>
      <c r="CB145" s="226"/>
      <c r="CC145" s="226"/>
      <c r="CD145" s="226"/>
      <c r="CE145" s="226"/>
    </row>
    <row r="146" spans="1:83">
      <c r="A146" s="226"/>
      <c r="B146" s="226"/>
      <c r="C146" s="226"/>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c r="AP146" s="226"/>
      <c r="AQ146" s="226"/>
      <c r="AR146" s="226"/>
      <c r="AS146" s="226"/>
      <c r="AT146" s="226"/>
      <c r="AU146" s="226"/>
      <c r="AV146" s="226"/>
      <c r="AW146" s="226"/>
      <c r="AX146" s="226"/>
      <c r="AY146" s="226"/>
      <c r="AZ146" s="226"/>
      <c r="BA146" s="226"/>
      <c r="BB146" s="226"/>
      <c r="BC146" s="226"/>
      <c r="BD146" s="226"/>
      <c r="BE146" s="226"/>
      <c r="BF146" s="226"/>
      <c r="BG146" s="226"/>
      <c r="BH146" s="226"/>
      <c r="BI146" s="226"/>
      <c r="BJ146" s="226"/>
      <c r="BK146" s="226"/>
      <c r="BL146" s="226"/>
      <c r="BM146" s="226"/>
      <c r="BN146" s="226"/>
      <c r="BO146" s="226"/>
      <c r="BP146" s="226"/>
      <c r="BQ146" s="226"/>
      <c r="BR146" s="226"/>
      <c r="BS146" s="226"/>
      <c r="BT146" s="226"/>
      <c r="BU146" s="226"/>
      <c r="BV146" s="226"/>
      <c r="BW146" s="226"/>
      <c r="BX146" s="226"/>
      <c r="BY146" s="226"/>
      <c r="BZ146" s="226"/>
      <c r="CA146" s="226"/>
      <c r="CB146" s="226"/>
      <c r="CC146" s="226"/>
      <c r="CD146" s="226"/>
      <c r="CE146" s="226"/>
    </row>
    <row r="147" spans="1:83">
      <c r="A147" s="226"/>
      <c r="B147" s="226"/>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c r="BQ147" s="226"/>
      <c r="BR147" s="226"/>
      <c r="BS147" s="226"/>
      <c r="BT147" s="226"/>
      <c r="BU147" s="226"/>
      <c r="BV147" s="226"/>
      <c r="BW147" s="226"/>
      <c r="BX147" s="226"/>
      <c r="BY147" s="226"/>
      <c r="BZ147" s="226"/>
      <c r="CA147" s="226"/>
      <c r="CB147" s="226"/>
      <c r="CC147" s="226"/>
      <c r="CD147" s="226"/>
      <c r="CE147" s="226"/>
    </row>
    <row r="148" spans="1:83">
      <c r="A148" s="226"/>
      <c r="B148" s="226"/>
      <c r="C148" s="226"/>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c r="AP148" s="226"/>
      <c r="AQ148" s="226"/>
      <c r="AR148" s="226"/>
      <c r="AS148" s="226"/>
      <c r="AT148" s="226"/>
      <c r="AU148" s="226"/>
      <c r="AV148" s="226"/>
      <c r="AW148" s="226"/>
      <c r="AX148" s="226"/>
      <c r="AY148" s="226"/>
      <c r="AZ148" s="226"/>
      <c r="BA148" s="226"/>
      <c r="BB148" s="226"/>
      <c r="BC148" s="226"/>
      <c r="BD148" s="226"/>
      <c r="BE148" s="226"/>
      <c r="BF148" s="226"/>
      <c r="BG148" s="226"/>
      <c r="BH148" s="226"/>
      <c r="BI148" s="226"/>
      <c r="BJ148" s="226"/>
      <c r="BK148" s="226"/>
      <c r="BL148" s="226"/>
      <c r="BM148" s="226"/>
      <c r="BN148" s="226"/>
      <c r="BO148" s="226"/>
      <c r="BP148" s="226"/>
      <c r="BQ148" s="226"/>
      <c r="BR148" s="226"/>
      <c r="BS148" s="226"/>
      <c r="BT148" s="226"/>
      <c r="BU148" s="226"/>
      <c r="BV148" s="226"/>
      <c r="BW148" s="226"/>
      <c r="BX148" s="226"/>
      <c r="BY148" s="226"/>
      <c r="BZ148" s="226"/>
      <c r="CA148" s="226"/>
      <c r="CB148" s="226"/>
      <c r="CC148" s="226"/>
      <c r="CD148" s="226"/>
      <c r="CE148" s="226"/>
    </row>
    <row r="149" spans="1:83">
      <c r="A149" s="226"/>
      <c r="B149" s="226"/>
      <c r="C149" s="226"/>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c r="AP149" s="226"/>
      <c r="AQ149" s="226"/>
      <c r="AR149" s="226"/>
      <c r="AS149" s="226"/>
      <c r="AT149" s="226"/>
      <c r="AU149" s="226"/>
      <c r="AV149" s="226"/>
      <c r="AW149" s="226"/>
      <c r="AX149" s="226"/>
      <c r="AY149" s="226"/>
      <c r="AZ149" s="226"/>
      <c r="BA149" s="226"/>
      <c r="BB149" s="226"/>
      <c r="BC149" s="226"/>
      <c r="BD149" s="226"/>
      <c r="BE149" s="226"/>
      <c r="BF149" s="226"/>
      <c r="BG149" s="226"/>
      <c r="BH149" s="226"/>
      <c r="BI149" s="226"/>
      <c r="BJ149" s="226"/>
      <c r="BK149" s="226"/>
      <c r="BL149" s="226"/>
      <c r="BM149" s="226"/>
      <c r="BN149" s="226"/>
      <c r="BO149" s="226"/>
      <c r="BP149" s="226"/>
      <c r="BQ149" s="226"/>
      <c r="BR149" s="226"/>
      <c r="BS149" s="226"/>
      <c r="BT149" s="226"/>
      <c r="BU149" s="226"/>
      <c r="BV149" s="226"/>
      <c r="BW149" s="226"/>
      <c r="BX149" s="226"/>
      <c r="BY149" s="226"/>
      <c r="BZ149" s="226"/>
      <c r="CA149" s="226"/>
      <c r="CB149" s="226"/>
      <c r="CC149" s="226"/>
      <c r="CD149" s="226"/>
      <c r="CE149" s="226"/>
    </row>
    <row r="150" spans="1:83">
      <c r="A150" s="226"/>
      <c r="B150" s="226"/>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c r="AP150" s="226"/>
      <c r="AQ150" s="226"/>
      <c r="AR150" s="226"/>
      <c r="AS150" s="226"/>
      <c r="AT150" s="226"/>
      <c r="AU150" s="226"/>
      <c r="AV150" s="226"/>
      <c r="AW150" s="226"/>
      <c r="AX150" s="226"/>
      <c r="AY150" s="226"/>
      <c r="AZ150" s="226"/>
      <c r="BA150" s="226"/>
      <c r="BB150" s="226"/>
      <c r="BC150" s="226"/>
      <c r="BD150" s="226"/>
      <c r="BE150" s="226"/>
      <c r="BF150" s="226"/>
      <c r="BG150" s="226"/>
      <c r="BH150" s="226"/>
      <c r="BI150" s="226"/>
      <c r="BJ150" s="226"/>
      <c r="BK150" s="226"/>
      <c r="BL150" s="226"/>
      <c r="BM150" s="226"/>
      <c r="BN150" s="226"/>
      <c r="BO150" s="226"/>
      <c r="BP150" s="226"/>
      <c r="BQ150" s="226"/>
      <c r="BR150" s="226"/>
      <c r="BS150" s="226"/>
      <c r="BT150" s="226"/>
      <c r="BU150" s="226"/>
      <c r="BV150" s="226"/>
      <c r="BW150" s="226"/>
      <c r="BX150" s="226"/>
      <c r="BY150" s="226"/>
      <c r="BZ150" s="226"/>
      <c r="CA150" s="226"/>
      <c r="CB150" s="226"/>
      <c r="CC150" s="226"/>
      <c r="CD150" s="226"/>
      <c r="CE150" s="226"/>
    </row>
    <row r="151" spans="1:83">
      <c r="A151" s="226"/>
      <c r="B151" s="226"/>
      <c r="C151" s="226"/>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c r="AP151" s="226"/>
      <c r="AQ151" s="226"/>
      <c r="AR151" s="226"/>
      <c r="AS151" s="226"/>
      <c r="AT151" s="226"/>
      <c r="AU151" s="226"/>
      <c r="AV151" s="226"/>
      <c r="AW151" s="226"/>
      <c r="AX151" s="226"/>
      <c r="AY151" s="226"/>
      <c r="AZ151" s="226"/>
      <c r="BA151" s="226"/>
      <c r="BB151" s="226"/>
      <c r="BC151" s="226"/>
      <c r="BD151" s="226"/>
      <c r="BE151" s="226"/>
      <c r="BF151" s="226"/>
      <c r="BG151" s="226"/>
      <c r="BH151" s="226"/>
      <c r="BI151" s="226"/>
      <c r="BJ151" s="226"/>
      <c r="BK151" s="226"/>
      <c r="BL151" s="226"/>
      <c r="BM151" s="226"/>
      <c r="BN151" s="226"/>
      <c r="BO151" s="226"/>
      <c r="BP151" s="226"/>
      <c r="BQ151" s="226"/>
      <c r="BR151" s="226"/>
      <c r="BS151" s="226"/>
      <c r="BT151" s="226"/>
      <c r="BU151" s="226"/>
      <c r="BV151" s="226"/>
      <c r="BW151" s="226"/>
      <c r="BX151" s="226"/>
      <c r="BY151" s="226"/>
      <c r="BZ151" s="226"/>
      <c r="CA151" s="226"/>
      <c r="CB151" s="226"/>
      <c r="CC151" s="226"/>
      <c r="CD151" s="226"/>
      <c r="CE151" s="226"/>
    </row>
    <row r="152" spans="1:83">
      <c r="A152" s="226"/>
      <c r="B152" s="226"/>
      <c r="C152" s="226"/>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c r="AP152" s="226"/>
      <c r="AQ152" s="226"/>
      <c r="AR152" s="226"/>
      <c r="AS152" s="226"/>
      <c r="AT152" s="226"/>
      <c r="AU152" s="226"/>
      <c r="AV152" s="226"/>
      <c r="AW152" s="226"/>
      <c r="AX152" s="226"/>
      <c r="AY152" s="226"/>
      <c r="AZ152" s="226"/>
      <c r="BA152" s="226"/>
      <c r="BB152" s="226"/>
      <c r="BC152" s="226"/>
      <c r="BD152" s="226"/>
      <c r="BE152" s="226"/>
      <c r="BF152" s="226"/>
      <c r="BG152" s="226"/>
      <c r="BH152" s="226"/>
      <c r="BI152" s="226"/>
      <c r="BJ152" s="226"/>
      <c r="BK152" s="226"/>
      <c r="BL152" s="226"/>
      <c r="BM152" s="226"/>
      <c r="BN152" s="226"/>
      <c r="BO152" s="226"/>
      <c r="BP152" s="226"/>
      <c r="BQ152" s="226"/>
      <c r="BR152" s="226"/>
      <c r="BS152" s="226"/>
      <c r="BT152" s="226"/>
      <c r="BU152" s="226"/>
      <c r="BV152" s="226"/>
      <c r="BW152" s="226"/>
      <c r="BX152" s="226"/>
      <c r="BY152" s="226"/>
      <c r="BZ152" s="226"/>
      <c r="CA152" s="226"/>
      <c r="CB152" s="226"/>
      <c r="CC152" s="226"/>
      <c r="CD152" s="226"/>
      <c r="CE152" s="226"/>
    </row>
    <row r="153" spans="1:83">
      <c r="A153" s="226"/>
      <c r="B153" s="226"/>
      <c r="C153" s="226"/>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c r="AP153" s="226"/>
      <c r="AQ153" s="226"/>
      <c r="AR153" s="226"/>
      <c r="AS153" s="226"/>
      <c r="AT153" s="226"/>
      <c r="AU153" s="226"/>
      <c r="AV153" s="226"/>
      <c r="AW153" s="226"/>
      <c r="AX153" s="226"/>
      <c r="AY153" s="226"/>
      <c r="AZ153" s="226"/>
      <c r="BA153" s="226"/>
      <c r="BB153" s="226"/>
      <c r="BC153" s="226"/>
      <c r="BD153" s="226"/>
      <c r="BE153" s="226"/>
      <c r="BF153" s="226"/>
      <c r="BG153" s="226"/>
      <c r="BH153" s="226"/>
      <c r="BI153" s="226"/>
      <c r="BJ153" s="226"/>
      <c r="BK153" s="226"/>
      <c r="BL153" s="226"/>
      <c r="BM153" s="226"/>
      <c r="BN153" s="226"/>
      <c r="BO153" s="226"/>
      <c r="BP153" s="226"/>
      <c r="BQ153" s="226"/>
      <c r="BR153" s="226"/>
      <c r="BS153" s="226"/>
      <c r="BT153" s="226"/>
      <c r="BU153" s="226"/>
      <c r="BV153" s="226"/>
      <c r="BW153" s="226"/>
      <c r="BX153" s="226"/>
      <c r="BY153" s="226"/>
      <c r="BZ153" s="226"/>
      <c r="CA153" s="226"/>
      <c r="CB153" s="226"/>
      <c r="CC153" s="226"/>
      <c r="CD153" s="226"/>
      <c r="CE153" s="226"/>
    </row>
    <row r="154" spans="1:83">
      <c r="A154" s="226"/>
      <c r="B154" s="226"/>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c r="AP154" s="226"/>
      <c r="AQ154" s="226"/>
      <c r="AR154" s="226"/>
      <c r="AS154" s="226"/>
      <c r="AT154" s="226"/>
      <c r="AU154" s="226"/>
      <c r="AV154" s="226"/>
      <c r="AW154" s="226"/>
      <c r="AX154" s="226"/>
      <c r="AY154" s="226"/>
      <c r="AZ154" s="226"/>
      <c r="BA154" s="226"/>
      <c r="BB154" s="226"/>
      <c r="BC154" s="226"/>
      <c r="BD154" s="226"/>
      <c r="BE154" s="226"/>
      <c r="BF154" s="226"/>
      <c r="BG154" s="226"/>
      <c r="BH154" s="226"/>
      <c r="BI154" s="226"/>
      <c r="BJ154" s="226"/>
      <c r="BK154" s="226"/>
      <c r="BL154" s="226"/>
      <c r="BM154" s="226"/>
      <c r="BN154" s="226"/>
      <c r="BO154" s="226"/>
      <c r="BP154" s="226"/>
      <c r="BQ154" s="226"/>
      <c r="BR154" s="226"/>
      <c r="BS154" s="226"/>
      <c r="BT154" s="226"/>
      <c r="BU154" s="226"/>
      <c r="BV154" s="226"/>
      <c r="BW154" s="226"/>
      <c r="BX154" s="226"/>
      <c r="BY154" s="226"/>
      <c r="BZ154" s="226"/>
      <c r="CA154" s="226"/>
      <c r="CB154" s="226"/>
      <c r="CC154" s="226"/>
      <c r="CD154" s="226"/>
      <c r="CE154" s="226"/>
    </row>
    <row r="155" spans="1:83">
      <c r="A155" s="226"/>
      <c r="B155" s="226"/>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c r="AP155" s="226"/>
      <c r="AQ155" s="226"/>
      <c r="AR155" s="226"/>
      <c r="AS155" s="226"/>
      <c r="AT155" s="226"/>
      <c r="AU155" s="226"/>
      <c r="AV155" s="226"/>
      <c r="AW155" s="226"/>
      <c r="AX155" s="226"/>
      <c r="AY155" s="226"/>
      <c r="AZ155" s="226"/>
      <c r="BA155" s="226"/>
      <c r="BB155" s="226"/>
      <c r="BC155" s="226"/>
      <c r="BD155" s="226"/>
      <c r="BE155" s="226"/>
      <c r="BF155" s="226"/>
      <c r="BG155" s="226"/>
      <c r="BH155" s="226"/>
      <c r="BI155" s="226"/>
      <c r="BJ155" s="226"/>
      <c r="BK155" s="226"/>
      <c r="BL155" s="226"/>
      <c r="BM155" s="226"/>
      <c r="BN155" s="226"/>
      <c r="BO155" s="226"/>
      <c r="BP155" s="226"/>
      <c r="BQ155" s="226"/>
      <c r="BR155" s="226"/>
      <c r="BS155" s="226"/>
      <c r="BT155" s="226"/>
      <c r="BU155" s="226"/>
      <c r="BV155" s="226"/>
      <c r="BW155" s="226"/>
      <c r="BX155" s="226"/>
      <c r="BY155" s="226"/>
      <c r="BZ155" s="226"/>
      <c r="CA155" s="226"/>
      <c r="CB155" s="226"/>
      <c r="CC155" s="226"/>
      <c r="CD155" s="226"/>
      <c r="CE155" s="226"/>
    </row>
    <row r="156" spans="1:83">
      <c r="A156" s="226"/>
      <c r="B156" s="226"/>
      <c r="C156" s="226"/>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c r="AP156" s="226"/>
      <c r="AQ156" s="226"/>
      <c r="AR156" s="226"/>
      <c r="AS156" s="226"/>
      <c r="AT156" s="226"/>
      <c r="AU156" s="226"/>
      <c r="AV156" s="226"/>
      <c r="AW156" s="226"/>
      <c r="AX156" s="226"/>
      <c r="AY156" s="226"/>
      <c r="AZ156" s="226"/>
      <c r="BA156" s="226"/>
      <c r="BB156" s="226"/>
      <c r="BC156" s="226"/>
      <c r="BD156" s="226"/>
      <c r="BE156" s="226"/>
      <c r="BF156" s="226"/>
      <c r="BG156" s="226"/>
      <c r="BH156" s="226"/>
      <c r="BI156" s="226"/>
      <c r="BJ156" s="226"/>
      <c r="BK156" s="226"/>
      <c r="BL156" s="226"/>
      <c r="BM156" s="226"/>
      <c r="BN156" s="226"/>
      <c r="BO156" s="226"/>
      <c r="BP156" s="226"/>
      <c r="BQ156" s="226"/>
      <c r="BR156" s="226"/>
      <c r="BS156" s="226"/>
      <c r="BT156" s="226"/>
      <c r="BU156" s="226"/>
      <c r="BV156" s="226"/>
      <c r="BW156" s="226"/>
      <c r="BX156" s="226"/>
      <c r="BY156" s="226"/>
      <c r="BZ156" s="226"/>
      <c r="CA156" s="226"/>
      <c r="CB156" s="226"/>
      <c r="CC156" s="226"/>
      <c r="CD156" s="226"/>
      <c r="CE156" s="226"/>
    </row>
    <row r="157" spans="1:83">
      <c r="A157" s="226"/>
      <c r="B157" s="226"/>
      <c r="C157" s="226"/>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c r="AP157" s="226"/>
      <c r="AQ157" s="226"/>
      <c r="AR157" s="226"/>
      <c r="AS157" s="226"/>
      <c r="AT157" s="226"/>
      <c r="AU157" s="226"/>
      <c r="AV157" s="226"/>
      <c r="AW157" s="226"/>
      <c r="AX157" s="226"/>
      <c r="AY157" s="226"/>
      <c r="AZ157" s="226"/>
      <c r="BA157" s="226"/>
      <c r="BB157" s="226"/>
      <c r="BC157" s="226"/>
      <c r="BD157" s="226"/>
      <c r="BE157" s="226"/>
      <c r="BF157" s="226"/>
      <c r="BG157" s="226"/>
      <c r="BH157" s="226"/>
      <c r="BI157" s="226"/>
      <c r="BJ157" s="226"/>
      <c r="BK157" s="226"/>
      <c r="BL157" s="226"/>
      <c r="BM157" s="226"/>
      <c r="BN157" s="226"/>
      <c r="BO157" s="226"/>
      <c r="BP157" s="226"/>
      <c r="BQ157" s="226"/>
      <c r="BR157" s="226"/>
      <c r="BS157" s="226"/>
      <c r="BT157" s="226"/>
      <c r="BU157" s="226"/>
      <c r="BV157" s="226"/>
      <c r="BW157" s="226"/>
      <c r="BX157" s="226"/>
      <c r="BY157" s="226"/>
      <c r="BZ157" s="226"/>
      <c r="CA157" s="226"/>
      <c r="CB157" s="226"/>
      <c r="CC157" s="226"/>
      <c r="CD157" s="226"/>
      <c r="CE157" s="226"/>
    </row>
    <row r="158" spans="1:83">
      <c r="A158" s="226"/>
      <c r="B158" s="226"/>
      <c r="C158" s="226"/>
      <c r="D158" s="226"/>
      <c r="E158" s="226"/>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c r="AP158" s="226"/>
      <c r="AQ158" s="226"/>
      <c r="AR158" s="226"/>
      <c r="AS158" s="226"/>
      <c r="AT158" s="226"/>
      <c r="AU158" s="226"/>
      <c r="AV158" s="226"/>
      <c r="AW158" s="226"/>
      <c r="AX158" s="226"/>
      <c r="AY158" s="226"/>
      <c r="AZ158" s="226"/>
      <c r="BA158" s="226"/>
      <c r="BB158" s="226"/>
      <c r="BC158" s="226"/>
      <c r="BD158" s="226"/>
      <c r="BE158" s="226"/>
      <c r="BF158" s="226"/>
      <c r="BG158" s="226"/>
      <c r="BH158" s="226"/>
      <c r="BI158" s="226"/>
      <c r="BJ158" s="226"/>
      <c r="BK158" s="226"/>
      <c r="BL158" s="226"/>
      <c r="BM158" s="226"/>
      <c r="BN158" s="226"/>
      <c r="BO158" s="226"/>
      <c r="BP158" s="226"/>
      <c r="BQ158" s="226"/>
      <c r="BR158" s="226"/>
      <c r="BS158" s="226"/>
      <c r="BT158" s="226"/>
      <c r="BU158" s="226"/>
      <c r="BV158" s="226"/>
      <c r="BW158" s="226"/>
      <c r="BX158" s="226"/>
      <c r="BY158" s="226"/>
      <c r="BZ158" s="226"/>
      <c r="CA158" s="226"/>
      <c r="CB158" s="226"/>
      <c r="CC158" s="226"/>
      <c r="CD158" s="226"/>
      <c r="CE158" s="226"/>
    </row>
    <row r="159" spans="1:83">
      <c r="A159" s="226"/>
      <c r="B159" s="226"/>
      <c r="C159" s="226"/>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c r="AP159" s="226"/>
      <c r="AQ159" s="226"/>
      <c r="AR159" s="226"/>
      <c r="AS159" s="226"/>
      <c r="AT159" s="226"/>
      <c r="AU159" s="226"/>
      <c r="AV159" s="226"/>
      <c r="AW159" s="226"/>
      <c r="AX159" s="226"/>
      <c r="AY159" s="226"/>
      <c r="AZ159" s="226"/>
      <c r="BA159" s="226"/>
      <c r="BB159" s="226"/>
      <c r="BC159" s="226"/>
      <c r="BD159" s="226"/>
      <c r="BE159" s="226"/>
      <c r="BF159" s="226"/>
      <c r="BG159" s="226"/>
      <c r="BH159" s="226"/>
      <c r="BI159" s="226"/>
      <c r="BJ159" s="226"/>
      <c r="BK159" s="226"/>
      <c r="BL159" s="226"/>
      <c r="BM159" s="226"/>
      <c r="BN159" s="226"/>
      <c r="BO159" s="226"/>
      <c r="BP159" s="226"/>
      <c r="BQ159" s="226"/>
      <c r="BR159" s="226"/>
      <c r="BS159" s="226"/>
      <c r="BT159" s="226"/>
      <c r="BU159" s="226"/>
      <c r="BV159" s="226"/>
      <c r="BW159" s="226"/>
      <c r="BX159" s="226"/>
      <c r="BY159" s="226"/>
      <c r="BZ159" s="226"/>
      <c r="CA159" s="226"/>
      <c r="CB159" s="226"/>
      <c r="CC159" s="226"/>
      <c r="CD159" s="226"/>
      <c r="CE159" s="226"/>
    </row>
    <row r="160" spans="1:83">
      <c r="A160" s="226"/>
      <c r="B160" s="226"/>
      <c r="C160" s="226"/>
      <c r="D160" s="226"/>
      <c r="E160" s="226"/>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c r="AP160" s="226"/>
      <c r="AQ160" s="226"/>
      <c r="AR160" s="226"/>
      <c r="AS160" s="226"/>
      <c r="AT160" s="226"/>
      <c r="AU160" s="226"/>
      <c r="AV160" s="226"/>
      <c r="AW160" s="226"/>
      <c r="AX160" s="226"/>
      <c r="AY160" s="226"/>
      <c r="AZ160" s="226"/>
      <c r="BA160" s="226"/>
      <c r="BB160" s="226"/>
      <c r="BC160" s="226"/>
      <c r="BD160" s="226"/>
      <c r="BE160" s="226"/>
      <c r="BF160" s="226"/>
      <c r="BG160" s="226"/>
      <c r="BH160" s="226"/>
      <c r="BI160" s="226"/>
      <c r="BJ160" s="226"/>
      <c r="BK160" s="226"/>
      <c r="BL160" s="226"/>
      <c r="BM160" s="226"/>
      <c r="BN160" s="226"/>
      <c r="BO160" s="226"/>
      <c r="BP160" s="226"/>
      <c r="BQ160" s="226"/>
      <c r="BR160" s="226"/>
      <c r="BS160" s="226"/>
      <c r="BT160" s="226"/>
      <c r="BU160" s="226"/>
      <c r="BV160" s="226"/>
      <c r="BW160" s="226"/>
      <c r="BX160" s="226"/>
      <c r="BY160" s="226"/>
      <c r="BZ160" s="226"/>
      <c r="CA160" s="226"/>
      <c r="CB160" s="226"/>
      <c r="CC160" s="226"/>
      <c r="CD160" s="226"/>
      <c r="CE160" s="226"/>
    </row>
    <row r="161" spans="1:83">
      <c r="A161" s="226"/>
      <c r="B161" s="226"/>
      <c r="C161" s="226"/>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c r="AP161" s="226"/>
      <c r="AQ161" s="226"/>
      <c r="AR161" s="226"/>
      <c r="AS161" s="226"/>
      <c r="AT161" s="226"/>
      <c r="AU161" s="226"/>
      <c r="AV161" s="226"/>
      <c r="AW161" s="226"/>
      <c r="AX161" s="226"/>
      <c r="AY161" s="226"/>
      <c r="AZ161" s="226"/>
      <c r="BA161" s="226"/>
      <c r="BB161" s="226"/>
      <c r="BC161" s="226"/>
      <c r="BD161" s="226"/>
      <c r="BE161" s="226"/>
      <c r="BF161" s="226"/>
      <c r="BG161" s="226"/>
      <c r="BH161" s="226"/>
      <c r="BI161" s="226"/>
      <c r="BJ161" s="226"/>
      <c r="BK161" s="226"/>
      <c r="BL161" s="226"/>
      <c r="BM161" s="226"/>
      <c r="BN161" s="226"/>
      <c r="BO161" s="226"/>
      <c r="BP161" s="226"/>
      <c r="BQ161" s="226"/>
      <c r="BR161" s="226"/>
      <c r="BS161" s="226"/>
      <c r="BT161" s="226"/>
      <c r="BU161" s="226"/>
      <c r="BV161" s="226"/>
      <c r="BW161" s="226"/>
      <c r="BX161" s="226"/>
      <c r="BY161" s="226"/>
      <c r="BZ161" s="226"/>
      <c r="CA161" s="226"/>
      <c r="CB161" s="226"/>
      <c r="CC161" s="226"/>
      <c r="CD161" s="226"/>
      <c r="CE161" s="226"/>
    </row>
    <row r="162" spans="1:83">
      <c r="A162" s="226"/>
      <c r="B162" s="226"/>
      <c r="C162" s="226"/>
      <c r="D162" s="226"/>
      <c r="E162" s="226"/>
      <c r="F162" s="226"/>
      <c r="G162" s="226"/>
      <c r="H162" s="226"/>
      <c r="I162" s="226"/>
      <c r="J162" s="226"/>
      <c r="K162" s="226"/>
      <c r="L162" s="226"/>
      <c r="M162" s="226"/>
      <c r="N162" s="226"/>
      <c r="O162" s="226"/>
      <c r="P162" s="226"/>
      <c r="Q162" s="226"/>
      <c r="R162" s="226"/>
      <c r="S162" s="226"/>
      <c r="T162" s="226"/>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c r="AP162" s="226"/>
      <c r="AQ162" s="226"/>
      <c r="AR162" s="226"/>
      <c r="AS162" s="226"/>
      <c r="AT162" s="226"/>
      <c r="AU162" s="226"/>
      <c r="AV162" s="226"/>
      <c r="AW162" s="226"/>
      <c r="AX162" s="226"/>
      <c r="AY162" s="226"/>
      <c r="AZ162" s="226"/>
      <c r="BA162" s="226"/>
      <c r="BB162" s="226"/>
      <c r="BC162" s="226"/>
      <c r="BD162" s="226"/>
      <c r="BE162" s="226"/>
      <c r="BF162" s="226"/>
      <c r="BG162" s="226"/>
      <c r="BH162" s="226"/>
      <c r="BI162" s="226"/>
      <c r="BJ162" s="226"/>
      <c r="BK162" s="226"/>
      <c r="BL162" s="226"/>
      <c r="BM162" s="226"/>
      <c r="BN162" s="226"/>
      <c r="BO162" s="226"/>
      <c r="BP162" s="226"/>
      <c r="BQ162" s="226"/>
      <c r="BR162" s="226"/>
      <c r="BS162" s="226"/>
      <c r="BT162" s="226"/>
      <c r="BU162" s="226"/>
      <c r="BV162" s="226"/>
      <c r="BW162" s="226"/>
      <c r="BX162" s="226"/>
      <c r="BY162" s="226"/>
      <c r="BZ162" s="226"/>
      <c r="CA162" s="226"/>
      <c r="CB162" s="226"/>
      <c r="CC162" s="226"/>
      <c r="CD162" s="226"/>
      <c r="CE162" s="226"/>
    </row>
    <row r="163" spans="1:83">
      <c r="A163" s="226"/>
      <c r="B163" s="226"/>
      <c r="C163" s="226"/>
      <c r="D163" s="226"/>
      <c r="E163" s="226"/>
      <c r="F163" s="226"/>
      <c r="G163" s="226"/>
      <c r="H163" s="226"/>
      <c r="I163" s="226"/>
      <c r="J163" s="226"/>
      <c r="K163" s="226"/>
      <c r="L163" s="226"/>
      <c r="M163" s="226"/>
      <c r="N163" s="226"/>
      <c r="O163" s="226"/>
      <c r="P163" s="226"/>
      <c r="Q163" s="226"/>
      <c r="R163" s="226"/>
      <c r="S163" s="226"/>
      <c r="T163" s="226"/>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c r="AP163" s="226"/>
      <c r="AQ163" s="226"/>
      <c r="AR163" s="226"/>
      <c r="AS163" s="226"/>
      <c r="AT163" s="226"/>
      <c r="AU163" s="226"/>
      <c r="AV163" s="226"/>
      <c r="AW163" s="226"/>
      <c r="AX163" s="226"/>
      <c r="AY163" s="226"/>
      <c r="AZ163" s="226"/>
      <c r="BA163" s="226"/>
      <c r="BB163" s="226"/>
      <c r="BC163" s="226"/>
      <c r="BD163" s="226"/>
      <c r="BE163" s="226"/>
      <c r="BF163" s="226"/>
      <c r="BG163" s="226"/>
      <c r="BH163" s="226"/>
      <c r="BI163" s="226"/>
      <c r="BJ163" s="226"/>
      <c r="BK163" s="226"/>
      <c r="BL163" s="226"/>
      <c r="BM163" s="226"/>
      <c r="BN163" s="226"/>
      <c r="BO163" s="226"/>
      <c r="BP163" s="226"/>
      <c r="BQ163" s="226"/>
      <c r="BR163" s="226"/>
      <c r="BS163" s="226"/>
      <c r="BT163" s="226"/>
      <c r="BU163" s="226"/>
      <c r="BV163" s="226"/>
      <c r="BW163" s="226"/>
      <c r="BX163" s="226"/>
      <c r="BY163" s="226"/>
      <c r="BZ163" s="226"/>
      <c r="CA163" s="226"/>
      <c r="CB163" s="226"/>
      <c r="CC163" s="226"/>
      <c r="CD163" s="226"/>
      <c r="CE163" s="226"/>
    </row>
    <row r="164" spans="1:83">
      <c r="A164" s="226"/>
      <c r="B164" s="226"/>
      <c r="C164" s="226"/>
      <c r="D164" s="226"/>
      <c r="E164" s="226"/>
      <c r="F164" s="226"/>
      <c r="G164" s="226"/>
      <c r="H164" s="226"/>
      <c r="I164" s="226"/>
      <c r="J164" s="226"/>
      <c r="K164" s="226"/>
      <c r="L164" s="226"/>
      <c r="M164" s="226"/>
      <c r="N164" s="226"/>
      <c r="O164" s="226"/>
      <c r="P164" s="226"/>
      <c r="Q164" s="226"/>
      <c r="R164" s="226"/>
      <c r="S164" s="226"/>
      <c r="T164" s="226"/>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c r="AP164" s="226"/>
      <c r="AQ164" s="226"/>
      <c r="AR164" s="226"/>
      <c r="AS164" s="226"/>
      <c r="AT164" s="226"/>
      <c r="AU164" s="226"/>
      <c r="AV164" s="226"/>
      <c r="AW164" s="226"/>
      <c r="AX164" s="226"/>
      <c r="AY164" s="226"/>
      <c r="AZ164" s="226"/>
      <c r="BA164" s="226"/>
      <c r="BB164" s="226"/>
      <c r="BC164" s="226"/>
      <c r="BD164" s="226"/>
      <c r="BE164" s="226"/>
      <c r="BF164" s="226"/>
      <c r="BG164" s="226"/>
      <c r="BH164" s="226"/>
      <c r="BI164" s="226"/>
      <c r="BJ164" s="226"/>
      <c r="BK164" s="226"/>
      <c r="BL164" s="226"/>
      <c r="BM164" s="226"/>
      <c r="BN164" s="226"/>
      <c r="BO164" s="226"/>
      <c r="BP164" s="226"/>
      <c r="BQ164" s="226"/>
      <c r="BR164" s="226"/>
      <c r="BS164" s="226"/>
      <c r="BT164" s="226"/>
      <c r="BU164" s="226"/>
      <c r="BV164" s="226"/>
      <c r="BW164" s="226"/>
      <c r="BX164" s="226"/>
      <c r="BY164" s="226"/>
      <c r="BZ164" s="226"/>
      <c r="CA164" s="226"/>
      <c r="CB164" s="226"/>
      <c r="CC164" s="226"/>
      <c r="CD164" s="226"/>
      <c r="CE164" s="226"/>
    </row>
    <row r="165" spans="1:83">
      <c r="A165" s="226"/>
      <c r="B165" s="226"/>
      <c r="C165" s="226"/>
      <c r="D165" s="226"/>
      <c r="E165" s="226"/>
      <c r="F165" s="226"/>
      <c r="G165" s="226"/>
      <c r="H165" s="226"/>
      <c r="I165" s="226"/>
      <c r="J165" s="226"/>
      <c r="K165" s="226"/>
      <c r="L165" s="226"/>
      <c r="M165" s="226"/>
      <c r="N165" s="226"/>
      <c r="O165" s="226"/>
      <c r="P165" s="226"/>
      <c r="Q165" s="226"/>
      <c r="R165" s="226"/>
      <c r="S165" s="226"/>
      <c r="T165" s="226"/>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c r="AP165" s="226"/>
      <c r="AQ165" s="226"/>
      <c r="AR165" s="226"/>
      <c r="AS165" s="226"/>
      <c r="AT165" s="226"/>
      <c r="AU165" s="226"/>
      <c r="AV165" s="226"/>
      <c r="AW165" s="226"/>
      <c r="AX165" s="226"/>
      <c r="AY165" s="226"/>
      <c r="AZ165" s="226"/>
      <c r="BA165" s="226"/>
      <c r="BB165" s="226"/>
      <c r="BC165" s="226"/>
      <c r="BD165" s="226"/>
      <c r="BE165" s="226"/>
      <c r="BF165" s="226"/>
      <c r="BG165" s="226"/>
      <c r="BH165" s="226"/>
      <c r="BI165" s="226"/>
      <c r="BJ165" s="226"/>
      <c r="BK165" s="226"/>
      <c r="BL165" s="226"/>
      <c r="BM165" s="226"/>
      <c r="BN165" s="226"/>
      <c r="BO165" s="226"/>
      <c r="BP165" s="226"/>
      <c r="BQ165" s="226"/>
      <c r="BR165" s="226"/>
      <c r="BS165" s="226"/>
      <c r="BT165" s="226"/>
      <c r="BU165" s="226"/>
      <c r="BV165" s="226"/>
      <c r="BW165" s="226"/>
      <c r="BX165" s="226"/>
      <c r="BY165" s="226"/>
      <c r="BZ165" s="226"/>
      <c r="CA165" s="226"/>
      <c r="CB165" s="226"/>
      <c r="CC165" s="226"/>
      <c r="CD165" s="226"/>
      <c r="CE165" s="226"/>
    </row>
    <row r="166" spans="1:83">
      <c r="A166" s="226"/>
      <c r="B166" s="226"/>
      <c r="C166" s="226"/>
      <c r="D166" s="226"/>
      <c r="E166" s="226"/>
      <c r="F166" s="226"/>
      <c r="G166" s="226"/>
      <c r="H166" s="226"/>
      <c r="I166" s="226"/>
      <c r="J166" s="226"/>
      <c r="K166" s="226"/>
      <c r="L166" s="226"/>
      <c r="M166" s="226"/>
      <c r="N166" s="226"/>
      <c r="O166" s="226"/>
      <c r="P166" s="226"/>
      <c r="Q166" s="226"/>
      <c r="R166" s="226"/>
      <c r="S166" s="226"/>
      <c r="T166" s="226"/>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c r="BQ166" s="226"/>
      <c r="BR166" s="226"/>
      <c r="BS166" s="226"/>
      <c r="BT166" s="226"/>
      <c r="BU166" s="226"/>
      <c r="BV166" s="226"/>
      <c r="BW166" s="226"/>
      <c r="BX166" s="226"/>
      <c r="BY166" s="226"/>
      <c r="BZ166" s="226"/>
      <c r="CA166" s="226"/>
      <c r="CB166" s="226"/>
      <c r="CC166" s="226"/>
      <c r="CD166" s="226"/>
      <c r="CE166" s="226"/>
    </row>
    <row r="167" spans="1:83">
      <c r="A167" s="226"/>
      <c r="B167" s="226"/>
      <c r="C167" s="226"/>
      <c r="D167" s="226"/>
      <c r="E167" s="226"/>
      <c r="F167" s="226"/>
      <c r="G167" s="226"/>
      <c r="H167" s="226"/>
      <c r="I167" s="226"/>
      <c r="J167" s="226"/>
      <c r="K167" s="226"/>
      <c r="L167" s="226"/>
      <c r="M167" s="226"/>
      <c r="N167" s="226"/>
      <c r="O167" s="226"/>
      <c r="P167" s="226"/>
      <c r="Q167" s="226"/>
      <c r="R167" s="226"/>
      <c r="S167" s="226"/>
      <c r="T167" s="226"/>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c r="AP167" s="226"/>
      <c r="AQ167" s="226"/>
      <c r="AR167" s="226"/>
      <c r="AS167" s="226"/>
      <c r="AT167" s="226"/>
      <c r="AU167" s="226"/>
      <c r="AV167" s="226"/>
      <c r="AW167" s="226"/>
      <c r="AX167" s="226"/>
      <c r="AY167" s="226"/>
      <c r="AZ167" s="226"/>
      <c r="BA167" s="226"/>
      <c r="BB167" s="226"/>
      <c r="BC167" s="226"/>
      <c r="BD167" s="226"/>
      <c r="BE167" s="226"/>
      <c r="BF167" s="226"/>
      <c r="BG167" s="226"/>
      <c r="BH167" s="226"/>
      <c r="BI167" s="226"/>
      <c r="BJ167" s="226"/>
      <c r="BK167" s="226"/>
      <c r="BL167" s="226"/>
      <c r="BM167" s="226"/>
      <c r="BN167" s="226"/>
      <c r="BO167" s="226"/>
      <c r="BP167" s="226"/>
      <c r="BQ167" s="226"/>
      <c r="BR167" s="226"/>
      <c r="BS167" s="226"/>
      <c r="BT167" s="226"/>
      <c r="BU167" s="226"/>
      <c r="BV167" s="226"/>
      <c r="BW167" s="226"/>
      <c r="BX167" s="226"/>
      <c r="BY167" s="226"/>
      <c r="BZ167" s="226"/>
      <c r="CA167" s="226"/>
      <c r="CB167" s="226"/>
      <c r="CC167" s="226"/>
      <c r="CD167" s="226"/>
      <c r="CE167" s="226"/>
    </row>
    <row r="168" spans="1:83">
      <c r="A168" s="226"/>
      <c r="B168" s="226"/>
      <c r="C168" s="226"/>
      <c r="D168" s="226"/>
      <c r="E168" s="226"/>
      <c r="F168" s="226"/>
      <c r="G168" s="226"/>
      <c r="H168" s="226"/>
      <c r="I168" s="226"/>
      <c r="J168" s="226"/>
      <c r="K168" s="226"/>
      <c r="L168" s="226"/>
      <c r="M168" s="226"/>
      <c r="N168" s="226"/>
      <c r="O168" s="226"/>
      <c r="P168" s="226"/>
      <c r="Q168" s="226"/>
      <c r="R168" s="226"/>
      <c r="S168" s="226"/>
      <c r="T168" s="226"/>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c r="AP168" s="226"/>
      <c r="AQ168" s="226"/>
      <c r="AR168" s="226"/>
      <c r="AS168" s="226"/>
      <c r="AT168" s="226"/>
      <c r="AU168" s="226"/>
      <c r="AV168" s="226"/>
      <c r="AW168" s="226"/>
      <c r="AX168" s="226"/>
      <c r="AY168" s="226"/>
      <c r="AZ168" s="226"/>
      <c r="BA168" s="226"/>
      <c r="BB168" s="226"/>
      <c r="BC168" s="226"/>
      <c r="BD168" s="226"/>
      <c r="BE168" s="226"/>
      <c r="BF168" s="226"/>
      <c r="BG168" s="226"/>
      <c r="BH168" s="226"/>
      <c r="BI168" s="226"/>
      <c r="BJ168" s="226"/>
      <c r="BK168" s="226"/>
      <c r="BL168" s="226"/>
      <c r="BM168" s="226"/>
      <c r="BN168" s="226"/>
      <c r="BO168" s="226"/>
      <c r="BP168" s="226"/>
      <c r="BQ168" s="226"/>
      <c r="BR168" s="226"/>
      <c r="BS168" s="226"/>
      <c r="BT168" s="226"/>
      <c r="BU168" s="226"/>
      <c r="BV168" s="226"/>
      <c r="BW168" s="226"/>
      <c r="BX168" s="226"/>
      <c r="BY168" s="226"/>
      <c r="BZ168" s="226"/>
      <c r="CA168" s="226"/>
      <c r="CB168" s="226"/>
      <c r="CC168" s="226"/>
      <c r="CD168" s="226"/>
      <c r="CE168" s="226"/>
    </row>
    <row r="169" spans="1:83">
      <c r="A169" s="226"/>
      <c r="B169" s="226"/>
      <c r="C169" s="226"/>
      <c r="D169" s="226"/>
      <c r="E169" s="226"/>
      <c r="F169" s="226"/>
      <c r="G169" s="226"/>
      <c r="H169" s="226"/>
      <c r="I169" s="226"/>
      <c r="J169" s="226"/>
      <c r="K169" s="226"/>
      <c r="L169" s="226"/>
      <c r="M169" s="226"/>
      <c r="N169" s="226"/>
      <c r="O169" s="226"/>
      <c r="P169" s="226"/>
      <c r="Q169" s="226"/>
      <c r="R169" s="226"/>
      <c r="S169" s="226"/>
      <c r="T169" s="226"/>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c r="AP169" s="226"/>
      <c r="AQ169" s="226"/>
      <c r="AR169" s="226"/>
      <c r="AS169" s="226"/>
      <c r="AT169" s="226"/>
      <c r="AU169" s="226"/>
      <c r="AV169" s="226"/>
      <c r="AW169" s="226"/>
      <c r="AX169" s="226"/>
      <c r="AY169" s="226"/>
      <c r="AZ169" s="226"/>
      <c r="BA169" s="226"/>
      <c r="BB169" s="226"/>
      <c r="BC169" s="226"/>
      <c r="BD169" s="226"/>
      <c r="BE169" s="226"/>
      <c r="BF169" s="226"/>
      <c r="BG169" s="226"/>
      <c r="BH169" s="226"/>
      <c r="BI169" s="226"/>
      <c r="BJ169" s="226"/>
      <c r="BK169" s="226"/>
      <c r="BL169" s="226"/>
      <c r="BM169" s="226"/>
      <c r="BN169" s="226"/>
      <c r="BO169" s="226"/>
      <c r="BP169" s="226"/>
      <c r="BQ169" s="226"/>
      <c r="BR169" s="226"/>
      <c r="BS169" s="226"/>
      <c r="BT169" s="226"/>
      <c r="BU169" s="226"/>
      <c r="BV169" s="226"/>
      <c r="BW169" s="226"/>
      <c r="BX169" s="226"/>
      <c r="BY169" s="226"/>
      <c r="BZ169" s="226"/>
      <c r="CA169" s="226"/>
      <c r="CB169" s="226"/>
      <c r="CC169" s="226"/>
      <c r="CD169" s="226"/>
      <c r="CE169" s="226"/>
    </row>
    <row r="170" spans="1:83">
      <c r="A170" s="226"/>
      <c r="B170" s="226"/>
      <c r="C170" s="226"/>
      <c r="D170" s="226"/>
      <c r="E170" s="226"/>
      <c r="F170" s="226"/>
      <c r="G170" s="226"/>
      <c r="H170" s="226"/>
      <c r="I170" s="226"/>
      <c r="J170" s="226"/>
      <c r="K170" s="226"/>
      <c r="L170" s="226"/>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c r="AQ170" s="226"/>
      <c r="AR170" s="226"/>
      <c r="AS170" s="226"/>
      <c r="AT170" s="226"/>
      <c r="AU170" s="226"/>
      <c r="AV170" s="226"/>
      <c r="AW170" s="226"/>
      <c r="AX170" s="226"/>
      <c r="AY170" s="226"/>
      <c r="AZ170" s="226"/>
      <c r="BA170" s="226"/>
      <c r="BB170" s="226"/>
      <c r="BC170" s="226"/>
      <c r="BD170" s="226"/>
      <c r="BE170" s="226"/>
      <c r="BF170" s="226"/>
      <c r="BG170" s="226"/>
      <c r="BH170" s="226"/>
      <c r="BI170" s="226"/>
      <c r="BJ170" s="226"/>
      <c r="BK170" s="226"/>
      <c r="BL170" s="226"/>
      <c r="BM170" s="226"/>
      <c r="BN170" s="226"/>
      <c r="BO170" s="226"/>
      <c r="BP170" s="226"/>
      <c r="BQ170" s="226"/>
      <c r="BR170" s="226"/>
      <c r="BS170" s="226"/>
      <c r="BT170" s="226"/>
      <c r="BU170" s="226"/>
      <c r="BV170" s="226"/>
      <c r="BW170" s="226"/>
      <c r="BX170" s="226"/>
      <c r="BY170" s="226"/>
      <c r="BZ170" s="226"/>
      <c r="CA170" s="226"/>
      <c r="CB170" s="226"/>
      <c r="CC170" s="226"/>
      <c r="CD170" s="226"/>
      <c r="CE170" s="226"/>
    </row>
    <row r="171" spans="1:83">
      <c r="A171" s="226"/>
      <c r="B171" s="226"/>
      <c r="C171" s="226"/>
      <c r="D171" s="226"/>
      <c r="E171" s="226"/>
      <c r="F171" s="226"/>
      <c r="G171" s="226"/>
      <c r="H171" s="226"/>
      <c r="I171" s="226"/>
      <c r="J171" s="226"/>
      <c r="K171" s="226"/>
      <c r="L171" s="226"/>
      <c r="M171" s="226"/>
      <c r="N171" s="226"/>
      <c r="O171" s="226"/>
      <c r="P171" s="226"/>
      <c r="Q171" s="226"/>
      <c r="R171" s="226"/>
      <c r="S171" s="226"/>
      <c r="T171" s="226"/>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c r="AP171" s="226"/>
      <c r="AQ171" s="226"/>
      <c r="AR171" s="226"/>
      <c r="AS171" s="226"/>
      <c r="AT171" s="226"/>
      <c r="AU171" s="226"/>
      <c r="AV171" s="226"/>
      <c r="AW171" s="226"/>
      <c r="AX171" s="226"/>
      <c r="AY171" s="226"/>
      <c r="AZ171" s="226"/>
      <c r="BA171" s="226"/>
      <c r="BB171" s="226"/>
      <c r="BC171" s="226"/>
      <c r="BD171" s="226"/>
      <c r="BE171" s="226"/>
      <c r="BF171" s="226"/>
      <c r="BG171" s="226"/>
      <c r="BH171" s="226"/>
      <c r="BI171" s="226"/>
      <c r="BJ171" s="226"/>
      <c r="BK171" s="226"/>
      <c r="BL171" s="226"/>
      <c r="BM171" s="226"/>
      <c r="BN171" s="226"/>
      <c r="BO171" s="226"/>
      <c r="BP171" s="226"/>
      <c r="BQ171" s="226"/>
      <c r="BR171" s="226"/>
      <c r="BS171" s="226"/>
      <c r="BT171" s="226"/>
      <c r="BU171" s="226"/>
      <c r="BV171" s="226"/>
      <c r="BW171" s="226"/>
      <c r="BX171" s="226"/>
      <c r="BY171" s="226"/>
      <c r="BZ171" s="226"/>
      <c r="CA171" s="226"/>
      <c r="CB171" s="226"/>
      <c r="CC171" s="226"/>
      <c r="CD171" s="226"/>
      <c r="CE171" s="226"/>
    </row>
    <row r="172" spans="1:83">
      <c r="A172" s="226"/>
      <c r="B172" s="226"/>
      <c r="C172" s="226"/>
      <c r="D172" s="226"/>
      <c r="E172" s="226"/>
      <c r="F172" s="226"/>
      <c r="G172" s="226"/>
      <c r="H172" s="226"/>
      <c r="I172" s="226"/>
      <c r="J172" s="226"/>
      <c r="K172" s="226"/>
      <c r="L172" s="226"/>
      <c r="M172" s="226"/>
      <c r="N172" s="226"/>
      <c r="O172" s="226"/>
      <c r="P172" s="226"/>
      <c r="Q172" s="226"/>
      <c r="R172" s="226"/>
      <c r="S172" s="226"/>
      <c r="T172" s="226"/>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c r="AP172" s="226"/>
      <c r="AQ172" s="226"/>
      <c r="AR172" s="226"/>
      <c r="AS172" s="226"/>
      <c r="AT172" s="226"/>
      <c r="AU172" s="226"/>
      <c r="AV172" s="226"/>
      <c r="AW172" s="226"/>
      <c r="AX172" s="226"/>
      <c r="AY172" s="226"/>
      <c r="AZ172" s="226"/>
      <c r="BA172" s="226"/>
      <c r="BB172" s="226"/>
      <c r="BC172" s="226"/>
      <c r="BD172" s="226"/>
      <c r="BE172" s="226"/>
      <c r="BF172" s="226"/>
      <c r="BG172" s="226"/>
      <c r="BH172" s="226"/>
      <c r="BI172" s="226"/>
      <c r="BJ172" s="226"/>
      <c r="BK172" s="226"/>
      <c r="BL172" s="226"/>
      <c r="BM172" s="226"/>
      <c r="BN172" s="226"/>
      <c r="BO172" s="226"/>
      <c r="BP172" s="226"/>
      <c r="BQ172" s="226"/>
      <c r="BR172" s="226"/>
      <c r="BS172" s="226"/>
      <c r="BT172" s="226"/>
      <c r="BU172" s="226"/>
      <c r="BV172" s="226"/>
      <c r="BW172" s="226"/>
      <c r="BX172" s="226"/>
      <c r="BY172" s="226"/>
      <c r="BZ172" s="226"/>
      <c r="CA172" s="226"/>
      <c r="CB172" s="226"/>
      <c r="CC172" s="226"/>
      <c r="CD172" s="226"/>
      <c r="CE172" s="226"/>
    </row>
    <row r="173" spans="1:83">
      <c r="A173" s="226"/>
      <c r="B173" s="226"/>
      <c r="C173" s="226"/>
      <c r="D173" s="226"/>
      <c r="E173" s="226"/>
      <c r="F173" s="226"/>
      <c r="G173" s="226"/>
      <c r="H173" s="226"/>
      <c r="I173" s="226"/>
      <c r="J173" s="226"/>
      <c r="K173" s="226"/>
      <c r="L173" s="226"/>
      <c r="M173" s="226"/>
      <c r="N173" s="226"/>
      <c r="O173" s="226"/>
      <c r="P173" s="226"/>
      <c r="Q173" s="226"/>
      <c r="R173" s="226"/>
      <c r="S173" s="226"/>
      <c r="T173" s="226"/>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c r="AP173" s="226"/>
      <c r="AQ173" s="226"/>
      <c r="AR173" s="226"/>
      <c r="AS173" s="226"/>
      <c r="AT173" s="226"/>
      <c r="AU173" s="226"/>
      <c r="AV173" s="226"/>
      <c r="AW173" s="226"/>
      <c r="AX173" s="226"/>
      <c r="AY173" s="226"/>
      <c r="AZ173" s="226"/>
      <c r="BA173" s="226"/>
      <c r="BB173" s="226"/>
      <c r="BC173" s="226"/>
      <c r="BD173" s="226"/>
      <c r="BE173" s="226"/>
      <c r="BF173" s="226"/>
      <c r="BG173" s="226"/>
      <c r="BH173" s="226"/>
      <c r="BI173" s="226"/>
      <c r="BJ173" s="226"/>
      <c r="BK173" s="226"/>
      <c r="BL173" s="226"/>
      <c r="BM173" s="226"/>
      <c r="BN173" s="226"/>
      <c r="BO173" s="226"/>
      <c r="BP173" s="226"/>
      <c r="BQ173" s="226"/>
      <c r="BR173" s="226"/>
      <c r="BS173" s="226"/>
      <c r="BT173" s="226"/>
      <c r="BU173" s="226"/>
      <c r="BV173" s="226"/>
      <c r="BW173" s="226"/>
      <c r="BX173" s="226"/>
      <c r="BY173" s="226"/>
      <c r="BZ173" s="226"/>
      <c r="CA173" s="226"/>
      <c r="CB173" s="226"/>
      <c r="CC173" s="226"/>
      <c r="CD173" s="226"/>
      <c r="CE173" s="226"/>
    </row>
    <row r="174" spans="1:83">
      <c r="A174" s="226"/>
      <c r="B174" s="226"/>
      <c r="C174" s="226"/>
      <c r="D174" s="226"/>
      <c r="E174" s="226"/>
      <c r="F174" s="226"/>
      <c r="G174" s="226"/>
      <c r="H174" s="226"/>
      <c r="I174" s="226"/>
      <c r="J174" s="226"/>
      <c r="K174" s="226"/>
      <c r="L174" s="226"/>
      <c r="M174" s="226"/>
      <c r="N174" s="226"/>
      <c r="O174" s="226"/>
      <c r="P174" s="226"/>
      <c r="Q174" s="226"/>
      <c r="R174" s="226"/>
      <c r="S174" s="226"/>
      <c r="T174" s="226"/>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c r="AP174" s="226"/>
      <c r="AQ174" s="226"/>
      <c r="AR174" s="226"/>
      <c r="AS174" s="226"/>
      <c r="AT174" s="226"/>
      <c r="AU174" s="226"/>
      <c r="AV174" s="226"/>
      <c r="AW174" s="226"/>
      <c r="AX174" s="226"/>
      <c r="AY174" s="226"/>
      <c r="AZ174" s="226"/>
      <c r="BA174" s="226"/>
      <c r="BB174" s="226"/>
      <c r="BC174" s="226"/>
      <c r="BD174" s="226"/>
      <c r="BE174" s="226"/>
      <c r="BF174" s="226"/>
      <c r="BG174" s="226"/>
      <c r="BH174" s="226"/>
      <c r="BI174" s="226"/>
      <c r="BJ174" s="226"/>
      <c r="BK174" s="226"/>
      <c r="BL174" s="226"/>
      <c r="BM174" s="226"/>
      <c r="BN174" s="226"/>
      <c r="BO174" s="226"/>
      <c r="BP174" s="226"/>
      <c r="BQ174" s="226"/>
      <c r="BR174" s="226"/>
      <c r="BS174" s="226"/>
      <c r="BT174" s="226"/>
      <c r="BU174" s="226"/>
      <c r="BV174" s="226"/>
      <c r="BW174" s="226"/>
      <c r="BX174" s="226"/>
      <c r="BY174" s="226"/>
      <c r="BZ174" s="226"/>
      <c r="CA174" s="226"/>
      <c r="CB174" s="226"/>
      <c r="CC174" s="226"/>
      <c r="CD174" s="226"/>
      <c r="CE174" s="226"/>
    </row>
    <row r="175" spans="1:83">
      <c r="A175" s="226"/>
      <c r="B175" s="226"/>
      <c r="C175" s="226"/>
      <c r="D175" s="226"/>
      <c r="E175" s="226"/>
      <c r="F175" s="226"/>
      <c r="G175" s="226"/>
      <c r="H175" s="226"/>
      <c r="I175" s="226"/>
      <c r="J175" s="226"/>
      <c r="K175" s="226"/>
      <c r="L175" s="226"/>
      <c r="M175" s="226"/>
      <c r="N175" s="226"/>
      <c r="O175" s="226"/>
      <c r="P175" s="226"/>
      <c r="Q175" s="226"/>
      <c r="R175" s="226"/>
      <c r="S175" s="226"/>
      <c r="T175" s="226"/>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c r="AP175" s="226"/>
      <c r="AQ175" s="226"/>
      <c r="AR175" s="226"/>
      <c r="AS175" s="226"/>
      <c r="AT175" s="226"/>
      <c r="AU175" s="226"/>
      <c r="AV175" s="226"/>
      <c r="AW175" s="226"/>
      <c r="AX175" s="226"/>
      <c r="AY175" s="226"/>
      <c r="AZ175" s="226"/>
      <c r="BA175" s="226"/>
      <c r="BB175" s="226"/>
      <c r="BC175" s="226"/>
      <c r="BD175" s="226"/>
      <c r="BE175" s="226"/>
      <c r="BF175" s="226"/>
      <c r="BG175" s="226"/>
      <c r="BH175" s="226"/>
      <c r="BI175" s="226"/>
      <c r="BJ175" s="226"/>
      <c r="BK175" s="226"/>
      <c r="BL175" s="226"/>
      <c r="BM175" s="226"/>
      <c r="BN175" s="226"/>
      <c r="BO175" s="226"/>
      <c r="BP175" s="226"/>
      <c r="BQ175" s="226"/>
      <c r="BR175" s="226"/>
      <c r="BS175" s="226"/>
      <c r="BT175" s="226"/>
      <c r="BU175" s="226"/>
      <c r="BV175" s="226"/>
      <c r="BW175" s="226"/>
      <c r="BX175" s="226"/>
      <c r="BY175" s="226"/>
      <c r="BZ175" s="226"/>
      <c r="CA175" s="226"/>
      <c r="CB175" s="226"/>
      <c r="CC175" s="226"/>
      <c r="CD175" s="226"/>
      <c r="CE175" s="226"/>
    </row>
    <row r="176" spans="1:83">
      <c r="A176" s="226"/>
      <c r="B176" s="226"/>
      <c r="C176" s="226"/>
      <c r="D176" s="226"/>
      <c r="E176" s="226"/>
      <c r="F176" s="226"/>
      <c r="G176" s="226"/>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c r="AP176" s="226"/>
      <c r="AQ176" s="226"/>
      <c r="AR176" s="226"/>
      <c r="AS176" s="226"/>
      <c r="AT176" s="226"/>
      <c r="AU176" s="226"/>
      <c r="AV176" s="226"/>
      <c r="AW176" s="226"/>
      <c r="AX176" s="226"/>
      <c r="AY176" s="226"/>
      <c r="AZ176" s="226"/>
      <c r="BA176" s="226"/>
      <c r="BB176" s="226"/>
      <c r="BC176" s="226"/>
      <c r="BD176" s="226"/>
      <c r="BE176" s="226"/>
      <c r="BF176" s="226"/>
      <c r="BG176" s="226"/>
      <c r="BH176" s="226"/>
      <c r="BI176" s="226"/>
      <c r="BJ176" s="226"/>
      <c r="BK176" s="226"/>
      <c r="BL176" s="226"/>
      <c r="BM176" s="226"/>
      <c r="BN176" s="226"/>
      <c r="BO176" s="226"/>
      <c r="BP176" s="226"/>
      <c r="BQ176" s="226"/>
      <c r="BR176" s="226"/>
      <c r="BS176" s="226"/>
      <c r="BT176" s="226"/>
      <c r="BU176" s="226"/>
      <c r="BV176" s="226"/>
      <c r="BW176" s="226"/>
      <c r="BX176" s="226"/>
      <c r="BY176" s="226"/>
      <c r="BZ176" s="226"/>
      <c r="CA176" s="226"/>
      <c r="CB176" s="226"/>
      <c r="CC176" s="226"/>
      <c r="CD176" s="226"/>
      <c r="CE176" s="226"/>
    </row>
    <row r="177" spans="1:83">
      <c r="A177" s="226"/>
      <c r="B177" s="226"/>
      <c r="C177" s="226"/>
      <c r="D177" s="226"/>
      <c r="E177" s="226"/>
      <c r="F177" s="226"/>
      <c r="G177" s="226"/>
      <c r="H177" s="226"/>
      <c r="I177" s="226"/>
      <c r="J177" s="226"/>
      <c r="K177" s="226"/>
      <c r="L177" s="226"/>
      <c r="M177" s="226"/>
      <c r="N177" s="226"/>
      <c r="O177" s="226"/>
      <c r="P177" s="226"/>
      <c r="Q177" s="226"/>
      <c r="R177" s="226"/>
      <c r="S177" s="226"/>
      <c r="T177" s="226"/>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c r="AP177" s="226"/>
      <c r="AQ177" s="226"/>
      <c r="AR177" s="226"/>
      <c r="AS177" s="226"/>
      <c r="AT177" s="226"/>
      <c r="AU177" s="226"/>
      <c r="AV177" s="226"/>
      <c r="AW177" s="226"/>
      <c r="AX177" s="226"/>
      <c r="AY177" s="226"/>
      <c r="AZ177" s="226"/>
      <c r="BA177" s="226"/>
      <c r="BB177" s="226"/>
      <c r="BC177" s="226"/>
      <c r="BD177" s="226"/>
      <c r="BE177" s="226"/>
      <c r="BF177" s="226"/>
      <c r="BG177" s="226"/>
      <c r="BH177" s="226"/>
      <c r="BI177" s="226"/>
      <c r="BJ177" s="226"/>
      <c r="BK177" s="226"/>
      <c r="BL177" s="226"/>
      <c r="BM177" s="226"/>
      <c r="BN177" s="226"/>
      <c r="BO177" s="226"/>
      <c r="BP177" s="226"/>
      <c r="BQ177" s="226"/>
      <c r="BR177" s="226"/>
      <c r="BS177" s="226"/>
      <c r="BT177" s="226"/>
      <c r="BU177" s="226"/>
      <c r="BV177" s="226"/>
      <c r="BW177" s="226"/>
      <c r="BX177" s="226"/>
      <c r="BY177" s="226"/>
      <c r="BZ177" s="226"/>
      <c r="CA177" s="226"/>
      <c r="CB177" s="226"/>
      <c r="CC177" s="226"/>
      <c r="CD177" s="226"/>
      <c r="CE177" s="226"/>
    </row>
    <row r="178" spans="1:83">
      <c r="A178" s="226"/>
      <c r="B178" s="226"/>
      <c r="C178" s="226"/>
      <c r="D178" s="226"/>
      <c r="E178" s="226"/>
      <c r="F178" s="226"/>
      <c r="G178" s="226"/>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c r="AP178" s="226"/>
      <c r="AQ178" s="226"/>
      <c r="AR178" s="226"/>
      <c r="AS178" s="226"/>
      <c r="AT178" s="226"/>
      <c r="AU178" s="226"/>
      <c r="AV178" s="226"/>
      <c r="AW178" s="226"/>
      <c r="AX178" s="226"/>
      <c r="AY178" s="226"/>
      <c r="AZ178" s="226"/>
      <c r="BA178" s="226"/>
      <c r="BB178" s="226"/>
      <c r="BC178" s="226"/>
      <c r="BD178" s="226"/>
      <c r="BE178" s="226"/>
      <c r="BF178" s="226"/>
      <c r="BG178" s="226"/>
      <c r="BH178" s="226"/>
      <c r="BI178" s="226"/>
      <c r="BJ178" s="226"/>
      <c r="BK178" s="226"/>
      <c r="BL178" s="226"/>
      <c r="BM178" s="226"/>
      <c r="BN178" s="226"/>
      <c r="BO178" s="226"/>
      <c r="BP178" s="226"/>
      <c r="BQ178" s="226"/>
      <c r="BR178" s="226"/>
      <c r="BS178" s="226"/>
      <c r="BT178" s="226"/>
      <c r="BU178" s="226"/>
      <c r="BV178" s="226"/>
      <c r="BW178" s="226"/>
      <c r="BX178" s="226"/>
      <c r="BY178" s="226"/>
      <c r="BZ178" s="226"/>
      <c r="CA178" s="226"/>
      <c r="CB178" s="226"/>
      <c r="CC178" s="226"/>
      <c r="CD178" s="226"/>
      <c r="CE178" s="226"/>
    </row>
    <row r="179" spans="1:83">
      <c r="A179" s="226"/>
      <c r="B179" s="226"/>
      <c r="C179" s="226"/>
      <c r="D179" s="226"/>
      <c r="E179" s="226"/>
      <c r="F179" s="226"/>
      <c r="G179" s="226"/>
      <c r="H179" s="226"/>
      <c r="I179" s="226"/>
      <c r="J179" s="226"/>
      <c r="K179" s="226"/>
      <c r="L179" s="226"/>
      <c r="M179" s="226"/>
      <c r="N179" s="226"/>
      <c r="O179" s="226"/>
      <c r="P179" s="226"/>
      <c r="Q179" s="226"/>
      <c r="R179" s="226"/>
      <c r="S179" s="226"/>
      <c r="T179" s="226"/>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c r="AP179" s="226"/>
      <c r="AQ179" s="226"/>
      <c r="AR179" s="226"/>
      <c r="AS179" s="226"/>
      <c r="AT179" s="226"/>
      <c r="AU179" s="226"/>
      <c r="AV179" s="226"/>
      <c r="AW179" s="226"/>
      <c r="AX179" s="226"/>
      <c r="AY179" s="226"/>
      <c r="AZ179" s="226"/>
      <c r="BA179" s="226"/>
      <c r="BB179" s="226"/>
      <c r="BC179" s="226"/>
      <c r="BD179" s="226"/>
      <c r="BE179" s="226"/>
      <c r="BF179" s="226"/>
      <c r="BG179" s="226"/>
      <c r="BH179" s="226"/>
      <c r="BI179" s="226"/>
      <c r="BJ179" s="226"/>
      <c r="BK179" s="226"/>
      <c r="BL179" s="226"/>
      <c r="BM179" s="226"/>
      <c r="BN179" s="226"/>
      <c r="BO179" s="226"/>
      <c r="BP179" s="226"/>
      <c r="BQ179" s="226"/>
      <c r="BR179" s="226"/>
      <c r="BS179" s="226"/>
      <c r="BT179" s="226"/>
      <c r="BU179" s="226"/>
      <c r="BV179" s="226"/>
      <c r="BW179" s="226"/>
      <c r="BX179" s="226"/>
      <c r="BY179" s="226"/>
      <c r="BZ179" s="226"/>
      <c r="CA179" s="226"/>
      <c r="CB179" s="226"/>
      <c r="CC179" s="226"/>
      <c r="CD179" s="226"/>
      <c r="CE179" s="226"/>
    </row>
    <row r="180" spans="1:83">
      <c r="A180" s="226"/>
      <c r="B180" s="226"/>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c r="AP180" s="226"/>
      <c r="AQ180" s="226"/>
      <c r="AR180" s="226"/>
      <c r="AS180" s="226"/>
      <c r="AT180" s="226"/>
      <c r="AU180" s="226"/>
      <c r="AV180" s="226"/>
      <c r="AW180" s="226"/>
      <c r="AX180" s="226"/>
      <c r="AY180" s="226"/>
      <c r="AZ180" s="226"/>
      <c r="BA180" s="226"/>
      <c r="BB180" s="226"/>
      <c r="BC180" s="226"/>
      <c r="BD180" s="226"/>
      <c r="BE180" s="226"/>
      <c r="BF180" s="226"/>
      <c r="BG180" s="226"/>
      <c r="BH180" s="226"/>
      <c r="BI180" s="226"/>
      <c r="BJ180" s="226"/>
      <c r="BK180" s="226"/>
      <c r="BL180" s="226"/>
      <c r="BM180" s="226"/>
      <c r="BN180" s="226"/>
      <c r="BO180" s="226"/>
      <c r="BP180" s="226"/>
      <c r="BQ180" s="226"/>
      <c r="BR180" s="226"/>
      <c r="BS180" s="226"/>
      <c r="BT180" s="226"/>
      <c r="BU180" s="226"/>
      <c r="BV180" s="226"/>
      <c r="BW180" s="226"/>
      <c r="BX180" s="226"/>
      <c r="BY180" s="226"/>
      <c r="BZ180" s="226"/>
      <c r="CA180" s="226"/>
      <c r="CB180" s="226"/>
      <c r="CC180" s="226"/>
      <c r="CD180" s="226"/>
      <c r="CE180" s="226"/>
    </row>
    <row r="181" spans="1:83">
      <c r="A181" s="226"/>
      <c r="B181" s="226"/>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c r="AP181" s="226"/>
      <c r="AQ181" s="226"/>
      <c r="AR181" s="226"/>
      <c r="AS181" s="226"/>
      <c r="AT181" s="226"/>
      <c r="AU181" s="226"/>
      <c r="AV181" s="226"/>
      <c r="AW181" s="226"/>
      <c r="AX181" s="226"/>
      <c r="AY181" s="226"/>
      <c r="AZ181" s="226"/>
      <c r="BA181" s="226"/>
      <c r="BB181" s="226"/>
      <c r="BC181" s="226"/>
      <c r="BD181" s="226"/>
      <c r="BE181" s="226"/>
      <c r="BF181" s="226"/>
      <c r="BG181" s="226"/>
      <c r="BH181" s="226"/>
      <c r="BI181" s="226"/>
      <c r="BJ181" s="226"/>
      <c r="BK181" s="226"/>
      <c r="BL181" s="226"/>
      <c r="BM181" s="226"/>
      <c r="BN181" s="226"/>
      <c r="BO181" s="226"/>
      <c r="BP181" s="226"/>
      <c r="BQ181" s="226"/>
      <c r="BR181" s="226"/>
      <c r="BS181" s="226"/>
      <c r="BT181" s="226"/>
      <c r="BU181" s="226"/>
      <c r="BV181" s="226"/>
      <c r="BW181" s="226"/>
      <c r="BX181" s="226"/>
      <c r="BY181" s="226"/>
      <c r="BZ181" s="226"/>
      <c r="CA181" s="226"/>
      <c r="CB181" s="226"/>
      <c r="CC181" s="226"/>
      <c r="CD181" s="226"/>
      <c r="CE181" s="226"/>
    </row>
    <row r="182" spans="1:83">
      <c r="A182" s="226"/>
      <c r="B182" s="226"/>
      <c r="C182" s="226"/>
      <c r="D182" s="226"/>
      <c r="E182" s="226"/>
      <c r="F182" s="226"/>
      <c r="G182" s="226"/>
      <c r="H182" s="226"/>
      <c r="I182" s="226"/>
      <c r="J182" s="226"/>
      <c r="K182" s="226"/>
      <c r="L182" s="226"/>
      <c r="M182" s="226"/>
      <c r="N182" s="226"/>
      <c r="O182" s="226"/>
      <c r="P182" s="226"/>
      <c r="Q182" s="226"/>
      <c r="R182" s="226"/>
      <c r="S182" s="226"/>
      <c r="T182" s="226"/>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c r="AP182" s="226"/>
      <c r="AQ182" s="226"/>
      <c r="AR182" s="226"/>
      <c r="AS182" s="226"/>
      <c r="AT182" s="226"/>
      <c r="AU182" s="226"/>
      <c r="AV182" s="226"/>
      <c r="AW182" s="226"/>
      <c r="AX182" s="226"/>
      <c r="AY182" s="226"/>
      <c r="AZ182" s="226"/>
      <c r="BA182" s="226"/>
      <c r="BB182" s="226"/>
      <c r="BC182" s="226"/>
      <c r="BD182" s="226"/>
      <c r="BE182" s="226"/>
      <c r="BF182" s="226"/>
      <c r="BG182" s="226"/>
      <c r="BH182" s="226"/>
      <c r="BI182" s="226"/>
      <c r="BJ182" s="226"/>
      <c r="BK182" s="226"/>
      <c r="BL182" s="226"/>
      <c r="BM182" s="226"/>
      <c r="BN182" s="226"/>
      <c r="BO182" s="226"/>
      <c r="BP182" s="226"/>
      <c r="BQ182" s="226"/>
      <c r="BR182" s="226"/>
      <c r="BS182" s="226"/>
      <c r="BT182" s="226"/>
      <c r="BU182" s="226"/>
      <c r="BV182" s="226"/>
      <c r="BW182" s="226"/>
      <c r="BX182" s="226"/>
      <c r="BY182" s="226"/>
      <c r="BZ182" s="226"/>
      <c r="CA182" s="226"/>
      <c r="CB182" s="226"/>
      <c r="CC182" s="226"/>
      <c r="CD182" s="226"/>
      <c r="CE182" s="226"/>
    </row>
    <row r="183" spans="1:83">
      <c r="A183" s="226"/>
      <c r="B183" s="226"/>
      <c r="C183" s="226"/>
      <c r="D183" s="226"/>
      <c r="E183" s="226"/>
      <c r="F183" s="226"/>
      <c r="G183" s="226"/>
      <c r="H183" s="226"/>
      <c r="I183" s="226"/>
      <c r="J183" s="226"/>
      <c r="K183" s="226"/>
      <c r="L183" s="226"/>
      <c r="M183" s="226"/>
      <c r="N183" s="226"/>
      <c r="O183" s="226"/>
      <c r="P183" s="226"/>
      <c r="Q183" s="226"/>
      <c r="R183" s="226"/>
      <c r="S183" s="226"/>
      <c r="T183" s="226"/>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c r="AP183" s="226"/>
      <c r="AQ183" s="226"/>
      <c r="AR183" s="226"/>
      <c r="AS183" s="226"/>
      <c r="AT183" s="226"/>
      <c r="AU183" s="226"/>
      <c r="AV183" s="226"/>
      <c r="AW183" s="226"/>
      <c r="AX183" s="226"/>
      <c r="AY183" s="226"/>
      <c r="AZ183" s="226"/>
      <c r="BA183" s="226"/>
      <c r="BB183" s="226"/>
      <c r="BC183" s="226"/>
      <c r="BD183" s="226"/>
      <c r="BE183" s="226"/>
      <c r="BF183" s="226"/>
      <c r="BG183" s="226"/>
      <c r="BH183" s="226"/>
      <c r="BI183" s="226"/>
      <c r="BJ183" s="226"/>
      <c r="BK183" s="226"/>
      <c r="BL183" s="226"/>
      <c r="BM183" s="226"/>
      <c r="BN183" s="226"/>
      <c r="BO183" s="226"/>
      <c r="BP183" s="226"/>
      <c r="BQ183" s="226"/>
      <c r="BR183" s="226"/>
      <c r="BS183" s="226"/>
      <c r="BT183" s="226"/>
      <c r="BU183" s="226"/>
      <c r="BV183" s="226"/>
      <c r="BW183" s="226"/>
      <c r="BX183" s="226"/>
      <c r="BY183" s="226"/>
      <c r="BZ183" s="226"/>
      <c r="CA183" s="226"/>
      <c r="CB183" s="226"/>
      <c r="CC183" s="226"/>
      <c r="CD183" s="226"/>
      <c r="CE183" s="226"/>
    </row>
    <row r="184" spans="1:83">
      <c r="A184" s="226"/>
      <c r="B184" s="226"/>
      <c r="C184" s="226"/>
      <c r="D184" s="226"/>
      <c r="E184" s="226"/>
      <c r="F184" s="226"/>
      <c r="G184" s="226"/>
      <c r="H184" s="226"/>
      <c r="I184" s="226"/>
      <c r="J184" s="226"/>
      <c r="K184" s="226"/>
      <c r="L184" s="226"/>
      <c r="M184" s="226"/>
      <c r="N184" s="226"/>
      <c r="O184" s="226"/>
      <c r="P184" s="226"/>
      <c r="Q184" s="226"/>
      <c r="R184" s="226"/>
      <c r="S184" s="226"/>
      <c r="T184" s="226"/>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c r="AP184" s="226"/>
      <c r="AQ184" s="226"/>
      <c r="AR184" s="226"/>
      <c r="AS184" s="226"/>
      <c r="AT184" s="226"/>
      <c r="AU184" s="226"/>
      <c r="AV184" s="226"/>
      <c r="AW184" s="226"/>
      <c r="AX184" s="226"/>
      <c r="AY184" s="226"/>
      <c r="AZ184" s="226"/>
      <c r="BA184" s="226"/>
      <c r="BB184" s="226"/>
      <c r="BC184" s="226"/>
      <c r="BD184" s="226"/>
      <c r="BE184" s="226"/>
      <c r="BF184" s="226"/>
      <c r="BG184" s="226"/>
      <c r="BH184" s="226"/>
      <c r="BI184" s="226"/>
      <c r="BJ184" s="226"/>
      <c r="BK184" s="226"/>
      <c r="BL184" s="226"/>
      <c r="BM184" s="226"/>
      <c r="BN184" s="226"/>
      <c r="BO184" s="226"/>
      <c r="BP184" s="226"/>
      <c r="BQ184" s="226"/>
      <c r="BR184" s="226"/>
      <c r="BS184" s="226"/>
      <c r="BT184" s="226"/>
      <c r="BU184" s="226"/>
      <c r="BV184" s="226"/>
      <c r="BW184" s="226"/>
      <c r="BX184" s="226"/>
      <c r="BY184" s="226"/>
      <c r="BZ184" s="226"/>
      <c r="CA184" s="226"/>
      <c r="CB184" s="226"/>
      <c r="CC184" s="226"/>
      <c r="CD184" s="226"/>
      <c r="CE184" s="226"/>
    </row>
    <row r="185" spans="1:83">
      <c r="A185" s="226"/>
      <c r="B185" s="226"/>
      <c r="C185" s="226"/>
      <c r="D185" s="226"/>
      <c r="E185" s="226"/>
      <c r="F185" s="226"/>
      <c r="G185" s="226"/>
      <c r="H185" s="226"/>
      <c r="I185" s="226"/>
      <c r="J185" s="226"/>
      <c r="K185" s="226"/>
      <c r="L185" s="226"/>
      <c r="M185" s="226"/>
      <c r="N185" s="226"/>
      <c r="O185" s="226"/>
      <c r="P185" s="226"/>
      <c r="Q185" s="226"/>
      <c r="R185" s="226"/>
      <c r="S185" s="226"/>
      <c r="T185" s="226"/>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c r="AP185" s="226"/>
      <c r="AQ185" s="226"/>
      <c r="AR185" s="226"/>
      <c r="AS185" s="226"/>
      <c r="AT185" s="226"/>
      <c r="AU185" s="226"/>
      <c r="AV185" s="226"/>
      <c r="AW185" s="226"/>
      <c r="AX185" s="226"/>
      <c r="AY185" s="226"/>
      <c r="AZ185" s="226"/>
      <c r="BA185" s="226"/>
      <c r="BB185" s="226"/>
      <c r="BC185" s="226"/>
      <c r="BD185" s="226"/>
      <c r="BE185" s="226"/>
      <c r="BF185" s="226"/>
      <c r="BG185" s="226"/>
      <c r="BH185" s="226"/>
      <c r="BI185" s="226"/>
      <c r="BJ185" s="226"/>
      <c r="BK185" s="226"/>
      <c r="BL185" s="226"/>
      <c r="BM185" s="226"/>
      <c r="BN185" s="226"/>
      <c r="BO185" s="226"/>
      <c r="BP185" s="226"/>
      <c r="BQ185" s="226"/>
      <c r="BR185" s="226"/>
      <c r="BS185" s="226"/>
      <c r="BT185" s="226"/>
      <c r="BU185" s="226"/>
      <c r="BV185" s="226"/>
      <c r="BW185" s="226"/>
      <c r="BX185" s="226"/>
      <c r="BY185" s="226"/>
      <c r="BZ185" s="226"/>
      <c r="CA185" s="226"/>
      <c r="CB185" s="226"/>
      <c r="CC185" s="226"/>
      <c r="CD185" s="226"/>
      <c r="CE185" s="226"/>
    </row>
    <row r="186" spans="1:83">
      <c r="A186" s="226"/>
      <c r="B186" s="226"/>
      <c r="C186" s="226"/>
      <c r="D186" s="226"/>
      <c r="E186" s="226"/>
      <c r="F186" s="226"/>
      <c r="G186" s="226"/>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c r="AP186" s="226"/>
      <c r="AQ186" s="226"/>
      <c r="AR186" s="226"/>
      <c r="AS186" s="226"/>
      <c r="AT186" s="226"/>
      <c r="AU186" s="226"/>
      <c r="AV186" s="226"/>
      <c r="AW186" s="226"/>
      <c r="AX186" s="226"/>
      <c r="AY186" s="226"/>
      <c r="AZ186" s="226"/>
      <c r="BA186" s="226"/>
      <c r="BB186" s="226"/>
      <c r="BC186" s="226"/>
      <c r="BD186" s="226"/>
      <c r="BE186" s="226"/>
      <c r="BF186" s="226"/>
      <c r="BG186" s="226"/>
      <c r="BH186" s="226"/>
      <c r="BI186" s="226"/>
      <c r="BJ186" s="226"/>
      <c r="BK186" s="226"/>
      <c r="BL186" s="226"/>
      <c r="BM186" s="226"/>
      <c r="BN186" s="226"/>
      <c r="BO186" s="226"/>
      <c r="BP186" s="226"/>
      <c r="BQ186" s="226"/>
      <c r="BR186" s="226"/>
      <c r="BS186" s="226"/>
      <c r="BT186" s="226"/>
      <c r="BU186" s="226"/>
      <c r="BV186" s="226"/>
      <c r="BW186" s="226"/>
      <c r="BX186" s="226"/>
      <c r="BY186" s="226"/>
      <c r="BZ186" s="226"/>
      <c r="CA186" s="226"/>
      <c r="CB186" s="226"/>
      <c r="CC186" s="226"/>
      <c r="CD186" s="226"/>
      <c r="CE186" s="226"/>
    </row>
    <row r="187" spans="1:83">
      <c r="A187" s="226"/>
      <c r="B187" s="226"/>
      <c r="C187" s="226"/>
      <c r="D187" s="226"/>
      <c r="E187" s="226"/>
      <c r="F187" s="226"/>
      <c r="G187" s="226"/>
      <c r="H187" s="226"/>
      <c r="I187" s="226"/>
      <c r="J187" s="226"/>
      <c r="K187" s="226"/>
      <c r="L187" s="226"/>
      <c r="M187" s="226"/>
      <c r="N187" s="226"/>
      <c r="O187" s="226"/>
      <c r="P187" s="226"/>
      <c r="Q187" s="226"/>
      <c r="R187" s="226"/>
      <c r="S187" s="226"/>
      <c r="T187" s="226"/>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c r="AP187" s="226"/>
      <c r="AQ187" s="226"/>
      <c r="AR187" s="226"/>
      <c r="AS187" s="226"/>
      <c r="AT187" s="226"/>
      <c r="AU187" s="226"/>
      <c r="AV187" s="226"/>
      <c r="AW187" s="226"/>
      <c r="AX187" s="226"/>
      <c r="AY187" s="226"/>
      <c r="AZ187" s="226"/>
      <c r="BA187" s="226"/>
      <c r="BB187" s="226"/>
      <c r="BC187" s="226"/>
      <c r="BD187" s="226"/>
      <c r="BE187" s="226"/>
      <c r="BF187" s="226"/>
      <c r="BG187" s="226"/>
      <c r="BH187" s="226"/>
      <c r="BI187" s="226"/>
      <c r="BJ187" s="226"/>
      <c r="BK187" s="226"/>
      <c r="BL187" s="226"/>
      <c r="BM187" s="226"/>
      <c r="BN187" s="226"/>
      <c r="BO187" s="226"/>
      <c r="BP187" s="226"/>
      <c r="BQ187" s="226"/>
      <c r="BR187" s="226"/>
      <c r="BS187" s="226"/>
      <c r="BT187" s="226"/>
      <c r="BU187" s="226"/>
      <c r="BV187" s="226"/>
      <c r="BW187" s="226"/>
      <c r="BX187" s="226"/>
      <c r="BY187" s="226"/>
      <c r="BZ187" s="226"/>
      <c r="CA187" s="226"/>
      <c r="CB187" s="226"/>
      <c r="CC187" s="226"/>
      <c r="CD187" s="226"/>
      <c r="CE187" s="226"/>
    </row>
    <row r="188" spans="1:83">
      <c r="A188" s="226"/>
      <c r="B188" s="226"/>
      <c r="C188" s="226"/>
      <c r="D188" s="226"/>
      <c r="E188" s="226"/>
      <c r="F188" s="226"/>
      <c r="G188" s="226"/>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c r="AP188" s="226"/>
      <c r="AQ188" s="226"/>
      <c r="AR188" s="226"/>
      <c r="AS188" s="226"/>
      <c r="AT188" s="226"/>
      <c r="AU188" s="226"/>
      <c r="AV188" s="226"/>
      <c r="AW188" s="226"/>
      <c r="AX188" s="226"/>
      <c r="AY188" s="226"/>
      <c r="AZ188" s="226"/>
      <c r="BA188" s="226"/>
      <c r="BB188" s="226"/>
      <c r="BC188" s="226"/>
      <c r="BD188" s="226"/>
      <c r="BE188" s="226"/>
      <c r="BF188" s="226"/>
      <c r="BG188" s="226"/>
      <c r="BH188" s="226"/>
      <c r="BI188" s="226"/>
      <c r="BJ188" s="226"/>
      <c r="BK188" s="226"/>
      <c r="BL188" s="226"/>
      <c r="BM188" s="226"/>
      <c r="BN188" s="226"/>
      <c r="BO188" s="226"/>
      <c r="BP188" s="226"/>
      <c r="BQ188" s="226"/>
      <c r="BR188" s="226"/>
      <c r="BS188" s="226"/>
      <c r="BT188" s="226"/>
      <c r="BU188" s="226"/>
      <c r="BV188" s="226"/>
      <c r="BW188" s="226"/>
      <c r="BX188" s="226"/>
      <c r="BY188" s="226"/>
      <c r="BZ188" s="226"/>
      <c r="CA188" s="226"/>
      <c r="CB188" s="226"/>
      <c r="CC188" s="226"/>
      <c r="CD188" s="226"/>
      <c r="CE188" s="226"/>
    </row>
    <row r="189" spans="1:83">
      <c r="A189" s="226"/>
      <c r="B189" s="226"/>
      <c r="C189" s="226"/>
      <c r="D189" s="226"/>
      <c r="E189" s="226"/>
      <c r="F189" s="226"/>
      <c r="G189" s="226"/>
      <c r="H189" s="226"/>
      <c r="I189" s="226"/>
      <c r="J189" s="226"/>
      <c r="K189" s="226"/>
      <c r="L189" s="226"/>
      <c r="M189" s="226"/>
      <c r="N189" s="226"/>
      <c r="O189" s="226"/>
      <c r="P189" s="226"/>
      <c r="Q189" s="226"/>
      <c r="R189" s="226"/>
      <c r="S189" s="226"/>
      <c r="T189" s="226"/>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c r="AP189" s="226"/>
      <c r="AQ189" s="226"/>
      <c r="AR189" s="226"/>
      <c r="AS189" s="226"/>
      <c r="AT189" s="226"/>
      <c r="AU189" s="226"/>
      <c r="AV189" s="226"/>
      <c r="AW189" s="226"/>
      <c r="AX189" s="226"/>
      <c r="AY189" s="226"/>
      <c r="AZ189" s="226"/>
      <c r="BA189" s="226"/>
      <c r="BB189" s="226"/>
      <c r="BC189" s="226"/>
      <c r="BD189" s="226"/>
      <c r="BE189" s="226"/>
      <c r="BF189" s="226"/>
      <c r="BG189" s="226"/>
      <c r="BH189" s="226"/>
      <c r="BI189" s="226"/>
      <c r="BJ189" s="226"/>
      <c r="BK189" s="226"/>
      <c r="BL189" s="226"/>
      <c r="BM189" s="226"/>
      <c r="BN189" s="226"/>
      <c r="BO189" s="226"/>
      <c r="BP189" s="226"/>
      <c r="BQ189" s="226"/>
      <c r="BR189" s="226"/>
      <c r="BS189" s="226"/>
      <c r="BT189" s="226"/>
      <c r="BU189" s="226"/>
      <c r="BV189" s="226"/>
      <c r="BW189" s="226"/>
      <c r="BX189" s="226"/>
      <c r="BY189" s="226"/>
      <c r="BZ189" s="226"/>
      <c r="CA189" s="226"/>
      <c r="CB189" s="226"/>
      <c r="CC189" s="226"/>
      <c r="CD189" s="226"/>
      <c r="CE189" s="226"/>
    </row>
    <row r="190" spans="1:83">
      <c r="A190" s="226"/>
      <c r="B190" s="226"/>
      <c r="C190" s="226"/>
      <c r="D190" s="226"/>
      <c r="E190" s="226"/>
      <c r="F190" s="226"/>
      <c r="G190" s="226"/>
      <c r="H190" s="226"/>
      <c r="I190" s="226"/>
      <c r="J190" s="226"/>
      <c r="K190" s="226"/>
      <c r="L190" s="226"/>
      <c r="M190" s="226"/>
      <c r="N190" s="226"/>
      <c r="O190" s="226"/>
      <c r="P190" s="226"/>
      <c r="Q190" s="226"/>
      <c r="R190" s="226"/>
      <c r="S190" s="226"/>
      <c r="T190" s="226"/>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c r="AP190" s="226"/>
      <c r="AQ190" s="226"/>
      <c r="AR190" s="226"/>
      <c r="AS190" s="226"/>
      <c r="AT190" s="226"/>
      <c r="AU190" s="226"/>
      <c r="AV190" s="226"/>
      <c r="AW190" s="226"/>
      <c r="AX190" s="226"/>
      <c r="AY190" s="226"/>
      <c r="AZ190" s="226"/>
      <c r="BA190" s="226"/>
      <c r="BB190" s="226"/>
      <c r="BC190" s="226"/>
      <c r="BD190" s="226"/>
      <c r="BE190" s="226"/>
      <c r="BF190" s="226"/>
      <c r="BG190" s="226"/>
      <c r="BH190" s="226"/>
      <c r="BI190" s="226"/>
      <c r="BJ190" s="226"/>
      <c r="BK190" s="226"/>
      <c r="BL190" s="226"/>
      <c r="BM190" s="226"/>
      <c r="BN190" s="226"/>
      <c r="BO190" s="226"/>
      <c r="BP190" s="226"/>
      <c r="BQ190" s="226"/>
      <c r="BR190" s="226"/>
      <c r="BS190" s="226"/>
      <c r="BT190" s="226"/>
      <c r="BU190" s="226"/>
      <c r="BV190" s="226"/>
      <c r="BW190" s="226"/>
      <c r="BX190" s="226"/>
      <c r="BY190" s="226"/>
      <c r="BZ190" s="226"/>
      <c r="CA190" s="226"/>
      <c r="CB190" s="226"/>
      <c r="CC190" s="226"/>
      <c r="CD190" s="226"/>
      <c r="CE190" s="226"/>
    </row>
    <row r="191" spans="1:83">
      <c r="A191" s="226"/>
      <c r="B191" s="226"/>
      <c r="C191" s="226"/>
      <c r="D191" s="226"/>
      <c r="E191" s="226"/>
      <c r="F191" s="226"/>
      <c r="G191" s="226"/>
      <c r="H191" s="226"/>
      <c r="I191" s="226"/>
      <c r="J191" s="226"/>
      <c r="K191" s="226"/>
      <c r="L191" s="226"/>
      <c r="M191" s="226"/>
      <c r="N191" s="226"/>
      <c r="O191" s="226"/>
      <c r="P191" s="226"/>
      <c r="Q191" s="226"/>
      <c r="R191" s="226"/>
      <c r="S191" s="226"/>
      <c r="T191" s="226"/>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c r="AP191" s="226"/>
      <c r="AQ191" s="226"/>
      <c r="AR191" s="226"/>
      <c r="AS191" s="226"/>
      <c r="AT191" s="226"/>
      <c r="AU191" s="226"/>
      <c r="AV191" s="226"/>
      <c r="AW191" s="226"/>
      <c r="AX191" s="226"/>
      <c r="AY191" s="226"/>
      <c r="AZ191" s="226"/>
      <c r="BA191" s="226"/>
      <c r="BB191" s="226"/>
      <c r="BC191" s="226"/>
      <c r="BD191" s="226"/>
      <c r="BE191" s="226"/>
      <c r="BF191" s="226"/>
      <c r="BG191" s="226"/>
      <c r="BH191" s="226"/>
      <c r="BI191" s="226"/>
      <c r="BJ191" s="226"/>
      <c r="BK191" s="226"/>
      <c r="BL191" s="226"/>
      <c r="BM191" s="226"/>
      <c r="BN191" s="226"/>
      <c r="BO191" s="226"/>
      <c r="BP191" s="226"/>
      <c r="BQ191" s="226"/>
      <c r="BR191" s="226"/>
      <c r="BS191" s="226"/>
      <c r="BT191" s="226"/>
      <c r="BU191" s="226"/>
      <c r="BV191" s="226"/>
      <c r="BW191" s="226"/>
      <c r="BX191" s="226"/>
      <c r="BY191" s="226"/>
      <c r="BZ191" s="226"/>
      <c r="CA191" s="226"/>
      <c r="CB191" s="226"/>
      <c r="CC191" s="226"/>
      <c r="CD191" s="226"/>
      <c r="CE191" s="226"/>
    </row>
    <row r="192" spans="1:83">
      <c r="A192" s="226"/>
      <c r="B192" s="226"/>
      <c r="C192" s="226"/>
      <c r="D192" s="226"/>
      <c r="E192" s="226"/>
      <c r="F192" s="226"/>
      <c r="G192" s="226"/>
      <c r="H192" s="226"/>
      <c r="I192" s="226"/>
      <c r="J192" s="226"/>
      <c r="K192" s="226"/>
      <c r="L192" s="226"/>
      <c r="M192" s="226"/>
      <c r="N192" s="226"/>
      <c r="O192" s="226"/>
      <c r="P192" s="226"/>
      <c r="Q192" s="226"/>
      <c r="R192" s="226"/>
      <c r="S192" s="226"/>
      <c r="T192" s="226"/>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c r="AP192" s="226"/>
      <c r="AQ192" s="226"/>
      <c r="AR192" s="226"/>
      <c r="AS192" s="226"/>
      <c r="AT192" s="226"/>
      <c r="AU192" s="226"/>
      <c r="AV192" s="226"/>
      <c r="AW192" s="226"/>
      <c r="AX192" s="226"/>
      <c r="AY192" s="226"/>
      <c r="AZ192" s="226"/>
      <c r="BA192" s="226"/>
      <c r="BB192" s="226"/>
      <c r="BC192" s="226"/>
      <c r="BD192" s="226"/>
      <c r="BE192" s="226"/>
      <c r="BF192" s="226"/>
      <c r="BG192" s="226"/>
      <c r="BH192" s="226"/>
      <c r="BI192" s="226"/>
      <c r="BJ192" s="226"/>
      <c r="BK192" s="226"/>
      <c r="BL192" s="226"/>
      <c r="BM192" s="226"/>
      <c r="BN192" s="226"/>
      <c r="BO192" s="226"/>
      <c r="BP192" s="226"/>
      <c r="BQ192" s="226"/>
      <c r="BR192" s="226"/>
      <c r="BS192" s="226"/>
      <c r="BT192" s="226"/>
      <c r="BU192" s="226"/>
      <c r="BV192" s="226"/>
      <c r="BW192" s="226"/>
      <c r="BX192" s="226"/>
      <c r="BY192" s="226"/>
      <c r="BZ192" s="226"/>
      <c r="CA192" s="226"/>
      <c r="CB192" s="226"/>
      <c r="CC192" s="226"/>
      <c r="CD192" s="226"/>
      <c r="CE192" s="226"/>
    </row>
    <row r="193" spans="1:83">
      <c r="A193" s="226"/>
      <c r="B193" s="226"/>
      <c r="C193" s="226"/>
      <c r="D193" s="226"/>
      <c r="E193" s="226"/>
      <c r="F193" s="226"/>
      <c r="G193" s="226"/>
      <c r="H193" s="226"/>
      <c r="I193" s="226"/>
      <c r="J193" s="226"/>
      <c r="K193" s="226"/>
      <c r="L193" s="226"/>
      <c r="M193" s="226"/>
      <c r="N193" s="226"/>
      <c r="O193" s="226"/>
      <c r="P193" s="226"/>
      <c r="Q193" s="226"/>
      <c r="R193" s="226"/>
      <c r="S193" s="226"/>
      <c r="T193" s="226"/>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c r="AP193" s="226"/>
      <c r="AQ193" s="226"/>
      <c r="AR193" s="226"/>
      <c r="AS193" s="226"/>
      <c r="AT193" s="226"/>
      <c r="AU193" s="226"/>
      <c r="AV193" s="226"/>
      <c r="AW193" s="226"/>
      <c r="AX193" s="226"/>
      <c r="AY193" s="226"/>
      <c r="AZ193" s="226"/>
      <c r="BA193" s="226"/>
      <c r="BB193" s="226"/>
      <c r="BC193" s="226"/>
      <c r="BD193" s="226"/>
      <c r="BE193" s="226"/>
      <c r="BF193" s="226"/>
      <c r="BG193" s="226"/>
      <c r="BH193" s="226"/>
      <c r="BI193" s="226"/>
      <c r="BJ193" s="226"/>
      <c r="BK193" s="226"/>
      <c r="BL193" s="226"/>
      <c r="BM193" s="226"/>
      <c r="BN193" s="226"/>
      <c r="BO193" s="226"/>
      <c r="BP193" s="226"/>
      <c r="BQ193" s="226"/>
      <c r="BR193" s="226"/>
      <c r="BS193" s="226"/>
      <c r="BT193" s="226"/>
      <c r="BU193" s="226"/>
      <c r="BV193" s="226"/>
      <c r="BW193" s="226"/>
      <c r="BX193" s="226"/>
      <c r="BY193" s="226"/>
      <c r="BZ193" s="226"/>
      <c r="CA193" s="226"/>
      <c r="CB193" s="226"/>
      <c r="CC193" s="226"/>
      <c r="CD193" s="226"/>
      <c r="CE193" s="226"/>
    </row>
    <row r="194" spans="1:83">
      <c r="A194" s="226"/>
      <c r="B194" s="226"/>
      <c r="C194" s="226"/>
      <c r="D194" s="226"/>
      <c r="E194" s="226"/>
      <c r="F194" s="226"/>
      <c r="G194" s="226"/>
      <c r="H194" s="226"/>
      <c r="I194" s="226"/>
      <c r="J194" s="226"/>
      <c r="K194" s="226"/>
      <c r="L194" s="226"/>
      <c r="M194" s="226"/>
      <c r="N194" s="226"/>
      <c r="O194" s="226"/>
      <c r="P194" s="226"/>
      <c r="Q194" s="226"/>
      <c r="R194" s="226"/>
      <c r="S194" s="226"/>
      <c r="T194" s="226"/>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c r="AP194" s="226"/>
      <c r="AQ194" s="226"/>
      <c r="AR194" s="226"/>
      <c r="AS194" s="226"/>
      <c r="AT194" s="226"/>
      <c r="AU194" s="226"/>
      <c r="AV194" s="226"/>
      <c r="AW194" s="226"/>
      <c r="AX194" s="226"/>
      <c r="AY194" s="226"/>
      <c r="AZ194" s="226"/>
      <c r="BA194" s="226"/>
      <c r="BB194" s="226"/>
      <c r="BC194" s="226"/>
      <c r="BD194" s="226"/>
      <c r="BE194" s="226"/>
      <c r="BF194" s="226"/>
      <c r="BG194" s="226"/>
      <c r="BH194" s="226"/>
      <c r="BI194" s="226"/>
      <c r="BJ194" s="226"/>
      <c r="BK194" s="226"/>
      <c r="BL194" s="226"/>
      <c r="BM194" s="226"/>
      <c r="BN194" s="226"/>
      <c r="BO194" s="226"/>
      <c r="BP194" s="226"/>
      <c r="BQ194" s="226"/>
      <c r="BR194" s="226"/>
      <c r="BS194" s="226"/>
      <c r="BT194" s="226"/>
      <c r="BU194" s="226"/>
      <c r="BV194" s="226"/>
      <c r="BW194" s="226"/>
      <c r="BX194" s="226"/>
      <c r="BY194" s="226"/>
      <c r="BZ194" s="226"/>
      <c r="CA194" s="226"/>
      <c r="CB194" s="226"/>
      <c r="CC194" s="226"/>
      <c r="CD194" s="226"/>
      <c r="CE194" s="226"/>
    </row>
    <row r="195" spans="1:83">
      <c r="A195" s="226"/>
      <c r="B195" s="226"/>
      <c r="C195" s="226"/>
      <c r="D195" s="226"/>
      <c r="E195" s="226"/>
      <c r="F195" s="226"/>
      <c r="G195" s="226"/>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c r="AP195" s="226"/>
      <c r="AQ195" s="226"/>
      <c r="AR195" s="226"/>
      <c r="AS195" s="226"/>
      <c r="AT195" s="226"/>
      <c r="AU195" s="226"/>
      <c r="AV195" s="226"/>
      <c r="AW195" s="226"/>
      <c r="AX195" s="226"/>
      <c r="AY195" s="226"/>
      <c r="AZ195" s="226"/>
      <c r="BA195" s="226"/>
      <c r="BB195" s="226"/>
      <c r="BC195" s="226"/>
      <c r="BD195" s="226"/>
      <c r="BE195" s="226"/>
      <c r="BF195" s="226"/>
      <c r="BG195" s="226"/>
      <c r="BH195" s="226"/>
      <c r="BI195" s="226"/>
      <c r="BJ195" s="226"/>
      <c r="BK195" s="226"/>
      <c r="BL195" s="226"/>
      <c r="BM195" s="226"/>
      <c r="BN195" s="226"/>
      <c r="BO195" s="226"/>
      <c r="BP195" s="226"/>
      <c r="BQ195" s="226"/>
      <c r="BR195" s="226"/>
      <c r="BS195" s="226"/>
      <c r="BT195" s="226"/>
      <c r="BU195" s="226"/>
      <c r="BV195" s="226"/>
      <c r="BW195" s="226"/>
      <c r="BX195" s="226"/>
      <c r="BY195" s="226"/>
      <c r="BZ195" s="226"/>
      <c r="CA195" s="226"/>
      <c r="CB195" s="226"/>
      <c r="CC195" s="226"/>
      <c r="CD195" s="226"/>
      <c r="CE195" s="226"/>
    </row>
    <row r="196" spans="1:83">
      <c r="A196" s="226"/>
      <c r="B196" s="226"/>
      <c r="C196" s="226"/>
      <c r="D196" s="226"/>
      <c r="E196" s="226"/>
      <c r="F196" s="226"/>
      <c r="G196" s="226"/>
      <c r="H196" s="226"/>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c r="AP196" s="226"/>
      <c r="AQ196" s="226"/>
      <c r="AR196" s="226"/>
      <c r="AS196" s="226"/>
      <c r="AT196" s="226"/>
      <c r="AU196" s="226"/>
      <c r="AV196" s="226"/>
      <c r="AW196" s="226"/>
      <c r="AX196" s="226"/>
      <c r="AY196" s="226"/>
      <c r="AZ196" s="226"/>
      <c r="BA196" s="226"/>
      <c r="BB196" s="226"/>
      <c r="BC196" s="226"/>
      <c r="BD196" s="226"/>
      <c r="BE196" s="226"/>
      <c r="BF196" s="226"/>
      <c r="BG196" s="226"/>
      <c r="BH196" s="226"/>
      <c r="BI196" s="226"/>
      <c r="BJ196" s="226"/>
      <c r="BK196" s="226"/>
      <c r="BL196" s="226"/>
      <c r="BM196" s="226"/>
      <c r="BN196" s="226"/>
      <c r="BO196" s="226"/>
      <c r="BP196" s="226"/>
      <c r="BQ196" s="226"/>
      <c r="BR196" s="226"/>
      <c r="BS196" s="226"/>
      <c r="BT196" s="226"/>
      <c r="BU196" s="226"/>
      <c r="BV196" s="226"/>
      <c r="BW196" s="226"/>
      <c r="BX196" s="226"/>
      <c r="BY196" s="226"/>
      <c r="BZ196" s="226"/>
      <c r="CA196" s="226"/>
      <c r="CB196" s="226"/>
      <c r="CC196" s="226"/>
      <c r="CD196" s="226"/>
      <c r="CE196" s="226"/>
    </row>
    <row r="197" spans="1:83">
      <c r="A197" s="226"/>
      <c r="B197" s="226"/>
      <c r="C197" s="226"/>
      <c r="D197" s="226"/>
      <c r="E197" s="226"/>
      <c r="F197" s="226"/>
      <c r="G197" s="226"/>
      <c r="H197" s="226"/>
      <c r="I197" s="226"/>
      <c r="J197" s="226"/>
      <c r="K197" s="226"/>
      <c r="L197" s="226"/>
      <c r="M197" s="226"/>
      <c r="N197" s="226"/>
      <c r="O197" s="226"/>
      <c r="P197" s="226"/>
      <c r="Q197" s="226"/>
      <c r="R197" s="226"/>
      <c r="S197" s="226"/>
      <c r="T197" s="226"/>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c r="AP197" s="226"/>
      <c r="AQ197" s="226"/>
      <c r="AR197" s="226"/>
      <c r="AS197" s="226"/>
      <c r="AT197" s="226"/>
      <c r="AU197" s="226"/>
      <c r="AV197" s="226"/>
      <c r="AW197" s="226"/>
      <c r="AX197" s="226"/>
      <c r="AY197" s="226"/>
      <c r="AZ197" s="226"/>
      <c r="BA197" s="226"/>
      <c r="BB197" s="226"/>
      <c r="BC197" s="226"/>
      <c r="BD197" s="226"/>
      <c r="BE197" s="226"/>
      <c r="BF197" s="226"/>
      <c r="BG197" s="226"/>
      <c r="BH197" s="226"/>
      <c r="BI197" s="226"/>
      <c r="BJ197" s="226"/>
      <c r="BK197" s="226"/>
      <c r="BL197" s="226"/>
      <c r="BM197" s="226"/>
      <c r="BN197" s="226"/>
      <c r="BO197" s="226"/>
      <c r="BP197" s="226"/>
      <c r="BQ197" s="226"/>
      <c r="BR197" s="226"/>
      <c r="BS197" s="226"/>
      <c r="BT197" s="226"/>
      <c r="BU197" s="226"/>
      <c r="BV197" s="226"/>
      <c r="BW197" s="226"/>
      <c r="BX197" s="226"/>
      <c r="BY197" s="226"/>
      <c r="BZ197" s="226"/>
      <c r="CA197" s="226"/>
      <c r="CB197" s="226"/>
      <c r="CC197" s="226"/>
      <c r="CD197" s="226"/>
      <c r="CE197" s="226"/>
    </row>
    <row r="198" spans="1:83">
      <c r="A198" s="226"/>
      <c r="B198" s="226"/>
      <c r="C198" s="226"/>
      <c r="D198" s="226"/>
      <c r="E198" s="226"/>
      <c r="F198" s="226"/>
      <c r="G198" s="226"/>
      <c r="H198" s="226"/>
      <c r="I198" s="226"/>
      <c r="J198" s="226"/>
      <c r="K198" s="226"/>
      <c r="L198" s="226"/>
      <c r="M198" s="226"/>
      <c r="N198" s="226"/>
      <c r="O198" s="226"/>
      <c r="P198" s="226"/>
      <c r="Q198" s="226"/>
      <c r="R198" s="226"/>
      <c r="S198" s="226"/>
      <c r="T198" s="226"/>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c r="AP198" s="226"/>
      <c r="AQ198" s="226"/>
      <c r="AR198" s="226"/>
      <c r="AS198" s="226"/>
      <c r="AT198" s="226"/>
      <c r="AU198" s="226"/>
      <c r="AV198" s="226"/>
      <c r="AW198" s="226"/>
      <c r="AX198" s="226"/>
      <c r="AY198" s="226"/>
      <c r="AZ198" s="226"/>
      <c r="BA198" s="226"/>
      <c r="BB198" s="226"/>
      <c r="BC198" s="226"/>
      <c r="BD198" s="226"/>
      <c r="BE198" s="226"/>
      <c r="BF198" s="226"/>
      <c r="BG198" s="226"/>
      <c r="BH198" s="226"/>
      <c r="BI198" s="226"/>
      <c r="BJ198" s="226"/>
      <c r="BK198" s="226"/>
      <c r="BL198" s="226"/>
      <c r="BM198" s="226"/>
      <c r="BN198" s="226"/>
      <c r="BO198" s="226"/>
      <c r="BP198" s="226"/>
      <c r="BQ198" s="226"/>
      <c r="BR198" s="226"/>
      <c r="BS198" s="226"/>
      <c r="BT198" s="226"/>
      <c r="BU198" s="226"/>
      <c r="BV198" s="226"/>
      <c r="BW198" s="226"/>
      <c r="BX198" s="226"/>
      <c r="BY198" s="226"/>
      <c r="BZ198" s="226"/>
      <c r="CA198" s="226"/>
      <c r="CB198" s="226"/>
      <c r="CC198" s="226"/>
      <c r="CD198" s="226"/>
      <c r="CE198" s="226"/>
    </row>
    <row r="199" spans="1:83">
      <c r="A199" s="226"/>
      <c r="B199" s="226"/>
      <c r="C199" s="226"/>
      <c r="D199" s="226"/>
      <c r="E199" s="226"/>
      <c r="F199" s="226"/>
      <c r="G199" s="226"/>
      <c r="H199" s="226"/>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c r="AP199" s="226"/>
      <c r="AQ199" s="226"/>
      <c r="AR199" s="226"/>
      <c r="AS199" s="226"/>
      <c r="AT199" s="226"/>
      <c r="AU199" s="226"/>
      <c r="AV199" s="226"/>
      <c r="AW199" s="226"/>
      <c r="AX199" s="226"/>
      <c r="AY199" s="226"/>
      <c r="AZ199" s="226"/>
      <c r="BA199" s="226"/>
      <c r="BB199" s="226"/>
      <c r="BC199" s="226"/>
      <c r="BD199" s="226"/>
      <c r="BE199" s="226"/>
      <c r="BF199" s="226"/>
      <c r="BG199" s="226"/>
      <c r="BH199" s="226"/>
      <c r="BI199" s="226"/>
      <c r="BJ199" s="226"/>
      <c r="BK199" s="226"/>
      <c r="BL199" s="226"/>
      <c r="BM199" s="226"/>
      <c r="BN199" s="226"/>
      <c r="BO199" s="226"/>
      <c r="BP199" s="226"/>
      <c r="BQ199" s="226"/>
      <c r="BR199" s="226"/>
      <c r="BS199" s="226"/>
      <c r="BT199" s="226"/>
      <c r="BU199" s="226"/>
      <c r="BV199" s="226"/>
      <c r="BW199" s="226"/>
      <c r="BX199" s="226"/>
      <c r="BY199" s="226"/>
      <c r="BZ199" s="226"/>
      <c r="CA199" s="226"/>
      <c r="CB199" s="226"/>
      <c r="CC199" s="226"/>
      <c r="CD199" s="226"/>
      <c r="CE199" s="226"/>
    </row>
    <row r="200" spans="1:83">
      <c r="A200" s="226"/>
      <c r="B200" s="226"/>
      <c r="C200" s="226"/>
      <c r="D200" s="226"/>
      <c r="E200" s="226"/>
      <c r="F200" s="226"/>
      <c r="G200" s="226"/>
      <c r="H200" s="226"/>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c r="AP200" s="226"/>
      <c r="AQ200" s="226"/>
      <c r="AR200" s="226"/>
      <c r="AS200" s="226"/>
      <c r="AT200" s="226"/>
      <c r="AU200" s="226"/>
      <c r="AV200" s="226"/>
      <c r="AW200" s="226"/>
      <c r="AX200" s="226"/>
      <c r="AY200" s="226"/>
      <c r="AZ200" s="226"/>
      <c r="BA200" s="226"/>
      <c r="BB200" s="226"/>
      <c r="BC200" s="226"/>
      <c r="BD200" s="226"/>
      <c r="BE200" s="226"/>
      <c r="BF200" s="226"/>
      <c r="BG200" s="226"/>
      <c r="BH200" s="226"/>
      <c r="BI200" s="226"/>
      <c r="BJ200" s="226"/>
      <c r="BK200" s="226"/>
      <c r="BL200" s="226"/>
      <c r="BM200" s="226"/>
      <c r="BN200" s="226"/>
      <c r="BO200" s="226"/>
      <c r="BP200" s="226"/>
      <c r="BQ200" s="226"/>
      <c r="BR200" s="226"/>
      <c r="BS200" s="226"/>
      <c r="BT200" s="226"/>
      <c r="BU200" s="226"/>
      <c r="BV200" s="226"/>
      <c r="BW200" s="226"/>
      <c r="BX200" s="226"/>
      <c r="BY200" s="226"/>
      <c r="BZ200" s="226"/>
      <c r="CA200" s="226"/>
      <c r="CB200" s="226"/>
      <c r="CC200" s="226"/>
      <c r="CD200" s="226"/>
      <c r="CE200" s="226"/>
    </row>
    <row r="201" spans="1:83">
      <c r="A201" s="226"/>
      <c r="B201" s="226"/>
      <c r="C201" s="226"/>
      <c r="D201" s="226"/>
      <c r="E201" s="226"/>
      <c r="F201" s="226"/>
      <c r="G201" s="226"/>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c r="AP201" s="226"/>
      <c r="AQ201" s="226"/>
      <c r="AR201" s="226"/>
      <c r="AS201" s="226"/>
      <c r="AT201" s="226"/>
      <c r="AU201" s="226"/>
      <c r="AV201" s="226"/>
      <c r="AW201" s="226"/>
      <c r="AX201" s="226"/>
      <c r="AY201" s="226"/>
      <c r="AZ201" s="226"/>
      <c r="BA201" s="226"/>
      <c r="BB201" s="226"/>
      <c r="BC201" s="226"/>
      <c r="BD201" s="226"/>
      <c r="BE201" s="226"/>
      <c r="BF201" s="226"/>
      <c r="BG201" s="226"/>
      <c r="BH201" s="226"/>
      <c r="BI201" s="226"/>
      <c r="BJ201" s="226"/>
      <c r="BK201" s="226"/>
      <c r="BL201" s="226"/>
      <c r="BM201" s="226"/>
      <c r="BN201" s="226"/>
      <c r="BO201" s="226"/>
      <c r="BP201" s="226"/>
      <c r="BQ201" s="226"/>
      <c r="BR201" s="226"/>
      <c r="BS201" s="226"/>
      <c r="BT201" s="226"/>
      <c r="BU201" s="226"/>
      <c r="BV201" s="226"/>
      <c r="BW201" s="226"/>
      <c r="BX201" s="226"/>
      <c r="BY201" s="226"/>
      <c r="BZ201" s="226"/>
      <c r="CA201" s="226"/>
      <c r="CB201" s="226"/>
      <c r="CC201" s="226"/>
      <c r="CD201" s="226"/>
      <c r="CE201" s="226"/>
    </row>
    <row r="202" spans="1:83">
      <c r="A202" s="226"/>
      <c r="B202" s="226"/>
      <c r="C202" s="226"/>
      <c r="D202" s="226"/>
      <c r="E202" s="226"/>
      <c r="F202" s="226"/>
      <c r="G202" s="226"/>
      <c r="H202" s="226"/>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c r="AQ202" s="226"/>
      <c r="AR202" s="226"/>
      <c r="AS202" s="226"/>
      <c r="AT202" s="226"/>
      <c r="AU202" s="226"/>
      <c r="AV202" s="226"/>
      <c r="AW202" s="226"/>
      <c r="AX202" s="226"/>
      <c r="AY202" s="226"/>
      <c r="AZ202" s="226"/>
      <c r="BA202" s="226"/>
      <c r="BB202" s="226"/>
      <c r="BC202" s="226"/>
      <c r="BD202" s="226"/>
      <c r="BE202" s="226"/>
      <c r="BF202" s="226"/>
      <c r="BG202" s="226"/>
      <c r="BH202" s="226"/>
      <c r="BI202" s="226"/>
      <c r="BJ202" s="226"/>
      <c r="BK202" s="226"/>
      <c r="BL202" s="226"/>
      <c r="BM202" s="226"/>
      <c r="BN202" s="226"/>
      <c r="BO202" s="226"/>
      <c r="BP202" s="226"/>
      <c r="BQ202" s="226"/>
      <c r="BR202" s="226"/>
      <c r="BS202" s="226"/>
      <c r="BT202" s="226"/>
      <c r="BU202" s="226"/>
      <c r="BV202" s="226"/>
      <c r="BW202" s="226"/>
      <c r="BX202" s="226"/>
      <c r="BY202" s="226"/>
      <c r="BZ202" s="226"/>
      <c r="CA202" s="226"/>
      <c r="CB202" s="226"/>
      <c r="CC202" s="226"/>
      <c r="CD202" s="226"/>
      <c r="CE202" s="226"/>
    </row>
    <row r="203" spans="1:83">
      <c r="A203" s="226"/>
      <c r="B203" s="226"/>
      <c r="C203" s="226"/>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c r="AP203" s="226"/>
      <c r="AQ203" s="226"/>
      <c r="AR203" s="226"/>
      <c r="AS203" s="226"/>
      <c r="AT203" s="226"/>
      <c r="AU203" s="226"/>
      <c r="AV203" s="226"/>
      <c r="AW203" s="226"/>
      <c r="AX203" s="226"/>
      <c r="AY203" s="226"/>
      <c r="AZ203" s="226"/>
      <c r="BA203" s="226"/>
      <c r="BB203" s="226"/>
      <c r="BC203" s="226"/>
      <c r="BD203" s="226"/>
      <c r="BE203" s="226"/>
      <c r="BF203" s="226"/>
      <c r="BG203" s="226"/>
      <c r="BH203" s="226"/>
      <c r="BI203" s="226"/>
      <c r="BJ203" s="226"/>
      <c r="BK203" s="226"/>
      <c r="BL203" s="226"/>
      <c r="BM203" s="226"/>
      <c r="BN203" s="226"/>
      <c r="BO203" s="226"/>
      <c r="BP203" s="226"/>
      <c r="BQ203" s="226"/>
      <c r="BR203" s="226"/>
      <c r="BS203" s="226"/>
      <c r="BT203" s="226"/>
      <c r="BU203" s="226"/>
      <c r="BV203" s="226"/>
      <c r="BW203" s="226"/>
      <c r="BX203" s="226"/>
      <c r="BY203" s="226"/>
      <c r="BZ203" s="226"/>
      <c r="CA203" s="226"/>
      <c r="CB203" s="226"/>
      <c r="CC203" s="226"/>
      <c r="CD203" s="226"/>
      <c r="CE203" s="226"/>
    </row>
    <row r="204" spans="1:83">
      <c r="A204" s="226"/>
      <c r="B204" s="226"/>
      <c r="C204" s="226"/>
      <c r="D204" s="226"/>
      <c r="E204" s="226"/>
      <c r="F204" s="226"/>
      <c r="G204" s="226"/>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c r="AP204" s="226"/>
      <c r="AQ204" s="226"/>
      <c r="AR204" s="226"/>
      <c r="AS204" s="226"/>
      <c r="AT204" s="226"/>
      <c r="AU204" s="226"/>
      <c r="AV204" s="226"/>
      <c r="AW204" s="226"/>
      <c r="AX204" s="226"/>
      <c r="AY204" s="226"/>
      <c r="AZ204" s="226"/>
      <c r="BA204" s="226"/>
      <c r="BB204" s="226"/>
      <c r="BC204" s="226"/>
      <c r="BD204" s="226"/>
      <c r="BE204" s="226"/>
      <c r="BF204" s="226"/>
      <c r="BG204" s="226"/>
      <c r="BH204" s="226"/>
      <c r="BI204" s="226"/>
      <c r="BJ204" s="226"/>
      <c r="BK204" s="226"/>
      <c r="BL204" s="226"/>
      <c r="BM204" s="226"/>
      <c r="BN204" s="226"/>
      <c r="BO204" s="226"/>
      <c r="BP204" s="226"/>
      <c r="BQ204" s="226"/>
      <c r="BR204" s="226"/>
      <c r="BS204" s="226"/>
      <c r="BT204" s="226"/>
      <c r="BU204" s="226"/>
      <c r="BV204" s="226"/>
      <c r="BW204" s="226"/>
      <c r="BX204" s="226"/>
      <c r="BY204" s="226"/>
      <c r="BZ204" s="226"/>
      <c r="CA204" s="226"/>
      <c r="CB204" s="226"/>
      <c r="CC204" s="226"/>
      <c r="CD204" s="226"/>
      <c r="CE204" s="226"/>
    </row>
    <row r="205" spans="1:83">
      <c r="A205" s="226"/>
      <c r="B205" s="226"/>
      <c r="C205" s="226"/>
      <c r="D205" s="226"/>
      <c r="E205" s="226"/>
      <c r="F205" s="226"/>
      <c r="G205" s="226"/>
      <c r="H205" s="226"/>
      <c r="I205" s="226"/>
      <c r="J205" s="226"/>
      <c r="K205" s="226"/>
      <c r="L205" s="226"/>
      <c r="M205" s="226"/>
      <c r="N205" s="226"/>
      <c r="O205" s="226"/>
      <c r="P205" s="226"/>
      <c r="Q205" s="226"/>
      <c r="R205" s="226"/>
      <c r="S205" s="226"/>
      <c r="T205" s="226"/>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c r="AP205" s="226"/>
      <c r="AQ205" s="226"/>
      <c r="AR205" s="226"/>
      <c r="AS205" s="226"/>
      <c r="AT205" s="226"/>
      <c r="AU205" s="226"/>
      <c r="AV205" s="226"/>
      <c r="AW205" s="226"/>
      <c r="AX205" s="226"/>
      <c r="AY205" s="226"/>
      <c r="AZ205" s="226"/>
      <c r="BA205" s="226"/>
      <c r="BB205" s="226"/>
      <c r="BC205" s="226"/>
      <c r="BD205" s="226"/>
      <c r="BE205" s="226"/>
      <c r="BF205" s="226"/>
      <c r="BG205" s="226"/>
      <c r="BH205" s="226"/>
      <c r="BI205" s="226"/>
      <c r="BJ205" s="226"/>
      <c r="BK205" s="226"/>
      <c r="BL205" s="226"/>
      <c r="BM205" s="226"/>
      <c r="BN205" s="226"/>
      <c r="BO205" s="226"/>
      <c r="BP205" s="226"/>
      <c r="BQ205" s="226"/>
      <c r="BR205" s="226"/>
      <c r="BS205" s="226"/>
      <c r="BT205" s="226"/>
      <c r="BU205" s="226"/>
      <c r="BV205" s="226"/>
      <c r="BW205" s="226"/>
      <c r="BX205" s="226"/>
      <c r="BY205" s="226"/>
      <c r="BZ205" s="226"/>
      <c r="CA205" s="226"/>
      <c r="CB205" s="226"/>
      <c r="CC205" s="226"/>
      <c r="CD205" s="226"/>
      <c r="CE205" s="226"/>
    </row>
    <row r="206" spans="1:83">
      <c r="A206" s="226"/>
      <c r="B206" s="226"/>
      <c r="C206" s="226"/>
      <c r="D206" s="226"/>
      <c r="E206" s="226"/>
      <c r="F206" s="226"/>
      <c r="G206" s="226"/>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c r="AP206" s="226"/>
      <c r="AQ206" s="226"/>
      <c r="AR206" s="226"/>
      <c r="AS206" s="226"/>
      <c r="AT206" s="226"/>
      <c r="AU206" s="226"/>
      <c r="AV206" s="226"/>
      <c r="AW206" s="226"/>
      <c r="AX206" s="226"/>
      <c r="AY206" s="226"/>
      <c r="AZ206" s="226"/>
      <c r="BA206" s="226"/>
      <c r="BB206" s="226"/>
      <c r="BC206" s="226"/>
      <c r="BD206" s="226"/>
      <c r="BE206" s="226"/>
      <c r="BF206" s="226"/>
      <c r="BG206" s="226"/>
      <c r="BH206" s="226"/>
      <c r="BI206" s="226"/>
      <c r="BJ206" s="226"/>
      <c r="BK206" s="226"/>
      <c r="BL206" s="226"/>
      <c r="BM206" s="226"/>
      <c r="BN206" s="226"/>
      <c r="BO206" s="226"/>
      <c r="BP206" s="226"/>
      <c r="BQ206" s="226"/>
      <c r="BR206" s="226"/>
      <c r="BS206" s="226"/>
      <c r="BT206" s="226"/>
      <c r="BU206" s="226"/>
      <c r="BV206" s="226"/>
      <c r="BW206" s="226"/>
      <c r="BX206" s="226"/>
      <c r="BY206" s="226"/>
      <c r="BZ206" s="226"/>
      <c r="CA206" s="226"/>
      <c r="CB206" s="226"/>
      <c r="CC206" s="226"/>
      <c r="CD206" s="226"/>
      <c r="CE206" s="226"/>
    </row>
    <row r="207" spans="1:83">
      <c r="A207" s="226"/>
      <c r="B207" s="226"/>
      <c r="C207" s="226"/>
      <c r="D207" s="226"/>
      <c r="E207" s="226"/>
      <c r="F207" s="226"/>
      <c r="G207" s="226"/>
      <c r="H207" s="226"/>
      <c r="I207" s="226"/>
      <c r="J207" s="226"/>
      <c r="K207" s="226"/>
      <c r="L207" s="226"/>
      <c r="M207" s="226"/>
      <c r="N207" s="226"/>
      <c r="O207" s="226"/>
      <c r="P207" s="226"/>
      <c r="Q207" s="226"/>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c r="AP207" s="226"/>
      <c r="AQ207" s="226"/>
      <c r="AR207" s="226"/>
      <c r="AS207" s="226"/>
      <c r="AT207" s="226"/>
      <c r="AU207" s="226"/>
      <c r="AV207" s="226"/>
      <c r="AW207" s="226"/>
      <c r="AX207" s="226"/>
      <c r="AY207" s="226"/>
      <c r="AZ207" s="226"/>
      <c r="BA207" s="226"/>
      <c r="BB207" s="226"/>
      <c r="BC207" s="226"/>
      <c r="BD207" s="226"/>
      <c r="BE207" s="226"/>
      <c r="BF207" s="226"/>
      <c r="BG207" s="226"/>
      <c r="BH207" s="226"/>
      <c r="BI207" s="226"/>
      <c r="BJ207" s="226"/>
      <c r="BK207" s="226"/>
      <c r="BL207" s="226"/>
      <c r="BM207" s="226"/>
      <c r="BN207" s="226"/>
      <c r="BO207" s="226"/>
      <c r="BP207" s="226"/>
      <c r="BQ207" s="226"/>
      <c r="BR207" s="226"/>
      <c r="BS207" s="226"/>
      <c r="BT207" s="226"/>
      <c r="BU207" s="226"/>
      <c r="BV207" s="226"/>
      <c r="BW207" s="226"/>
      <c r="BX207" s="226"/>
      <c r="BY207" s="226"/>
      <c r="BZ207" s="226"/>
      <c r="CA207" s="226"/>
      <c r="CB207" s="226"/>
      <c r="CC207" s="226"/>
      <c r="CD207" s="226"/>
      <c r="CE207" s="226"/>
    </row>
    <row r="208" spans="1:83">
      <c r="A208" s="226"/>
      <c r="B208" s="226"/>
      <c r="C208" s="226"/>
      <c r="D208" s="226"/>
      <c r="E208" s="226"/>
      <c r="F208" s="226"/>
      <c r="G208" s="226"/>
      <c r="H208" s="226"/>
      <c r="I208" s="226"/>
      <c r="J208" s="226"/>
      <c r="K208" s="226"/>
      <c r="L208" s="226"/>
      <c r="M208" s="226"/>
      <c r="N208" s="226"/>
      <c r="O208" s="226"/>
      <c r="P208" s="226"/>
      <c r="Q208" s="226"/>
      <c r="R208" s="226"/>
      <c r="S208" s="226"/>
      <c r="T208" s="226"/>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c r="AP208" s="226"/>
      <c r="AQ208" s="226"/>
      <c r="AR208" s="226"/>
      <c r="AS208" s="226"/>
      <c r="AT208" s="226"/>
      <c r="AU208" s="226"/>
      <c r="AV208" s="226"/>
      <c r="AW208" s="226"/>
      <c r="AX208" s="226"/>
      <c r="AY208" s="226"/>
      <c r="AZ208" s="226"/>
      <c r="BA208" s="226"/>
      <c r="BB208" s="226"/>
      <c r="BC208" s="226"/>
      <c r="BD208" s="226"/>
      <c r="BE208" s="226"/>
      <c r="BF208" s="226"/>
      <c r="BG208" s="226"/>
      <c r="BH208" s="226"/>
      <c r="BI208" s="226"/>
      <c r="BJ208" s="226"/>
      <c r="BK208" s="226"/>
      <c r="BL208" s="226"/>
      <c r="BM208" s="226"/>
      <c r="BN208" s="226"/>
      <c r="BO208" s="226"/>
      <c r="BP208" s="226"/>
      <c r="BQ208" s="226"/>
      <c r="BR208" s="226"/>
      <c r="BS208" s="226"/>
      <c r="BT208" s="226"/>
      <c r="BU208" s="226"/>
      <c r="BV208" s="226"/>
      <c r="BW208" s="226"/>
      <c r="BX208" s="226"/>
      <c r="BY208" s="226"/>
      <c r="BZ208" s="226"/>
      <c r="CA208" s="226"/>
      <c r="CB208" s="226"/>
      <c r="CC208" s="226"/>
      <c r="CD208" s="226"/>
      <c r="CE208" s="226"/>
    </row>
    <row r="209" spans="1:83">
      <c r="A209" s="226"/>
      <c r="B209" s="226"/>
      <c r="C209" s="226"/>
      <c r="D209" s="226"/>
      <c r="E209" s="226"/>
      <c r="F209" s="226"/>
      <c r="G209" s="226"/>
      <c r="H209" s="226"/>
      <c r="I209" s="226"/>
      <c r="J209" s="226"/>
      <c r="K209" s="226"/>
      <c r="L209" s="226"/>
      <c r="M209" s="226"/>
      <c r="N209" s="226"/>
      <c r="O209" s="226"/>
      <c r="P209" s="226"/>
      <c r="Q209" s="226"/>
      <c r="R209" s="226"/>
      <c r="S209" s="226"/>
      <c r="T209" s="226"/>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c r="AP209" s="226"/>
      <c r="AQ209" s="226"/>
      <c r="AR209" s="226"/>
      <c r="AS209" s="226"/>
      <c r="AT209" s="226"/>
      <c r="AU209" s="226"/>
      <c r="AV209" s="226"/>
      <c r="AW209" s="226"/>
      <c r="AX209" s="226"/>
      <c r="AY209" s="226"/>
      <c r="AZ209" s="226"/>
      <c r="BA209" s="226"/>
      <c r="BB209" s="226"/>
      <c r="BC209" s="226"/>
      <c r="BD209" s="226"/>
      <c r="BE209" s="226"/>
      <c r="BF209" s="226"/>
      <c r="BG209" s="226"/>
      <c r="BH209" s="226"/>
      <c r="BI209" s="226"/>
      <c r="BJ209" s="226"/>
      <c r="BK209" s="226"/>
      <c r="BL209" s="226"/>
      <c r="BM209" s="226"/>
      <c r="BN209" s="226"/>
      <c r="BO209" s="226"/>
      <c r="BP209" s="226"/>
      <c r="BQ209" s="226"/>
      <c r="BR209" s="226"/>
      <c r="BS209" s="226"/>
      <c r="BT209" s="226"/>
      <c r="BU209" s="226"/>
      <c r="BV209" s="226"/>
      <c r="BW209" s="226"/>
      <c r="BX209" s="226"/>
      <c r="BY209" s="226"/>
      <c r="BZ209" s="226"/>
      <c r="CA209" s="226"/>
      <c r="CB209" s="226"/>
      <c r="CC209" s="226"/>
      <c r="CD209" s="226"/>
      <c r="CE209" s="226"/>
    </row>
    <row r="210" spans="1:83">
      <c r="A210" s="226"/>
      <c r="B210" s="226"/>
      <c r="C210" s="226"/>
      <c r="D210" s="226"/>
      <c r="E210" s="226"/>
      <c r="F210" s="226"/>
      <c r="G210" s="226"/>
      <c r="H210" s="226"/>
      <c r="I210" s="226"/>
      <c r="J210" s="226"/>
      <c r="K210" s="226"/>
      <c r="L210" s="226"/>
      <c r="M210" s="226"/>
      <c r="N210" s="226"/>
      <c r="O210" s="226"/>
      <c r="P210" s="226"/>
      <c r="Q210" s="226"/>
      <c r="R210" s="226"/>
      <c r="S210" s="226"/>
      <c r="T210" s="226"/>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c r="AP210" s="226"/>
      <c r="AQ210" s="226"/>
      <c r="AR210" s="226"/>
      <c r="AS210" s="226"/>
      <c r="AT210" s="226"/>
      <c r="AU210" s="226"/>
      <c r="AV210" s="226"/>
      <c r="AW210" s="226"/>
      <c r="AX210" s="226"/>
      <c r="AY210" s="226"/>
      <c r="AZ210" s="226"/>
      <c r="BA210" s="226"/>
      <c r="BB210" s="226"/>
      <c r="BC210" s="226"/>
      <c r="BD210" s="226"/>
      <c r="BE210" s="226"/>
      <c r="BF210" s="226"/>
      <c r="BG210" s="226"/>
      <c r="BH210" s="226"/>
      <c r="BI210" s="226"/>
      <c r="BJ210" s="226"/>
      <c r="BK210" s="226"/>
      <c r="BL210" s="226"/>
      <c r="BM210" s="226"/>
      <c r="BN210" s="226"/>
      <c r="BO210" s="226"/>
      <c r="BP210" s="226"/>
      <c r="BQ210" s="226"/>
      <c r="BR210" s="226"/>
      <c r="BS210" s="226"/>
      <c r="BT210" s="226"/>
      <c r="BU210" s="226"/>
      <c r="BV210" s="226"/>
      <c r="BW210" s="226"/>
      <c r="BX210" s="226"/>
      <c r="BY210" s="226"/>
      <c r="BZ210" s="226"/>
      <c r="CA210" s="226"/>
      <c r="CB210" s="226"/>
      <c r="CC210" s="226"/>
      <c r="CD210" s="226"/>
      <c r="CE210" s="226"/>
    </row>
    <row r="211" spans="1:83">
      <c r="A211" s="226"/>
      <c r="B211" s="226"/>
      <c r="C211" s="226"/>
      <c r="D211" s="226"/>
      <c r="E211" s="226"/>
      <c r="F211" s="226"/>
      <c r="G211" s="226"/>
      <c r="H211" s="226"/>
      <c r="I211" s="226"/>
      <c r="J211" s="226"/>
      <c r="K211" s="226"/>
      <c r="L211" s="226"/>
      <c r="M211" s="226"/>
      <c r="N211" s="226"/>
      <c r="O211" s="226"/>
      <c r="P211" s="226"/>
      <c r="Q211" s="226"/>
      <c r="R211" s="226"/>
      <c r="S211" s="226"/>
      <c r="T211" s="226"/>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c r="AP211" s="226"/>
      <c r="AQ211" s="226"/>
      <c r="AR211" s="226"/>
      <c r="AS211" s="226"/>
      <c r="AT211" s="226"/>
      <c r="AU211" s="226"/>
      <c r="AV211" s="226"/>
      <c r="AW211" s="226"/>
      <c r="AX211" s="226"/>
      <c r="AY211" s="226"/>
      <c r="AZ211" s="226"/>
      <c r="BA211" s="226"/>
      <c r="BB211" s="226"/>
      <c r="BC211" s="226"/>
      <c r="BD211" s="226"/>
      <c r="BE211" s="226"/>
      <c r="BF211" s="226"/>
      <c r="BG211" s="226"/>
      <c r="BH211" s="226"/>
      <c r="BI211" s="226"/>
      <c r="BJ211" s="226"/>
      <c r="BK211" s="226"/>
      <c r="BL211" s="226"/>
      <c r="BM211" s="226"/>
      <c r="BN211" s="226"/>
      <c r="BO211" s="226"/>
      <c r="BP211" s="226"/>
      <c r="BQ211" s="226"/>
      <c r="BR211" s="226"/>
      <c r="BS211" s="226"/>
      <c r="BT211" s="226"/>
      <c r="BU211" s="226"/>
      <c r="BV211" s="226"/>
      <c r="BW211" s="226"/>
      <c r="BX211" s="226"/>
      <c r="BY211" s="226"/>
      <c r="BZ211" s="226"/>
      <c r="CA211" s="226"/>
      <c r="CB211" s="226"/>
      <c r="CC211" s="226"/>
      <c r="CD211" s="226"/>
      <c r="CE211" s="226"/>
    </row>
    <row r="212" spans="1:83">
      <c r="A212" s="226"/>
      <c r="B212" s="226"/>
      <c r="C212" s="226"/>
      <c r="D212" s="226"/>
      <c r="E212" s="226"/>
      <c r="F212" s="226"/>
      <c r="G212" s="226"/>
      <c r="H212" s="226"/>
      <c r="I212" s="226"/>
      <c r="J212" s="226"/>
      <c r="K212" s="226"/>
      <c r="L212" s="226"/>
      <c r="M212" s="226"/>
      <c r="N212" s="226"/>
      <c r="O212" s="226"/>
      <c r="P212" s="226"/>
      <c r="Q212" s="226"/>
      <c r="R212" s="226"/>
      <c r="S212" s="226"/>
      <c r="T212" s="226"/>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c r="AP212" s="226"/>
      <c r="AQ212" s="226"/>
      <c r="AR212" s="226"/>
      <c r="AS212" s="226"/>
      <c r="AT212" s="226"/>
      <c r="AU212" s="226"/>
      <c r="AV212" s="226"/>
      <c r="AW212" s="226"/>
      <c r="AX212" s="226"/>
      <c r="AY212" s="226"/>
      <c r="AZ212" s="226"/>
      <c r="BA212" s="226"/>
      <c r="BB212" s="226"/>
      <c r="BC212" s="226"/>
      <c r="BD212" s="226"/>
      <c r="BE212" s="226"/>
      <c r="BF212" s="226"/>
      <c r="BG212" s="226"/>
      <c r="BH212" s="226"/>
      <c r="BI212" s="226"/>
      <c r="BJ212" s="226"/>
      <c r="BK212" s="226"/>
      <c r="BL212" s="226"/>
      <c r="BM212" s="226"/>
      <c r="BN212" s="226"/>
      <c r="BO212" s="226"/>
      <c r="BP212" s="226"/>
      <c r="BQ212" s="226"/>
      <c r="BR212" s="226"/>
      <c r="BS212" s="226"/>
      <c r="BT212" s="226"/>
      <c r="BU212" s="226"/>
      <c r="BV212" s="226"/>
      <c r="BW212" s="226"/>
      <c r="BX212" s="226"/>
      <c r="BY212" s="226"/>
      <c r="BZ212" s="226"/>
      <c r="CA212" s="226"/>
      <c r="CB212" s="226"/>
      <c r="CC212" s="226"/>
      <c r="CD212" s="226"/>
      <c r="CE212" s="226"/>
    </row>
    <row r="213" spans="1:83">
      <c r="A213" s="226"/>
      <c r="B213" s="226"/>
      <c r="C213" s="226"/>
      <c r="D213" s="226"/>
      <c r="E213" s="226"/>
      <c r="F213" s="226"/>
      <c r="G213" s="226"/>
      <c r="H213" s="226"/>
      <c r="I213" s="226"/>
      <c r="J213" s="226"/>
      <c r="K213" s="226"/>
      <c r="L213" s="226"/>
      <c r="M213" s="226"/>
      <c r="N213" s="226"/>
      <c r="O213" s="226"/>
      <c r="P213" s="226"/>
      <c r="Q213" s="226"/>
      <c r="R213" s="226"/>
      <c r="S213" s="226"/>
      <c r="T213" s="226"/>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c r="AP213" s="226"/>
      <c r="AQ213" s="226"/>
      <c r="AR213" s="226"/>
      <c r="AS213" s="226"/>
      <c r="AT213" s="226"/>
      <c r="AU213" s="226"/>
      <c r="AV213" s="226"/>
      <c r="AW213" s="226"/>
      <c r="AX213" s="226"/>
      <c r="AY213" s="226"/>
      <c r="AZ213" s="226"/>
      <c r="BA213" s="226"/>
      <c r="BB213" s="226"/>
      <c r="BC213" s="226"/>
      <c r="BD213" s="226"/>
      <c r="BE213" s="226"/>
      <c r="BF213" s="226"/>
      <c r="BG213" s="226"/>
      <c r="BH213" s="226"/>
      <c r="BI213" s="226"/>
      <c r="BJ213" s="226"/>
      <c r="BK213" s="226"/>
      <c r="BL213" s="226"/>
      <c r="BM213" s="226"/>
      <c r="BN213" s="226"/>
      <c r="BO213" s="226"/>
      <c r="BP213" s="226"/>
      <c r="BQ213" s="226"/>
      <c r="BR213" s="226"/>
      <c r="BS213" s="226"/>
      <c r="BT213" s="226"/>
      <c r="BU213" s="226"/>
      <c r="BV213" s="226"/>
      <c r="BW213" s="226"/>
      <c r="BX213" s="226"/>
      <c r="BY213" s="226"/>
      <c r="BZ213" s="226"/>
      <c r="CA213" s="226"/>
      <c r="CB213" s="226"/>
      <c r="CC213" s="226"/>
      <c r="CD213" s="226"/>
      <c r="CE213" s="226"/>
    </row>
    <row r="214" spans="1:83">
      <c r="A214" s="226"/>
      <c r="B214" s="226"/>
      <c r="C214" s="226"/>
      <c r="D214" s="226"/>
      <c r="E214" s="226"/>
      <c r="F214" s="226"/>
      <c r="G214" s="226"/>
      <c r="H214" s="226"/>
      <c r="I214" s="226"/>
      <c r="J214" s="226"/>
      <c r="K214" s="226"/>
      <c r="L214" s="226"/>
      <c r="M214" s="226"/>
      <c r="N214" s="226"/>
      <c r="O214" s="226"/>
      <c r="P214" s="226"/>
      <c r="Q214" s="226"/>
      <c r="R214" s="226"/>
      <c r="S214" s="226"/>
      <c r="T214" s="226"/>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c r="AP214" s="226"/>
      <c r="AQ214" s="226"/>
      <c r="AR214" s="226"/>
      <c r="AS214" s="226"/>
      <c r="AT214" s="226"/>
      <c r="AU214" s="226"/>
      <c r="AV214" s="226"/>
      <c r="AW214" s="226"/>
      <c r="AX214" s="226"/>
      <c r="AY214" s="226"/>
      <c r="AZ214" s="226"/>
      <c r="BA214" s="226"/>
      <c r="BB214" s="226"/>
      <c r="BC214" s="226"/>
      <c r="BD214" s="226"/>
      <c r="BE214" s="226"/>
      <c r="BF214" s="226"/>
      <c r="BG214" s="226"/>
      <c r="BH214" s="226"/>
      <c r="BI214" s="226"/>
      <c r="BJ214" s="226"/>
      <c r="BK214" s="226"/>
      <c r="BL214" s="226"/>
      <c r="BM214" s="226"/>
      <c r="BN214" s="226"/>
      <c r="BO214" s="226"/>
      <c r="BP214" s="226"/>
      <c r="BQ214" s="226"/>
      <c r="BR214" s="226"/>
      <c r="BS214" s="226"/>
      <c r="BT214" s="226"/>
      <c r="BU214" s="226"/>
      <c r="BV214" s="226"/>
      <c r="BW214" s="226"/>
      <c r="BX214" s="226"/>
      <c r="BY214" s="226"/>
      <c r="BZ214" s="226"/>
      <c r="CA214" s="226"/>
      <c r="CB214" s="226"/>
      <c r="CC214" s="226"/>
      <c r="CD214" s="226"/>
      <c r="CE214" s="226"/>
    </row>
    <row r="215" spans="1:83">
      <c r="A215" s="226"/>
      <c r="B215" s="226"/>
      <c r="C215" s="226"/>
      <c r="D215" s="226"/>
      <c r="E215" s="226"/>
      <c r="F215" s="226"/>
      <c r="G215" s="226"/>
      <c r="H215" s="226"/>
      <c r="I215" s="226"/>
      <c r="J215" s="226"/>
      <c r="K215" s="226"/>
      <c r="L215" s="226"/>
      <c r="M215" s="226"/>
      <c r="N215" s="226"/>
      <c r="O215" s="226"/>
      <c r="P215" s="226"/>
      <c r="Q215" s="226"/>
      <c r="R215" s="226"/>
      <c r="S215" s="226"/>
      <c r="T215" s="226"/>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c r="AP215" s="226"/>
      <c r="AQ215" s="226"/>
      <c r="AR215" s="226"/>
      <c r="AS215" s="226"/>
      <c r="AT215" s="226"/>
      <c r="AU215" s="226"/>
      <c r="AV215" s="226"/>
      <c r="AW215" s="226"/>
      <c r="AX215" s="226"/>
      <c r="AY215" s="226"/>
      <c r="AZ215" s="226"/>
      <c r="BA215" s="226"/>
      <c r="BB215" s="226"/>
      <c r="BC215" s="226"/>
      <c r="BD215" s="226"/>
      <c r="BE215" s="226"/>
      <c r="BF215" s="226"/>
      <c r="BG215" s="226"/>
      <c r="BH215" s="226"/>
      <c r="BI215" s="226"/>
      <c r="BJ215" s="226"/>
      <c r="BK215" s="226"/>
      <c r="BL215" s="226"/>
      <c r="BM215" s="226"/>
      <c r="BN215" s="226"/>
      <c r="BO215" s="226"/>
      <c r="BP215" s="226"/>
      <c r="BQ215" s="226"/>
      <c r="BR215" s="226"/>
      <c r="BS215" s="226"/>
      <c r="BT215" s="226"/>
      <c r="BU215" s="226"/>
      <c r="BV215" s="226"/>
      <c r="BW215" s="226"/>
      <c r="BX215" s="226"/>
      <c r="BY215" s="226"/>
      <c r="BZ215" s="226"/>
      <c r="CA215" s="226"/>
      <c r="CB215" s="226"/>
      <c r="CC215" s="226"/>
      <c r="CD215" s="226"/>
      <c r="CE215" s="226"/>
    </row>
    <row r="216" spans="1:83">
      <c r="A216" s="226"/>
      <c r="B216" s="226"/>
      <c r="C216" s="226"/>
      <c r="D216" s="226"/>
      <c r="E216" s="226"/>
      <c r="F216" s="226"/>
      <c r="G216" s="226"/>
      <c r="H216" s="226"/>
      <c r="I216" s="226"/>
      <c r="J216" s="226"/>
      <c r="K216" s="226"/>
      <c r="L216" s="226"/>
      <c r="M216" s="226"/>
      <c r="N216" s="226"/>
      <c r="O216" s="226"/>
      <c r="P216" s="226"/>
      <c r="Q216" s="226"/>
      <c r="R216" s="226"/>
      <c r="S216" s="226"/>
      <c r="T216" s="226"/>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c r="AP216" s="226"/>
      <c r="AQ216" s="226"/>
      <c r="AR216" s="226"/>
      <c r="AS216" s="226"/>
      <c r="AT216" s="226"/>
      <c r="AU216" s="226"/>
      <c r="AV216" s="226"/>
      <c r="AW216" s="226"/>
      <c r="AX216" s="226"/>
      <c r="AY216" s="226"/>
      <c r="AZ216" s="226"/>
      <c r="BA216" s="226"/>
      <c r="BB216" s="226"/>
      <c r="BC216" s="226"/>
      <c r="BD216" s="226"/>
      <c r="BE216" s="226"/>
      <c r="BF216" s="226"/>
      <c r="BG216" s="226"/>
      <c r="BH216" s="226"/>
      <c r="BI216" s="226"/>
      <c r="BJ216" s="226"/>
      <c r="BK216" s="226"/>
      <c r="BL216" s="226"/>
      <c r="BM216" s="226"/>
      <c r="BN216" s="226"/>
      <c r="BO216" s="226"/>
      <c r="BP216" s="226"/>
      <c r="BQ216" s="226"/>
      <c r="BR216" s="226"/>
      <c r="BS216" s="226"/>
      <c r="BT216" s="226"/>
      <c r="BU216" s="226"/>
      <c r="BV216" s="226"/>
      <c r="BW216" s="226"/>
      <c r="BX216" s="226"/>
      <c r="BY216" s="226"/>
      <c r="BZ216" s="226"/>
      <c r="CA216" s="226"/>
      <c r="CB216" s="226"/>
      <c r="CC216" s="226"/>
      <c r="CD216" s="226"/>
      <c r="CE216" s="226"/>
    </row>
    <row r="217" spans="1:83">
      <c r="A217" s="226"/>
      <c r="B217" s="226"/>
      <c r="C217" s="226"/>
      <c r="D217" s="226"/>
      <c r="E217" s="226"/>
      <c r="F217" s="226"/>
      <c r="G217" s="226"/>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c r="AP217" s="226"/>
      <c r="AQ217" s="226"/>
      <c r="AR217" s="226"/>
      <c r="AS217" s="226"/>
      <c r="AT217" s="226"/>
      <c r="AU217" s="226"/>
      <c r="AV217" s="226"/>
      <c r="AW217" s="226"/>
      <c r="AX217" s="226"/>
      <c r="AY217" s="226"/>
      <c r="AZ217" s="226"/>
      <c r="BA217" s="226"/>
      <c r="BB217" s="226"/>
      <c r="BC217" s="226"/>
      <c r="BD217" s="226"/>
      <c r="BE217" s="226"/>
      <c r="BF217" s="226"/>
      <c r="BG217" s="226"/>
      <c r="BH217" s="226"/>
      <c r="BI217" s="226"/>
      <c r="BJ217" s="226"/>
      <c r="BK217" s="226"/>
      <c r="BL217" s="226"/>
      <c r="BM217" s="226"/>
      <c r="BN217" s="226"/>
      <c r="BO217" s="226"/>
      <c r="BP217" s="226"/>
      <c r="BQ217" s="226"/>
      <c r="BR217" s="226"/>
      <c r="BS217" s="226"/>
      <c r="BT217" s="226"/>
      <c r="BU217" s="226"/>
      <c r="BV217" s="226"/>
      <c r="BW217" s="226"/>
      <c r="BX217" s="226"/>
      <c r="BY217" s="226"/>
      <c r="BZ217" s="226"/>
      <c r="CA217" s="226"/>
      <c r="CB217" s="226"/>
      <c r="CC217" s="226"/>
      <c r="CD217" s="226"/>
      <c r="CE217" s="226"/>
    </row>
    <row r="218" spans="1:83">
      <c r="A218" s="226"/>
      <c r="B218" s="226"/>
      <c r="C218" s="226"/>
      <c r="D218" s="226"/>
      <c r="E218" s="226"/>
      <c r="F218" s="226"/>
      <c r="G218" s="226"/>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c r="AP218" s="226"/>
      <c r="AQ218" s="226"/>
      <c r="AR218" s="226"/>
      <c r="AS218" s="226"/>
      <c r="AT218" s="226"/>
      <c r="AU218" s="226"/>
      <c r="AV218" s="226"/>
      <c r="AW218" s="226"/>
      <c r="AX218" s="226"/>
      <c r="AY218" s="226"/>
      <c r="AZ218" s="226"/>
      <c r="BA218" s="226"/>
      <c r="BB218" s="226"/>
      <c r="BC218" s="226"/>
      <c r="BD218" s="226"/>
      <c r="BE218" s="226"/>
      <c r="BF218" s="226"/>
      <c r="BG218" s="226"/>
      <c r="BH218" s="226"/>
      <c r="BI218" s="226"/>
      <c r="BJ218" s="226"/>
      <c r="BK218" s="226"/>
      <c r="BL218" s="226"/>
      <c r="BM218" s="226"/>
      <c r="BN218" s="226"/>
      <c r="BO218" s="226"/>
      <c r="BP218" s="226"/>
      <c r="BQ218" s="226"/>
      <c r="BR218" s="226"/>
      <c r="BS218" s="226"/>
      <c r="BT218" s="226"/>
      <c r="BU218" s="226"/>
      <c r="BV218" s="226"/>
      <c r="BW218" s="226"/>
      <c r="BX218" s="226"/>
      <c r="BY218" s="226"/>
      <c r="BZ218" s="226"/>
      <c r="CA218" s="226"/>
      <c r="CB218" s="226"/>
      <c r="CC218" s="226"/>
      <c r="CD218" s="226"/>
      <c r="CE218" s="226"/>
    </row>
    <row r="219" spans="1:83">
      <c r="A219" s="226"/>
      <c r="B219" s="226"/>
      <c r="C219" s="226"/>
      <c r="D219" s="226"/>
      <c r="E219" s="226"/>
      <c r="F219" s="226"/>
      <c r="G219" s="226"/>
      <c r="H219" s="226"/>
      <c r="I219" s="226"/>
      <c r="J219" s="226"/>
      <c r="K219" s="226"/>
      <c r="L219" s="226"/>
      <c r="M219" s="226"/>
      <c r="N219" s="226"/>
      <c r="O219" s="226"/>
      <c r="P219" s="226"/>
      <c r="Q219" s="226"/>
      <c r="R219" s="226"/>
      <c r="S219" s="226"/>
      <c r="T219" s="226"/>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c r="AP219" s="226"/>
      <c r="AQ219" s="226"/>
      <c r="AR219" s="226"/>
      <c r="AS219" s="226"/>
      <c r="AT219" s="226"/>
      <c r="AU219" s="226"/>
      <c r="AV219" s="226"/>
      <c r="AW219" s="226"/>
      <c r="AX219" s="226"/>
      <c r="AY219" s="226"/>
      <c r="AZ219" s="226"/>
      <c r="BA219" s="226"/>
      <c r="BB219" s="226"/>
      <c r="BC219" s="226"/>
      <c r="BD219" s="226"/>
      <c r="BE219" s="226"/>
      <c r="BF219" s="226"/>
      <c r="BG219" s="226"/>
      <c r="BH219" s="226"/>
      <c r="BI219" s="226"/>
      <c r="BJ219" s="226"/>
      <c r="BK219" s="226"/>
      <c r="BL219" s="226"/>
      <c r="BM219" s="226"/>
      <c r="BN219" s="226"/>
      <c r="BO219" s="226"/>
      <c r="BP219" s="226"/>
      <c r="BQ219" s="226"/>
      <c r="BR219" s="226"/>
      <c r="BS219" s="226"/>
      <c r="BT219" s="226"/>
      <c r="BU219" s="226"/>
      <c r="BV219" s="226"/>
      <c r="BW219" s="226"/>
      <c r="BX219" s="226"/>
      <c r="BY219" s="226"/>
      <c r="BZ219" s="226"/>
      <c r="CA219" s="226"/>
      <c r="CB219" s="226"/>
      <c r="CC219" s="226"/>
      <c r="CD219" s="226"/>
      <c r="CE219" s="226"/>
    </row>
    <row r="220" spans="1:83">
      <c r="A220" s="226"/>
      <c r="B220" s="226"/>
      <c r="C220" s="226"/>
      <c r="D220" s="226"/>
      <c r="E220" s="226"/>
      <c r="F220" s="226"/>
      <c r="G220" s="226"/>
      <c r="H220" s="226"/>
      <c r="I220" s="226"/>
      <c r="J220" s="226"/>
      <c r="K220" s="226"/>
      <c r="L220" s="226"/>
      <c r="M220" s="226"/>
      <c r="N220" s="226"/>
      <c r="O220" s="226"/>
      <c r="P220" s="226"/>
      <c r="Q220" s="226"/>
      <c r="R220" s="226"/>
      <c r="S220" s="226"/>
      <c r="T220" s="226"/>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c r="AP220" s="226"/>
      <c r="AQ220" s="226"/>
      <c r="AR220" s="226"/>
      <c r="AS220" s="226"/>
      <c r="AT220" s="226"/>
      <c r="AU220" s="226"/>
      <c r="AV220" s="226"/>
      <c r="AW220" s="226"/>
      <c r="AX220" s="226"/>
      <c r="AY220" s="226"/>
      <c r="AZ220" s="226"/>
      <c r="BA220" s="226"/>
      <c r="BB220" s="226"/>
      <c r="BC220" s="226"/>
      <c r="BD220" s="226"/>
      <c r="BE220" s="226"/>
      <c r="BF220" s="226"/>
      <c r="BG220" s="226"/>
      <c r="BH220" s="226"/>
      <c r="BI220" s="226"/>
      <c r="BJ220" s="226"/>
      <c r="BK220" s="226"/>
      <c r="BL220" s="226"/>
      <c r="BM220" s="226"/>
      <c r="BN220" s="226"/>
      <c r="BO220" s="226"/>
      <c r="BP220" s="226"/>
      <c r="BQ220" s="226"/>
      <c r="BR220" s="226"/>
      <c r="BS220" s="226"/>
      <c r="BT220" s="226"/>
      <c r="BU220" s="226"/>
      <c r="BV220" s="226"/>
      <c r="BW220" s="226"/>
      <c r="BX220" s="226"/>
      <c r="BY220" s="226"/>
      <c r="BZ220" s="226"/>
      <c r="CA220" s="226"/>
      <c r="CB220" s="226"/>
      <c r="CC220" s="226"/>
      <c r="CD220" s="226"/>
      <c r="CE220" s="226"/>
    </row>
    <row r="221" spans="1:83">
      <c r="A221" s="226"/>
      <c r="B221" s="226"/>
      <c r="C221" s="226"/>
      <c r="D221" s="226"/>
      <c r="E221" s="226"/>
      <c r="F221" s="226"/>
      <c r="G221" s="226"/>
      <c r="H221" s="226"/>
      <c r="I221" s="226"/>
      <c r="J221" s="226"/>
      <c r="K221" s="226"/>
      <c r="L221" s="226"/>
      <c r="M221" s="226"/>
      <c r="N221" s="226"/>
      <c r="O221" s="226"/>
      <c r="P221" s="226"/>
      <c r="Q221" s="226"/>
      <c r="R221" s="226"/>
      <c r="S221" s="226"/>
      <c r="T221" s="226"/>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c r="AP221" s="226"/>
      <c r="AQ221" s="226"/>
      <c r="AR221" s="226"/>
      <c r="AS221" s="226"/>
      <c r="AT221" s="226"/>
      <c r="AU221" s="226"/>
      <c r="AV221" s="226"/>
      <c r="AW221" s="226"/>
      <c r="AX221" s="226"/>
      <c r="AY221" s="226"/>
      <c r="AZ221" s="226"/>
      <c r="BA221" s="226"/>
      <c r="BB221" s="226"/>
      <c r="BC221" s="226"/>
      <c r="BD221" s="226"/>
      <c r="BE221" s="226"/>
      <c r="BF221" s="226"/>
      <c r="BG221" s="226"/>
      <c r="BH221" s="226"/>
      <c r="BI221" s="226"/>
      <c r="BJ221" s="226"/>
      <c r="BK221" s="226"/>
      <c r="BL221" s="226"/>
      <c r="BM221" s="226"/>
      <c r="BN221" s="226"/>
      <c r="BO221" s="226"/>
      <c r="BP221" s="226"/>
      <c r="BQ221" s="226"/>
      <c r="BR221" s="226"/>
      <c r="BS221" s="226"/>
      <c r="BT221" s="226"/>
      <c r="BU221" s="226"/>
      <c r="BV221" s="226"/>
      <c r="BW221" s="226"/>
      <c r="BX221" s="226"/>
      <c r="BY221" s="226"/>
      <c r="BZ221" s="226"/>
      <c r="CA221" s="226"/>
      <c r="CB221" s="226"/>
      <c r="CC221" s="226"/>
      <c r="CD221" s="226"/>
      <c r="CE221" s="226"/>
    </row>
    <row r="222" spans="1:83">
      <c r="A222" s="226"/>
      <c r="B222" s="226"/>
      <c r="C222" s="226"/>
      <c r="D222" s="226"/>
      <c r="E222" s="226"/>
      <c r="F222" s="226"/>
      <c r="G222" s="226"/>
      <c r="H222" s="226"/>
      <c r="I222" s="226"/>
      <c r="J222" s="226"/>
      <c r="K222" s="226"/>
      <c r="L222" s="226"/>
      <c r="M222" s="226"/>
      <c r="N222" s="226"/>
      <c r="O222" s="226"/>
      <c r="P222" s="226"/>
      <c r="Q222" s="226"/>
      <c r="R222" s="226"/>
      <c r="S222" s="226"/>
      <c r="T222" s="226"/>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c r="AP222" s="226"/>
      <c r="AQ222" s="226"/>
      <c r="AR222" s="226"/>
      <c r="AS222" s="226"/>
      <c r="AT222" s="226"/>
      <c r="AU222" s="226"/>
      <c r="AV222" s="226"/>
      <c r="AW222" s="226"/>
      <c r="AX222" s="226"/>
      <c r="AY222" s="226"/>
      <c r="AZ222" s="226"/>
      <c r="BA222" s="226"/>
      <c r="BB222" s="226"/>
      <c r="BC222" s="226"/>
      <c r="BD222" s="226"/>
      <c r="BE222" s="226"/>
      <c r="BF222" s="226"/>
      <c r="BG222" s="226"/>
      <c r="BH222" s="226"/>
      <c r="BI222" s="226"/>
      <c r="BJ222" s="226"/>
      <c r="BK222" s="226"/>
      <c r="BL222" s="226"/>
      <c r="BM222" s="226"/>
      <c r="BN222" s="226"/>
      <c r="BO222" s="226"/>
      <c r="BP222" s="226"/>
      <c r="BQ222" s="226"/>
      <c r="BR222" s="226"/>
      <c r="BS222" s="226"/>
      <c r="BT222" s="226"/>
      <c r="BU222" s="226"/>
      <c r="BV222" s="226"/>
      <c r="BW222" s="226"/>
      <c r="BX222" s="226"/>
      <c r="BY222" s="226"/>
      <c r="BZ222" s="226"/>
      <c r="CA222" s="226"/>
      <c r="CB222" s="226"/>
      <c r="CC222" s="226"/>
      <c r="CD222" s="226"/>
      <c r="CE222" s="226"/>
    </row>
    <row r="223" spans="1:83">
      <c r="A223" s="226"/>
      <c r="B223" s="226"/>
      <c r="C223" s="226"/>
      <c r="D223" s="226"/>
      <c r="E223" s="226"/>
      <c r="F223" s="226"/>
      <c r="G223" s="226"/>
      <c r="H223" s="226"/>
      <c r="I223" s="226"/>
      <c r="J223" s="226"/>
      <c r="K223" s="226"/>
      <c r="L223" s="226"/>
      <c r="M223" s="226"/>
      <c r="N223" s="226"/>
      <c r="O223" s="226"/>
      <c r="P223" s="226"/>
      <c r="Q223" s="226"/>
      <c r="R223" s="226"/>
      <c r="S223" s="226"/>
      <c r="T223" s="226"/>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c r="AP223" s="226"/>
      <c r="AQ223" s="226"/>
      <c r="AR223" s="226"/>
      <c r="AS223" s="226"/>
      <c r="AT223" s="226"/>
      <c r="AU223" s="226"/>
      <c r="AV223" s="226"/>
      <c r="AW223" s="226"/>
      <c r="AX223" s="226"/>
      <c r="AY223" s="226"/>
      <c r="AZ223" s="226"/>
      <c r="BA223" s="226"/>
      <c r="BB223" s="226"/>
      <c r="BC223" s="226"/>
      <c r="BD223" s="226"/>
      <c r="BE223" s="226"/>
      <c r="BF223" s="226"/>
      <c r="BG223" s="226"/>
      <c r="BH223" s="226"/>
      <c r="BI223" s="226"/>
      <c r="BJ223" s="226"/>
      <c r="BK223" s="226"/>
      <c r="BL223" s="226"/>
      <c r="BM223" s="226"/>
      <c r="BN223" s="226"/>
      <c r="BO223" s="226"/>
      <c r="BP223" s="226"/>
      <c r="BQ223" s="226"/>
      <c r="BR223" s="226"/>
      <c r="BS223" s="226"/>
      <c r="BT223" s="226"/>
      <c r="BU223" s="226"/>
      <c r="BV223" s="226"/>
      <c r="BW223" s="226"/>
      <c r="BX223" s="226"/>
      <c r="BY223" s="226"/>
      <c r="BZ223" s="226"/>
      <c r="CA223" s="226"/>
      <c r="CB223" s="226"/>
      <c r="CC223" s="226"/>
      <c r="CD223" s="226"/>
      <c r="CE223" s="226"/>
    </row>
    <row r="224" spans="1:83">
      <c r="A224" s="226"/>
      <c r="B224" s="226"/>
      <c r="C224" s="226"/>
      <c r="D224" s="226"/>
      <c r="E224" s="226"/>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c r="AP224" s="226"/>
      <c r="AQ224" s="226"/>
      <c r="AR224" s="226"/>
      <c r="AS224" s="226"/>
      <c r="AT224" s="226"/>
      <c r="AU224" s="226"/>
      <c r="AV224" s="226"/>
      <c r="AW224" s="226"/>
      <c r="AX224" s="226"/>
      <c r="AY224" s="226"/>
      <c r="AZ224" s="226"/>
      <c r="BA224" s="226"/>
      <c r="BB224" s="226"/>
      <c r="BC224" s="226"/>
      <c r="BD224" s="226"/>
      <c r="BE224" s="226"/>
      <c r="BF224" s="226"/>
      <c r="BG224" s="226"/>
      <c r="BH224" s="226"/>
      <c r="BI224" s="226"/>
      <c r="BJ224" s="226"/>
      <c r="BK224" s="226"/>
      <c r="BL224" s="226"/>
      <c r="BM224" s="226"/>
      <c r="BN224" s="226"/>
      <c r="BO224" s="226"/>
      <c r="BP224" s="226"/>
      <c r="BQ224" s="226"/>
      <c r="BR224" s="226"/>
      <c r="BS224" s="226"/>
      <c r="BT224" s="226"/>
      <c r="BU224" s="226"/>
      <c r="BV224" s="226"/>
      <c r="BW224" s="226"/>
      <c r="BX224" s="226"/>
      <c r="BY224" s="226"/>
      <c r="BZ224" s="226"/>
      <c r="CA224" s="226"/>
      <c r="CB224" s="226"/>
      <c r="CC224" s="226"/>
      <c r="CD224" s="226"/>
      <c r="CE224" s="226"/>
    </row>
    <row r="225" spans="1:83">
      <c r="A225" s="226"/>
      <c r="B225" s="226"/>
      <c r="C225" s="226"/>
      <c r="D225" s="226"/>
      <c r="E225" s="226"/>
      <c r="F225" s="226"/>
      <c r="G225" s="226"/>
      <c r="H225" s="226"/>
      <c r="I225" s="226"/>
      <c r="J225" s="226"/>
      <c r="K225" s="226"/>
      <c r="L225" s="226"/>
      <c r="M225" s="226"/>
      <c r="N225" s="226"/>
      <c r="O225" s="226"/>
      <c r="P225" s="226"/>
      <c r="Q225" s="226"/>
      <c r="R225" s="226"/>
      <c r="S225" s="226"/>
      <c r="T225" s="226"/>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c r="AP225" s="226"/>
      <c r="AQ225" s="226"/>
      <c r="AR225" s="226"/>
      <c r="AS225" s="226"/>
      <c r="AT225" s="226"/>
      <c r="AU225" s="226"/>
      <c r="AV225" s="226"/>
      <c r="AW225" s="226"/>
      <c r="AX225" s="226"/>
      <c r="AY225" s="226"/>
      <c r="AZ225" s="226"/>
      <c r="BA225" s="226"/>
      <c r="BB225" s="226"/>
      <c r="BC225" s="226"/>
      <c r="BD225" s="226"/>
      <c r="BE225" s="226"/>
      <c r="BF225" s="226"/>
      <c r="BG225" s="226"/>
      <c r="BH225" s="226"/>
      <c r="BI225" s="226"/>
      <c r="BJ225" s="226"/>
      <c r="BK225" s="226"/>
      <c r="BL225" s="226"/>
      <c r="BM225" s="226"/>
      <c r="BN225" s="226"/>
      <c r="BO225" s="226"/>
      <c r="BP225" s="226"/>
      <c r="BQ225" s="226"/>
      <c r="BR225" s="226"/>
      <c r="BS225" s="226"/>
      <c r="BT225" s="226"/>
      <c r="BU225" s="226"/>
      <c r="BV225" s="226"/>
      <c r="BW225" s="226"/>
      <c r="BX225" s="226"/>
      <c r="BY225" s="226"/>
      <c r="BZ225" s="226"/>
      <c r="CA225" s="226"/>
      <c r="CB225" s="226"/>
      <c r="CC225" s="226"/>
      <c r="CD225" s="226"/>
      <c r="CE225" s="226"/>
    </row>
    <row r="226" spans="1:83">
      <c r="A226" s="226"/>
      <c r="B226" s="226"/>
      <c r="C226" s="226"/>
      <c r="D226" s="226"/>
      <c r="E226" s="226"/>
      <c r="F226" s="226"/>
      <c r="G226" s="226"/>
      <c r="H226" s="226"/>
      <c r="I226" s="226"/>
      <c r="J226" s="226"/>
      <c r="K226" s="226"/>
      <c r="L226" s="226"/>
      <c r="M226" s="226"/>
      <c r="N226" s="226"/>
      <c r="O226" s="226"/>
      <c r="P226" s="226"/>
      <c r="Q226" s="226"/>
      <c r="R226" s="226"/>
      <c r="S226" s="226"/>
      <c r="T226" s="226"/>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c r="AP226" s="226"/>
      <c r="AQ226" s="226"/>
      <c r="AR226" s="226"/>
      <c r="AS226" s="226"/>
      <c r="AT226" s="226"/>
      <c r="AU226" s="226"/>
      <c r="AV226" s="226"/>
      <c r="AW226" s="226"/>
      <c r="AX226" s="226"/>
      <c r="AY226" s="226"/>
      <c r="AZ226" s="226"/>
      <c r="BA226" s="226"/>
      <c r="BB226" s="226"/>
      <c r="BC226" s="226"/>
      <c r="BD226" s="226"/>
      <c r="BE226" s="226"/>
      <c r="BF226" s="226"/>
      <c r="BG226" s="226"/>
      <c r="BH226" s="226"/>
      <c r="BI226" s="226"/>
      <c r="BJ226" s="226"/>
      <c r="BK226" s="226"/>
      <c r="BL226" s="226"/>
      <c r="BM226" s="226"/>
      <c r="BN226" s="226"/>
      <c r="BO226" s="226"/>
      <c r="BP226" s="226"/>
      <c r="BQ226" s="226"/>
      <c r="BR226" s="226"/>
      <c r="BS226" s="226"/>
      <c r="BT226" s="226"/>
      <c r="BU226" s="226"/>
      <c r="BV226" s="226"/>
      <c r="BW226" s="226"/>
      <c r="BX226" s="226"/>
      <c r="BY226" s="226"/>
      <c r="BZ226" s="226"/>
      <c r="CA226" s="226"/>
      <c r="CB226" s="226"/>
      <c r="CC226" s="226"/>
      <c r="CD226" s="226"/>
      <c r="CE226" s="226"/>
    </row>
    <row r="227" spans="1:83">
      <c r="A227" s="226"/>
      <c r="B227" s="226"/>
      <c r="C227" s="226"/>
      <c r="D227" s="226"/>
      <c r="E227" s="226"/>
      <c r="F227" s="226"/>
      <c r="G227" s="226"/>
      <c r="H227" s="226"/>
      <c r="I227" s="226"/>
      <c r="J227" s="226"/>
      <c r="K227" s="226"/>
      <c r="L227" s="226"/>
      <c r="M227" s="226"/>
      <c r="N227" s="226"/>
      <c r="O227" s="226"/>
      <c r="P227" s="226"/>
      <c r="Q227" s="226"/>
      <c r="R227" s="226"/>
      <c r="S227" s="226"/>
      <c r="T227" s="226"/>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c r="BQ227" s="226"/>
      <c r="BR227" s="226"/>
      <c r="BS227" s="226"/>
      <c r="BT227" s="226"/>
      <c r="BU227" s="226"/>
      <c r="BV227" s="226"/>
      <c r="BW227" s="226"/>
      <c r="BX227" s="226"/>
      <c r="BY227" s="226"/>
      <c r="BZ227" s="226"/>
      <c r="CA227" s="226"/>
      <c r="CB227" s="226"/>
      <c r="CC227" s="226"/>
      <c r="CD227" s="226"/>
      <c r="CE227" s="226"/>
    </row>
    <row r="228" spans="1:83">
      <c r="A228" s="226"/>
      <c r="B228" s="226"/>
      <c r="C228" s="226"/>
      <c r="D228" s="226"/>
      <c r="E228" s="226"/>
      <c r="F228" s="226"/>
      <c r="G228" s="226"/>
      <c r="H228" s="226"/>
      <c r="I228" s="226"/>
      <c r="J228" s="226"/>
      <c r="K228" s="226"/>
      <c r="L228" s="226"/>
      <c r="M228" s="226"/>
      <c r="N228" s="226"/>
      <c r="O228" s="226"/>
      <c r="P228" s="226"/>
      <c r="Q228" s="226"/>
      <c r="R228" s="226"/>
      <c r="S228" s="226"/>
      <c r="T228" s="226"/>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c r="BQ228" s="226"/>
      <c r="BR228" s="226"/>
      <c r="BS228" s="226"/>
      <c r="BT228" s="226"/>
      <c r="BU228" s="226"/>
      <c r="BV228" s="226"/>
      <c r="BW228" s="226"/>
      <c r="BX228" s="226"/>
      <c r="BY228" s="226"/>
      <c r="BZ228" s="226"/>
      <c r="CA228" s="226"/>
      <c r="CB228" s="226"/>
      <c r="CC228" s="226"/>
      <c r="CD228" s="226"/>
      <c r="CE228" s="226"/>
    </row>
    <row r="229" spans="1:83">
      <c r="A229" s="226"/>
      <c r="B229" s="226"/>
      <c r="C229" s="226"/>
      <c r="D229" s="226"/>
      <c r="E229" s="226"/>
      <c r="F229" s="226"/>
      <c r="G229" s="226"/>
      <c r="H229" s="226"/>
      <c r="I229" s="226"/>
      <c r="J229" s="226"/>
      <c r="K229" s="226"/>
      <c r="L229" s="226"/>
      <c r="M229" s="226"/>
      <c r="N229" s="226"/>
      <c r="O229" s="226"/>
      <c r="P229" s="226"/>
      <c r="Q229" s="226"/>
      <c r="R229" s="226"/>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c r="BQ229" s="226"/>
      <c r="BR229" s="226"/>
      <c r="BS229" s="226"/>
      <c r="BT229" s="226"/>
      <c r="BU229" s="226"/>
      <c r="BV229" s="226"/>
      <c r="BW229" s="226"/>
      <c r="BX229" s="226"/>
      <c r="BY229" s="226"/>
      <c r="BZ229" s="226"/>
      <c r="CA229" s="226"/>
      <c r="CB229" s="226"/>
      <c r="CC229" s="226"/>
      <c r="CD229" s="226"/>
      <c r="CE229" s="226"/>
    </row>
    <row r="230" spans="1:83">
      <c r="A230" s="226"/>
      <c r="B230" s="226"/>
      <c r="C230" s="226"/>
      <c r="D230" s="226"/>
      <c r="E230" s="226"/>
      <c r="F230" s="226"/>
      <c r="G230" s="226"/>
      <c r="H230" s="226"/>
      <c r="I230" s="226"/>
      <c r="J230" s="226"/>
      <c r="K230" s="226"/>
      <c r="L230" s="226"/>
      <c r="M230" s="226"/>
      <c r="N230" s="226"/>
      <c r="O230" s="226"/>
      <c r="P230" s="226"/>
      <c r="Q230" s="226"/>
      <c r="R230" s="226"/>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c r="AP230" s="226"/>
      <c r="AQ230" s="226"/>
      <c r="AR230" s="226"/>
      <c r="AS230" s="226"/>
      <c r="AT230" s="226"/>
      <c r="AU230" s="226"/>
      <c r="AV230" s="226"/>
      <c r="AW230" s="226"/>
      <c r="AX230" s="226"/>
      <c r="AY230" s="226"/>
      <c r="AZ230" s="226"/>
      <c r="BA230" s="226"/>
      <c r="BB230" s="226"/>
      <c r="BC230" s="226"/>
      <c r="BD230" s="226"/>
      <c r="BE230" s="226"/>
      <c r="BF230" s="226"/>
      <c r="BG230" s="226"/>
      <c r="BH230" s="226"/>
      <c r="BI230" s="226"/>
      <c r="BJ230" s="226"/>
      <c r="BK230" s="226"/>
      <c r="BL230" s="226"/>
      <c r="BM230" s="226"/>
      <c r="BN230" s="226"/>
      <c r="BO230" s="226"/>
      <c r="BP230" s="226"/>
      <c r="BQ230" s="226"/>
      <c r="BR230" s="226"/>
      <c r="BS230" s="226"/>
      <c r="BT230" s="226"/>
      <c r="BU230" s="226"/>
      <c r="BV230" s="226"/>
      <c r="BW230" s="226"/>
      <c r="BX230" s="226"/>
      <c r="BY230" s="226"/>
      <c r="BZ230" s="226"/>
      <c r="CA230" s="226"/>
      <c r="CB230" s="226"/>
      <c r="CC230" s="226"/>
      <c r="CD230" s="226"/>
      <c r="CE230" s="226"/>
    </row>
    <row r="231" spans="1:83">
      <c r="A231" s="226"/>
      <c r="B231" s="226"/>
      <c r="C231" s="226"/>
      <c r="D231" s="226"/>
      <c r="E231" s="226"/>
      <c r="F231" s="226"/>
      <c r="G231" s="226"/>
      <c r="H231" s="226"/>
      <c r="I231" s="226"/>
      <c r="J231" s="226"/>
      <c r="K231" s="226"/>
      <c r="L231" s="226"/>
      <c r="M231" s="226"/>
      <c r="N231" s="226"/>
      <c r="O231" s="226"/>
      <c r="P231" s="226"/>
      <c r="Q231" s="226"/>
      <c r="R231" s="226"/>
      <c r="S231" s="226"/>
      <c r="T231" s="226"/>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c r="AP231" s="226"/>
      <c r="AQ231" s="226"/>
      <c r="AR231" s="226"/>
      <c r="AS231" s="226"/>
      <c r="AT231" s="226"/>
      <c r="AU231" s="226"/>
      <c r="AV231" s="226"/>
      <c r="AW231" s="226"/>
      <c r="AX231" s="226"/>
      <c r="AY231" s="226"/>
      <c r="AZ231" s="226"/>
      <c r="BA231" s="226"/>
      <c r="BB231" s="226"/>
      <c r="BC231" s="226"/>
      <c r="BD231" s="226"/>
      <c r="BE231" s="226"/>
      <c r="BF231" s="226"/>
      <c r="BG231" s="226"/>
      <c r="BH231" s="226"/>
      <c r="BI231" s="226"/>
      <c r="BJ231" s="226"/>
      <c r="BK231" s="226"/>
      <c r="BL231" s="226"/>
      <c r="BM231" s="226"/>
      <c r="BN231" s="226"/>
      <c r="BO231" s="226"/>
      <c r="BP231" s="226"/>
      <c r="BQ231" s="226"/>
      <c r="BR231" s="226"/>
      <c r="BS231" s="226"/>
      <c r="BT231" s="226"/>
      <c r="BU231" s="226"/>
      <c r="BV231" s="226"/>
      <c r="BW231" s="226"/>
      <c r="BX231" s="226"/>
      <c r="BY231" s="226"/>
      <c r="BZ231" s="226"/>
      <c r="CA231" s="226"/>
      <c r="CB231" s="226"/>
      <c r="CC231" s="226"/>
      <c r="CD231" s="226"/>
      <c r="CE231" s="226"/>
    </row>
    <row r="232" spans="1:83">
      <c r="A232" s="226"/>
      <c r="B232" s="226"/>
      <c r="C232" s="226"/>
      <c r="D232" s="226"/>
      <c r="E232" s="226"/>
      <c r="F232" s="226"/>
      <c r="G232" s="226"/>
      <c r="H232" s="226"/>
      <c r="I232" s="226"/>
      <c r="J232" s="226"/>
      <c r="K232" s="226"/>
      <c r="L232" s="226"/>
      <c r="M232" s="226"/>
      <c r="N232" s="226"/>
      <c r="O232" s="226"/>
      <c r="P232" s="226"/>
      <c r="Q232" s="226"/>
      <c r="R232" s="226"/>
      <c r="S232" s="226"/>
      <c r="T232" s="226"/>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c r="AP232" s="226"/>
      <c r="AQ232" s="226"/>
      <c r="AR232" s="226"/>
      <c r="AS232" s="226"/>
      <c r="AT232" s="226"/>
      <c r="AU232" s="226"/>
      <c r="AV232" s="226"/>
      <c r="AW232" s="226"/>
      <c r="AX232" s="226"/>
      <c r="AY232" s="226"/>
      <c r="AZ232" s="226"/>
      <c r="BA232" s="226"/>
      <c r="BB232" s="226"/>
      <c r="BC232" s="226"/>
      <c r="BD232" s="226"/>
      <c r="BE232" s="226"/>
      <c r="BF232" s="226"/>
      <c r="BG232" s="226"/>
      <c r="BH232" s="226"/>
      <c r="BI232" s="226"/>
      <c r="BJ232" s="226"/>
      <c r="BK232" s="226"/>
      <c r="BL232" s="226"/>
      <c r="BM232" s="226"/>
      <c r="BN232" s="226"/>
      <c r="BO232" s="226"/>
      <c r="BP232" s="226"/>
      <c r="BQ232" s="226"/>
      <c r="BR232" s="226"/>
      <c r="BS232" s="226"/>
      <c r="BT232" s="226"/>
      <c r="BU232" s="226"/>
      <c r="BV232" s="226"/>
      <c r="BW232" s="226"/>
      <c r="BX232" s="226"/>
      <c r="BY232" s="226"/>
      <c r="BZ232" s="226"/>
      <c r="CA232" s="226"/>
      <c r="CB232" s="226"/>
      <c r="CC232" s="226"/>
      <c r="CD232" s="226"/>
      <c r="CE232" s="226"/>
    </row>
    <row r="233" spans="1:83">
      <c r="A233" s="226"/>
      <c r="B233" s="226"/>
      <c r="C233" s="226"/>
      <c r="D233" s="226"/>
      <c r="E233" s="226"/>
      <c r="F233" s="226"/>
      <c r="G233" s="226"/>
      <c r="H233" s="226"/>
      <c r="I233" s="226"/>
      <c r="J233" s="226"/>
      <c r="K233" s="226"/>
      <c r="L233" s="226"/>
      <c r="M233" s="226"/>
      <c r="N233" s="226"/>
      <c r="O233" s="226"/>
      <c r="P233" s="226"/>
      <c r="Q233" s="226"/>
      <c r="R233" s="226"/>
      <c r="S233" s="226"/>
      <c r="T233" s="226"/>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c r="AP233" s="226"/>
      <c r="AQ233" s="226"/>
      <c r="AR233" s="226"/>
      <c r="AS233" s="226"/>
      <c r="AT233" s="226"/>
      <c r="AU233" s="226"/>
      <c r="AV233" s="226"/>
      <c r="AW233" s="226"/>
      <c r="AX233" s="226"/>
      <c r="AY233" s="226"/>
      <c r="AZ233" s="226"/>
      <c r="BA233" s="226"/>
      <c r="BB233" s="226"/>
      <c r="BC233" s="226"/>
      <c r="BD233" s="226"/>
      <c r="BE233" s="226"/>
      <c r="BF233" s="226"/>
      <c r="BG233" s="226"/>
      <c r="BH233" s="226"/>
      <c r="BI233" s="226"/>
      <c r="BJ233" s="226"/>
      <c r="BK233" s="226"/>
      <c r="BL233" s="226"/>
      <c r="BM233" s="226"/>
      <c r="BN233" s="226"/>
      <c r="BO233" s="226"/>
      <c r="BP233" s="226"/>
      <c r="BQ233" s="226"/>
      <c r="BR233" s="226"/>
      <c r="BS233" s="226"/>
      <c r="BT233" s="226"/>
      <c r="BU233" s="226"/>
      <c r="BV233" s="226"/>
      <c r="BW233" s="226"/>
      <c r="BX233" s="226"/>
      <c r="BY233" s="226"/>
      <c r="BZ233" s="226"/>
      <c r="CA233" s="226"/>
      <c r="CB233" s="226"/>
      <c r="CC233" s="226"/>
      <c r="CD233" s="226"/>
      <c r="CE233" s="226"/>
    </row>
    <row r="234" spans="1:83">
      <c r="A234" s="226"/>
      <c r="B234" s="226"/>
      <c r="C234" s="226"/>
      <c r="D234" s="226"/>
      <c r="E234" s="226"/>
      <c r="F234" s="226"/>
      <c r="G234" s="226"/>
      <c r="H234" s="226"/>
      <c r="I234" s="226"/>
      <c r="J234" s="226"/>
      <c r="K234" s="226"/>
      <c r="L234" s="226"/>
      <c r="M234" s="226"/>
      <c r="N234" s="226"/>
      <c r="O234" s="226"/>
      <c r="P234" s="226"/>
      <c r="Q234" s="226"/>
      <c r="R234" s="226"/>
      <c r="S234" s="226"/>
      <c r="T234" s="226"/>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c r="AP234" s="226"/>
      <c r="AQ234" s="226"/>
      <c r="AR234" s="226"/>
      <c r="AS234" s="226"/>
      <c r="AT234" s="226"/>
      <c r="AU234" s="226"/>
      <c r="AV234" s="226"/>
      <c r="AW234" s="226"/>
      <c r="AX234" s="226"/>
      <c r="AY234" s="226"/>
      <c r="AZ234" s="226"/>
      <c r="BA234" s="226"/>
      <c r="BB234" s="226"/>
      <c r="BC234" s="226"/>
      <c r="BD234" s="226"/>
      <c r="BE234" s="226"/>
      <c r="BF234" s="226"/>
      <c r="BG234" s="226"/>
      <c r="BH234" s="226"/>
      <c r="BI234" s="226"/>
      <c r="BJ234" s="226"/>
      <c r="BK234" s="226"/>
      <c r="BL234" s="226"/>
      <c r="BM234" s="226"/>
      <c r="BN234" s="226"/>
      <c r="BO234" s="226"/>
      <c r="BP234" s="226"/>
      <c r="BQ234" s="226"/>
      <c r="BR234" s="226"/>
      <c r="BS234" s="226"/>
      <c r="BT234" s="226"/>
      <c r="BU234" s="226"/>
      <c r="BV234" s="226"/>
      <c r="BW234" s="226"/>
      <c r="BX234" s="226"/>
      <c r="BY234" s="226"/>
      <c r="BZ234" s="226"/>
      <c r="CA234" s="226"/>
      <c r="CB234" s="226"/>
      <c r="CC234" s="226"/>
      <c r="CD234" s="226"/>
      <c r="CE234" s="226"/>
    </row>
    <row r="235" spans="1:83">
      <c r="A235" s="226"/>
      <c r="B235" s="226"/>
      <c r="C235" s="226"/>
      <c r="D235" s="226"/>
      <c r="E235" s="226"/>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c r="BM235" s="226"/>
      <c r="BN235" s="226"/>
      <c r="BO235" s="226"/>
      <c r="BP235" s="226"/>
      <c r="BQ235" s="226"/>
      <c r="BR235" s="226"/>
      <c r="BS235" s="226"/>
      <c r="BT235" s="226"/>
      <c r="BU235" s="226"/>
      <c r="BV235" s="226"/>
      <c r="BW235" s="226"/>
      <c r="BX235" s="226"/>
      <c r="BY235" s="226"/>
      <c r="BZ235" s="226"/>
      <c r="CA235" s="226"/>
      <c r="CB235" s="226"/>
      <c r="CC235" s="226"/>
      <c r="CD235" s="226"/>
      <c r="CE235" s="226"/>
    </row>
    <row r="236" spans="1:83">
      <c r="A236" s="226"/>
      <c r="B236" s="226"/>
      <c r="C236" s="226"/>
      <c r="D236" s="226"/>
      <c r="E236" s="226"/>
      <c r="F236" s="226"/>
      <c r="G236" s="226"/>
      <c r="H236" s="226"/>
      <c r="I236" s="226"/>
      <c r="J236" s="226"/>
      <c r="K236" s="226"/>
      <c r="L236" s="226"/>
      <c r="M236" s="226"/>
      <c r="N236" s="226"/>
      <c r="O236" s="226"/>
      <c r="P236" s="226"/>
      <c r="Q236" s="226"/>
      <c r="R236" s="226"/>
      <c r="S236" s="226"/>
      <c r="T236" s="226"/>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c r="BQ236" s="226"/>
      <c r="BR236" s="226"/>
      <c r="BS236" s="226"/>
      <c r="BT236" s="226"/>
      <c r="BU236" s="226"/>
      <c r="BV236" s="226"/>
      <c r="BW236" s="226"/>
      <c r="BX236" s="226"/>
      <c r="BY236" s="226"/>
      <c r="BZ236" s="226"/>
      <c r="CA236" s="226"/>
      <c r="CB236" s="226"/>
      <c r="CC236" s="226"/>
      <c r="CD236" s="226"/>
      <c r="CE236" s="226"/>
    </row>
    <row r="237" spans="1:83">
      <c r="A237" s="226"/>
      <c r="B237" s="226"/>
      <c r="C237" s="226"/>
      <c r="D237" s="226"/>
      <c r="E237" s="226"/>
      <c r="F237" s="226"/>
      <c r="G237" s="226"/>
      <c r="H237" s="226"/>
      <c r="I237" s="226"/>
      <c r="J237" s="226"/>
      <c r="K237" s="226"/>
      <c r="L237" s="226"/>
      <c r="M237" s="226"/>
      <c r="N237" s="226"/>
      <c r="O237" s="226"/>
      <c r="P237" s="226"/>
      <c r="Q237" s="226"/>
      <c r="R237" s="226"/>
      <c r="S237" s="226"/>
      <c r="T237" s="226"/>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c r="AP237" s="226"/>
      <c r="AQ237" s="226"/>
      <c r="AR237" s="226"/>
      <c r="AS237" s="226"/>
      <c r="AT237" s="226"/>
      <c r="AU237" s="226"/>
      <c r="AV237" s="226"/>
      <c r="AW237" s="226"/>
      <c r="AX237" s="226"/>
      <c r="AY237" s="226"/>
      <c r="AZ237" s="226"/>
      <c r="BA237" s="226"/>
      <c r="BB237" s="226"/>
      <c r="BC237" s="226"/>
      <c r="BD237" s="226"/>
      <c r="BE237" s="226"/>
      <c r="BF237" s="226"/>
      <c r="BG237" s="226"/>
      <c r="BH237" s="226"/>
      <c r="BI237" s="226"/>
      <c r="BJ237" s="226"/>
      <c r="BK237" s="226"/>
      <c r="BL237" s="226"/>
      <c r="BM237" s="226"/>
      <c r="BN237" s="226"/>
      <c r="BO237" s="226"/>
      <c r="BP237" s="226"/>
      <c r="BQ237" s="226"/>
      <c r="BR237" s="226"/>
      <c r="BS237" s="226"/>
      <c r="BT237" s="226"/>
      <c r="BU237" s="226"/>
      <c r="BV237" s="226"/>
      <c r="BW237" s="226"/>
      <c r="BX237" s="226"/>
      <c r="BY237" s="226"/>
      <c r="BZ237" s="226"/>
      <c r="CA237" s="226"/>
      <c r="CB237" s="226"/>
      <c r="CC237" s="226"/>
      <c r="CD237" s="226"/>
      <c r="CE237" s="226"/>
    </row>
    <row r="238" spans="1:83">
      <c r="A238" s="226"/>
      <c r="B238" s="226"/>
      <c r="C238" s="226"/>
      <c r="D238" s="226"/>
      <c r="E238" s="226"/>
      <c r="F238" s="226"/>
      <c r="G238" s="226"/>
      <c r="H238" s="226"/>
      <c r="I238" s="226"/>
      <c r="J238" s="226"/>
      <c r="K238" s="226"/>
      <c r="L238" s="226"/>
      <c r="M238" s="226"/>
      <c r="N238" s="226"/>
      <c r="O238" s="226"/>
      <c r="P238" s="226"/>
      <c r="Q238" s="226"/>
      <c r="R238" s="226"/>
      <c r="S238" s="226"/>
      <c r="T238" s="226"/>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c r="AP238" s="226"/>
      <c r="AQ238" s="226"/>
      <c r="AR238" s="226"/>
      <c r="AS238" s="226"/>
      <c r="AT238" s="226"/>
      <c r="AU238" s="226"/>
      <c r="AV238" s="226"/>
      <c r="AW238" s="226"/>
      <c r="AX238" s="226"/>
      <c r="AY238" s="226"/>
      <c r="AZ238" s="226"/>
      <c r="BA238" s="226"/>
      <c r="BB238" s="226"/>
      <c r="BC238" s="226"/>
      <c r="BD238" s="226"/>
      <c r="BE238" s="226"/>
      <c r="BF238" s="226"/>
      <c r="BG238" s="226"/>
      <c r="BH238" s="226"/>
      <c r="BI238" s="226"/>
      <c r="BJ238" s="226"/>
      <c r="BK238" s="226"/>
      <c r="BL238" s="226"/>
      <c r="BM238" s="226"/>
      <c r="BN238" s="226"/>
      <c r="BO238" s="226"/>
      <c r="BP238" s="226"/>
      <c r="BQ238" s="226"/>
      <c r="BR238" s="226"/>
      <c r="BS238" s="226"/>
      <c r="BT238" s="226"/>
      <c r="BU238" s="226"/>
      <c r="BV238" s="226"/>
      <c r="BW238" s="226"/>
      <c r="BX238" s="226"/>
      <c r="BY238" s="226"/>
      <c r="BZ238" s="226"/>
      <c r="CA238" s="226"/>
      <c r="CB238" s="226"/>
      <c r="CC238" s="226"/>
      <c r="CD238" s="226"/>
      <c r="CE238" s="226"/>
    </row>
    <row r="239" spans="1:83">
      <c r="A239" s="226"/>
      <c r="B239" s="226"/>
      <c r="C239" s="226"/>
      <c r="D239" s="226"/>
      <c r="E239" s="226"/>
      <c r="F239" s="226"/>
      <c r="G239" s="226"/>
      <c r="H239" s="226"/>
      <c r="I239" s="226"/>
      <c r="J239" s="226"/>
      <c r="K239" s="226"/>
      <c r="L239" s="226"/>
      <c r="M239" s="226"/>
      <c r="N239" s="226"/>
      <c r="O239" s="226"/>
      <c r="P239" s="226"/>
      <c r="Q239" s="226"/>
      <c r="R239" s="226"/>
      <c r="S239" s="226"/>
      <c r="T239" s="226"/>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c r="AP239" s="226"/>
      <c r="AQ239" s="226"/>
      <c r="AR239" s="226"/>
      <c r="AS239" s="226"/>
      <c r="AT239" s="226"/>
      <c r="AU239" s="226"/>
      <c r="AV239" s="226"/>
      <c r="AW239" s="226"/>
      <c r="AX239" s="226"/>
      <c r="AY239" s="226"/>
      <c r="AZ239" s="226"/>
      <c r="BA239" s="226"/>
      <c r="BB239" s="226"/>
      <c r="BC239" s="226"/>
      <c r="BD239" s="226"/>
      <c r="BE239" s="226"/>
      <c r="BF239" s="226"/>
      <c r="BG239" s="226"/>
      <c r="BH239" s="226"/>
      <c r="BI239" s="226"/>
      <c r="BJ239" s="226"/>
      <c r="BK239" s="226"/>
      <c r="BL239" s="226"/>
      <c r="BM239" s="226"/>
      <c r="BN239" s="226"/>
      <c r="BO239" s="226"/>
      <c r="BP239" s="226"/>
      <c r="BQ239" s="226"/>
      <c r="BR239" s="226"/>
      <c r="BS239" s="226"/>
      <c r="BT239" s="226"/>
      <c r="BU239" s="226"/>
      <c r="BV239" s="226"/>
      <c r="BW239" s="226"/>
      <c r="BX239" s="226"/>
      <c r="BY239" s="226"/>
      <c r="BZ239" s="226"/>
      <c r="CA239" s="226"/>
      <c r="CB239" s="226"/>
      <c r="CC239" s="226"/>
      <c r="CD239" s="226"/>
      <c r="CE239" s="226"/>
    </row>
    <row r="240" spans="1:83">
      <c r="A240" s="226"/>
      <c r="B240" s="226"/>
      <c r="C240" s="226"/>
      <c r="D240" s="226"/>
      <c r="E240" s="226"/>
      <c r="F240" s="226"/>
      <c r="G240" s="226"/>
      <c r="H240" s="226"/>
      <c r="I240" s="226"/>
      <c r="J240" s="226"/>
      <c r="K240" s="226"/>
      <c r="L240" s="226"/>
      <c r="M240" s="226"/>
      <c r="N240" s="226"/>
      <c r="O240" s="226"/>
      <c r="P240" s="226"/>
      <c r="Q240" s="226"/>
      <c r="R240" s="226"/>
      <c r="S240" s="226"/>
      <c r="T240" s="226"/>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c r="AP240" s="226"/>
      <c r="AQ240" s="226"/>
      <c r="AR240" s="226"/>
      <c r="AS240" s="226"/>
      <c r="AT240" s="226"/>
      <c r="AU240" s="226"/>
      <c r="AV240" s="226"/>
      <c r="AW240" s="226"/>
      <c r="AX240" s="226"/>
      <c r="AY240" s="226"/>
      <c r="AZ240" s="226"/>
      <c r="BA240" s="226"/>
      <c r="BB240" s="226"/>
      <c r="BC240" s="226"/>
      <c r="BD240" s="226"/>
      <c r="BE240" s="226"/>
      <c r="BF240" s="226"/>
      <c r="BG240" s="226"/>
      <c r="BH240" s="226"/>
      <c r="BI240" s="226"/>
      <c r="BJ240" s="226"/>
      <c r="BK240" s="226"/>
      <c r="BL240" s="226"/>
      <c r="BM240" s="226"/>
      <c r="BN240" s="226"/>
      <c r="BO240" s="226"/>
      <c r="BP240" s="226"/>
      <c r="BQ240" s="226"/>
      <c r="BR240" s="226"/>
      <c r="BS240" s="226"/>
      <c r="BT240" s="226"/>
      <c r="BU240" s="226"/>
      <c r="BV240" s="226"/>
      <c r="BW240" s="226"/>
      <c r="BX240" s="226"/>
      <c r="BY240" s="226"/>
      <c r="BZ240" s="226"/>
      <c r="CA240" s="226"/>
      <c r="CB240" s="226"/>
      <c r="CC240" s="226"/>
      <c r="CD240" s="226"/>
      <c r="CE240" s="226"/>
    </row>
    <row r="241" spans="1:83">
      <c r="A241" s="226"/>
      <c r="B241" s="226"/>
      <c r="C241" s="226"/>
      <c r="D241" s="226"/>
      <c r="E241" s="226"/>
      <c r="F241" s="226"/>
      <c r="G241" s="226"/>
      <c r="H241" s="226"/>
      <c r="I241" s="226"/>
      <c r="J241" s="226"/>
      <c r="K241" s="226"/>
      <c r="L241" s="226"/>
      <c r="M241" s="226"/>
      <c r="N241" s="226"/>
      <c r="O241" s="226"/>
      <c r="P241" s="226"/>
      <c r="Q241" s="226"/>
      <c r="R241" s="226"/>
      <c r="S241" s="226"/>
      <c r="T241" s="226"/>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c r="AP241" s="226"/>
      <c r="AQ241" s="226"/>
      <c r="AR241" s="226"/>
      <c r="AS241" s="226"/>
      <c r="AT241" s="226"/>
      <c r="AU241" s="226"/>
      <c r="AV241" s="226"/>
      <c r="AW241" s="226"/>
      <c r="AX241" s="226"/>
      <c r="AY241" s="226"/>
      <c r="AZ241" s="226"/>
      <c r="BA241" s="226"/>
      <c r="BB241" s="226"/>
      <c r="BC241" s="226"/>
      <c r="BD241" s="226"/>
      <c r="BE241" s="226"/>
      <c r="BF241" s="226"/>
      <c r="BG241" s="226"/>
      <c r="BH241" s="226"/>
      <c r="BI241" s="226"/>
      <c r="BJ241" s="226"/>
      <c r="BK241" s="226"/>
      <c r="BL241" s="226"/>
      <c r="BM241" s="226"/>
      <c r="BN241" s="226"/>
      <c r="BO241" s="226"/>
      <c r="BP241" s="226"/>
      <c r="BQ241" s="226"/>
      <c r="BR241" s="226"/>
      <c r="BS241" s="226"/>
      <c r="BT241" s="226"/>
      <c r="BU241" s="226"/>
      <c r="BV241" s="226"/>
      <c r="BW241" s="226"/>
      <c r="BX241" s="226"/>
      <c r="BY241" s="226"/>
      <c r="BZ241" s="226"/>
      <c r="CA241" s="226"/>
      <c r="CB241" s="226"/>
      <c r="CC241" s="226"/>
      <c r="CD241" s="226"/>
      <c r="CE241" s="226"/>
    </row>
    <row r="242" spans="1:83">
      <c r="A242" s="226"/>
      <c r="B242" s="226"/>
      <c r="C242" s="226"/>
      <c r="D242" s="226"/>
      <c r="E242" s="226"/>
      <c r="F242" s="226"/>
      <c r="G242" s="226"/>
      <c r="H242" s="226"/>
      <c r="I242" s="226"/>
      <c r="J242" s="226"/>
      <c r="K242" s="226"/>
      <c r="L242" s="226"/>
      <c r="M242" s="226"/>
      <c r="N242" s="226"/>
      <c r="O242" s="226"/>
      <c r="P242" s="226"/>
      <c r="Q242" s="226"/>
      <c r="R242" s="226"/>
      <c r="S242" s="226"/>
      <c r="T242" s="226"/>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c r="AP242" s="226"/>
      <c r="AQ242" s="226"/>
      <c r="AR242" s="226"/>
      <c r="AS242" s="226"/>
      <c r="AT242" s="226"/>
      <c r="AU242" s="226"/>
      <c r="AV242" s="226"/>
      <c r="AW242" s="226"/>
      <c r="AX242" s="226"/>
      <c r="AY242" s="226"/>
      <c r="AZ242" s="226"/>
      <c r="BA242" s="226"/>
      <c r="BB242" s="226"/>
      <c r="BC242" s="226"/>
      <c r="BD242" s="226"/>
      <c r="BE242" s="226"/>
      <c r="BF242" s="226"/>
      <c r="BG242" s="226"/>
      <c r="BH242" s="226"/>
      <c r="BI242" s="226"/>
      <c r="BJ242" s="226"/>
      <c r="BK242" s="226"/>
      <c r="BL242" s="226"/>
      <c r="BM242" s="226"/>
      <c r="BN242" s="226"/>
      <c r="BO242" s="226"/>
      <c r="BP242" s="226"/>
      <c r="BQ242" s="226"/>
      <c r="BR242" s="226"/>
      <c r="BS242" s="226"/>
      <c r="BT242" s="226"/>
      <c r="BU242" s="226"/>
      <c r="BV242" s="226"/>
      <c r="BW242" s="226"/>
      <c r="BX242" s="226"/>
      <c r="BY242" s="226"/>
      <c r="BZ242" s="226"/>
      <c r="CA242" s="226"/>
      <c r="CB242" s="226"/>
      <c r="CC242" s="226"/>
      <c r="CD242" s="226"/>
      <c r="CE242" s="226"/>
    </row>
    <row r="243" spans="1:83">
      <c r="A243" s="226"/>
      <c r="B243" s="226"/>
      <c r="C243" s="226"/>
      <c r="D243" s="226"/>
      <c r="E243" s="226"/>
      <c r="F243" s="226"/>
      <c r="G243" s="226"/>
      <c r="H243" s="226"/>
      <c r="I243" s="226"/>
      <c r="J243" s="226"/>
      <c r="K243" s="226"/>
      <c r="L243" s="226"/>
      <c r="M243" s="226"/>
      <c r="N243" s="226"/>
      <c r="O243" s="226"/>
      <c r="P243" s="226"/>
      <c r="Q243" s="226"/>
      <c r="R243" s="226"/>
      <c r="S243" s="226"/>
      <c r="T243" s="226"/>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c r="AP243" s="226"/>
      <c r="AQ243" s="226"/>
      <c r="AR243" s="226"/>
      <c r="AS243" s="226"/>
      <c r="AT243" s="226"/>
      <c r="AU243" s="226"/>
      <c r="AV243" s="226"/>
      <c r="AW243" s="226"/>
      <c r="AX243" s="226"/>
      <c r="AY243" s="226"/>
      <c r="AZ243" s="226"/>
      <c r="BA243" s="226"/>
      <c r="BB243" s="226"/>
      <c r="BC243" s="226"/>
      <c r="BD243" s="226"/>
      <c r="BE243" s="226"/>
      <c r="BF243" s="226"/>
      <c r="BG243" s="226"/>
      <c r="BH243" s="226"/>
      <c r="BI243" s="226"/>
      <c r="BJ243" s="226"/>
      <c r="BK243" s="226"/>
      <c r="BL243" s="226"/>
      <c r="BM243" s="226"/>
      <c r="BN243" s="226"/>
      <c r="BO243" s="226"/>
      <c r="BP243" s="226"/>
      <c r="BQ243" s="226"/>
      <c r="BR243" s="226"/>
      <c r="BS243" s="226"/>
      <c r="BT243" s="226"/>
      <c r="BU243" s="226"/>
      <c r="BV243" s="226"/>
      <c r="BW243" s="226"/>
      <c r="BX243" s="226"/>
      <c r="BY243" s="226"/>
      <c r="BZ243" s="226"/>
      <c r="CA243" s="226"/>
      <c r="CB243" s="226"/>
      <c r="CC243" s="226"/>
      <c r="CD243" s="226"/>
      <c r="CE243" s="226"/>
    </row>
    <row r="244" spans="1:83">
      <c r="A244" s="226"/>
      <c r="B244" s="226"/>
      <c r="C244" s="226"/>
      <c r="D244" s="226"/>
      <c r="E244" s="226"/>
      <c r="F244" s="226"/>
      <c r="G244" s="226"/>
      <c r="H244" s="226"/>
      <c r="I244" s="226"/>
      <c r="J244" s="226"/>
      <c r="K244" s="226"/>
      <c r="L244" s="226"/>
      <c r="M244" s="226"/>
      <c r="N244" s="226"/>
      <c r="O244" s="226"/>
      <c r="P244" s="226"/>
      <c r="Q244" s="226"/>
      <c r="R244" s="226"/>
      <c r="S244" s="226"/>
      <c r="T244" s="226"/>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c r="AP244" s="226"/>
      <c r="AQ244" s="226"/>
      <c r="AR244" s="226"/>
      <c r="AS244" s="226"/>
      <c r="AT244" s="226"/>
      <c r="AU244" s="226"/>
      <c r="AV244" s="226"/>
      <c r="AW244" s="226"/>
      <c r="AX244" s="226"/>
      <c r="AY244" s="226"/>
      <c r="AZ244" s="226"/>
      <c r="BA244" s="226"/>
      <c r="BB244" s="226"/>
      <c r="BC244" s="226"/>
      <c r="BD244" s="226"/>
      <c r="BE244" s="226"/>
      <c r="BF244" s="226"/>
      <c r="BG244" s="226"/>
      <c r="BH244" s="226"/>
      <c r="BI244" s="226"/>
      <c r="BJ244" s="226"/>
      <c r="BK244" s="226"/>
      <c r="BL244" s="226"/>
      <c r="BM244" s="226"/>
      <c r="BN244" s="226"/>
      <c r="BO244" s="226"/>
      <c r="BP244" s="226"/>
      <c r="BQ244" s="226"/>
      <c r="BR244" s="226"/>
      <c r="BS244" s="226"/>
      <c r="BT244" s="226"/>
      <c r="BU244" s="226"/>
      <c r="BV244" s="226"/>
      <c r="BW244" s="226"/>
      <c r="BX244" s="226"/>
      <c r="BY244" s="226"/>
      <c r="BZ244" s="226"/>
      <c r="CA244" s="226"/>
      <c r="CB244" s="226"/>
      <c r="CC244" s="226"/>
      <c r="CD244" s="226"/>
      <c r="CE244" s="226"/>
    </row>
    <row r="245" spans="1:83">
      <c r="A245" s="226"/>
      <c r="B245" s="226"/>
      <c r="C245" s="226"/>
      <c r="D245" s="226"/>
      <c r="E245" s="226"/>
      <c r="F245" s="226"/>
      <c r="G245" s="226"/>
      <c r="H245" s="226"/>
      <c r="I245" s="226"/>
      <c r="J245" s="226"/>
      <c r="K245" s="226"/>
      <c r="L245" s="226"/>
      <c r="M245" s="226"/>
      <c r="N245" s="226"/>
      <c r="O245" s="226"/>
      <c r="P245" s="226"/>
      <c r="Q245" s="226"/>
      <c r="R245" s="226"/>
      <c r="S245" s="226"/>
      <c r="T245" s="226"/>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c r="AP245" s="226"/>
      <c r="AQ245" s="226"/>
      <c r="AR245" s="226"/>
      <c r="AS245" s="226"/>
      <c r="AT245" s="226"/>
      <c r="AU245" s="226"/>
      <c r="AV245" s="226"/>
      <c r="AW245" s="226"/>
      <c r="AX245" s="226"/>
      <c r="AY245" s="226"/>
      <c r="AZ245" s="226"/>
      <c r="BA245" s="226"/>
      <c r="BB245" s="226"/>
      <c r="BC245" s="226"/>
      <c r="BD245" s="226"/>
      <c r="BE245" s="226"/>
      <c r="BF245" s="226"/>
      <c r="BG245" s="226"/>
      <c r="BH245" s="226"/>
      <c r="BI245" s="226"/>
      <c r="BJ245" s="226"/>
      <c r="BK245" s="226"/>
      <c r="BL245" s="226"/>
      <c r="BM245" s="226"/>
      <c r="BN245" s="226"/>
      <c r="BO245" s="226"/>
      <c r="BP245" s="226"/>
      <c r="BQ245" s="226"/>
      <c r="BR245" s="226"/>
      <c r="BS245" s="226"/>
      <c r="BT245" s="226"/>
      <c r="BU245" s="226"/>
      <c r="BV245" s="226"/>
      <c r="BW245" s="226"/>
      <c r="BX245" s="226"/>
      <c r="BY245" s="226"/>
      <c r="BZ245" s="226"/>
      <c r="CA245" s="226"/>
      <c r="CB245" s="226"/>
      <c r="CC245" s="226"/>
      <c r="CD245" s="226"/>
      <c r="CE245" s="226"/>
    </row>
    <row r="246" spans="1:83">
      <c r="A246" s="226"/>
      <c r="B246" s="226"/>
      <c r="C246" s="226"/>
      <c r="D246" s="226"/>
      <c r="E246" s="226"/>
      <c r="F246" s="226"/>
      <c r="G246" s="226"/>
      <c r="H246" s="226"/>
      <c r="I246" s="226"/>
      <c r="J246" s="226"/>
      <c r="K246" s="226"/>
      <c r="L246" s="226"/>
      <c r="M246" s="226"/>
      <c r="N246" s="226"/>
      <c r="O246" s="226"/>
      <c r="P246" s="226"/>
      <c r="Q246" s="226"/>
      <c r="R246" s="226"/>
      <c r="S246" s="226"/>
      <c r="T246" s="226"/>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6"/>
      <c r="BC246" s="226"/>
      <c r="BD246" s="226"/>
      <c r="BE246" s="226"/>
      <c r="BF246" s="226"/>
      <c r="BG246" s="226"/>
      <c r="BH246" s="226"/>
      <c r="BI246" s="226"/>
      <c r="BJ246" s="226"/>
      <c r="BK246" s="226"/>
      <c r="BL246" s="226"/>
      <c r="BM246" s="226"/>
      <c r="BN246" s="226"/>
      <c r="BO246" s="226"/>
      <c r="BP246" s="226"/>
      <c r="BQ246" s="226"/>
      <c r="BR246" s="226"/>
      <c r="BS246" s="226"/>
      <c r="BT246" s="226"/>
      <c r="BU246" s="226"/>
      <c r="BV246" s="226"/>
      <c r="BW246" s="226"/>
      <c r="BX246" s="226"/>
      <c r="BY246" s="226"/>
      <c r="BZ246" s="226"/>
      <c r="CA246" s="226"/>
      <c r="CB246" s="226"/>
      <c r="CC246" s="226"/>
      <c r="CD246" s="226"/>
      <c r="CE246" s="226"/>
    </row>
    <row r="247" spans="1:83">
      <c r="A247" s="226"/>
      <c r="B247" s="226"/>
      <c r="C247" s="226"/>
      <c r="D247" s="226"/>
      <c r="E247" s="226"/>
      <c r="F247" s="226"/>
      <c r="G247" s="226"/>
      <c r="H247" s="226"/>
      <c r="I247" s="226"/>
      <c r="J247" s="226"/>
      <c r="K247" s="226"/>
      <c r="L247" s="226"/>
      <c r="M247" s="226"/>
      <c r="N247" s="226"/>
      <c r="O247" s="226"/>
      <c r="P247" s="226"/>
      <c r="Q247" s="226"/>
      <c r="R247" s="226"/>
      <c r="S247" s="226"/>
      <c r="T247" s="226"/>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c r="AP247" s="226"/>
      <c r="AQ247" s="226"/>
      <c r="AR247" s="226"/>
      <c r="AS247" s="226"/>
      <c r="AT247" s="226"/>
      <c r="AU247" s="226"/>
      <c r="AV247" s="226"/>
      <c r="AW247" s="226"/>
      <c r="AX247" s="226"/>
      <c r="AY247" s="226"/>
      <c r="AZ247" s="226"/>
      <c r="BA247" s="226"/>
      <c r="BB247" s="226"/>
      <c r="BC247" s="226"/>
      <c r="BD247" s="226"/>
      <c r="BE247" s="226"/>
      <c r="BF247" s="226"/>
      <c r="BG247" s="226"/>
      <c r="BH247" s="226"/>
      <c r="BI247" s="226"/>
      <c r="BJ247" s="226"/>
      <c r="BK247" s="226"/>
      <c r="BL247" s="226"/>
      <c r="BM247" s="226"/>
      <c r="BN247" s="226"/>
      <c r="BO247" s="226"/>
      <c r="BP247" s="226"/>
      <c r="BQ247" s="226"/>
      <c r="BR247" s="226"/>
      <c r="BS247" s="226"/>
      <c r="BT247" s="226"/>
      <c r="BU247" s="226"/>
      <c r="BV247" s="226"/>
      <c r="BW247" s="226"/>
      <c r="BX247" s="226"/>
      <c r="BY247" s="226"/>
      <c r="BZ247" s="226"/>
      <c r="CA247" s="226"/>
      <c r="CB247" s="226"/>
      <c r="CC247" s="226"/>
      <c r="CD247" s="226"/>
      <c r="CE247" s="226"/>
    </row>
    <row r="248" spans="1:83">
      <c r="A248" s="226"/>
      <c r="B248" s="226"/>
      <c r="C248" s="226"/>
      <c r="D248" s="226"/>
      <c r="E248" s="226"/>
      <c r="F248" s="226"/>
      <c r="G248" s="226"/>
      <c r="H248" s="226"/>
      <c r="I248" s="226"/>
      <c r="J248" s="226"/>
      <c r="K248" s="226"/>
      <c r="L248" s="226"/>
      <c r="M248" s="226"/>
      <c r="N248" s="226"/>
      <c r="O248" s="226"/>
      <c r="P248" s="226"/>
      <c r="Q248" s="226"/>
      <c r="R248" s="226"/>
      <c r="S248" s="226"/>
      <c r="T248" s="226"/>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c r="AP248" s="226"/>
      <c r="AQ248" s="226"/>
      <c r="AR248" s="226"/>
      <c r="AS248" s="226"/>
      <c r="AT248" s="226"/>
      <c r="AU248" s="226"/>
      <c r="AV248" s="226"/>
      <c r="AW248" s="226"/>
      <c r="AX248" s="226"/>
      <c r="AY248" s="226"/>
      <c r="AZ248" s="226"/>
      <c r="BA248" s="226"/>
      <c r="BB248" s="226"/>
      <c r="BC248" s="226"/>
      <c r="BD248" s="226"/>
      <c r="BE248" s="226"/>
      <c r="BF248" s="226"/>
      <c r="BG248" s="226"/>
      <c r="BH248" s="226"/>
      <c r="BI248" s="226"/>
      <c r="BJ248" s="226"/>
      <c r="BK248" s="226"/>
      <c r="BL248" s="226"/>
      <c r="BM248" s="226"/>
      <c r="BN248" s="226"/>
      <c r="BO248" s="226"/>
      <c r="BP248" s="226"/>
      <c r="BQ248" s="226"/>
      <c r="BR248" s="226"/>
      <c r="BS248" s="226"/>
      <c r="BT248" s="226"/>
      <c r="BU248" s="226"/>
      <c r="BV248" s="226"/>
      <c r="BW248" s="226"/>
      <c r="BX248" s="226"/>
      <c r="BY248" s="226"/>
      <c r="BZ248" s="226"/>
      <c r="CA248" s="226"/>
      <c r="CB248" s="226"/>
      <c r="CC248" s="226"/>
      <c r="CD248" s="226"/>
      <c r="CE248" s="226"/>
    </row>
    <row r="249" spans="1:83">
      <c r="A249" s="226"/>
      <c r="B249" s="226"/>
      <c r="C249" s="226"/>
      <c r="D249" s="226"/>
      <c r="E249" s="226"/>
      <c r="F249" s="226"/>
      <c r="G249" s="226"/>
      <c r="H249" s="226"/>
      <c r="I249" s="226"/>
      <c r="J249" s="226"/>
      <c r="K249" s="226"/>
      <c r="L249" s="226"/>
      <c r="M249" s="226"/>
      <c r="N249" s="226"/>
      <c r="O249" s="226"/>
      <c r="P249" s="226"/>
      <c r="Q249" s="226"/>
      <c r="R249" s="226"/>
      <c r="S249" s="226"/>
      <c r="T249" s="226"/>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c r="AP249" s="226"/>
      <c r="AQ249" s="226"/>
      <c r="AR249" s="226"/>
      <c r="AS249" s="226"/>
      <c r="AT249" s="226"/>
      <c r="AU249" s="226"/>
      <c r="AV249" s="226"/>
      <c r="AW249" s="226"/>
      <c r="AX249" s="226"/>
      <c r="AY249" s="226"/>
      <c r="AZ249" s="226"/>
      <c r="BA249" s="226"/>
      <c r="BB249" s="226"/>
      <c r="BC249" s="226"/>
      <c r="BD249" s="226"/>
      <c r="BE249" s="226"/>
      <c r="BF249" s="226"/>
      <c r="BG249" s="226"/>
      <c r="BH249" s="226"/>
      <c r="BI249" s="226"/>
      <c r="BJ249" s="226"/>
      <c r="BK249" s="226"/>
      <c r="BL249" s="226"/>
      <c r="BM249" s="226"/>
      <c r="BN249" s="226"/>
      <c r="BO249" s="226"/>
      <c r="BP249" s="226"/>
      <c r="BQ249" s="226"/>
      <c r="BR249" s="226"/>
      <c r="BS249" s="226"/>
      <c r="BT249" s="226"/>
      <c r="BU249" s="226"/>
      <c r="BV249" s="226"/>
      <c r="BW249" s="226"/>
      <c r="BX249" s="226"/>
      <c r="BY249" s="226"/>
      <c r="BZ249" s="226"/>
      <c r="CA249" s="226"/>
      <c r="CB249" s="226"/>
      <c r="CC249" s="226"/>
      <c r="CD249" s="226"/>
      <c r="CE249" s="226"/>
    </row>
    <row r="250" spans="1:83">
      <c r="A250" s="226"/>
      <c r="B250" s="226"/>
      <c r="C250" s="226"/>
      <c r="D250" s="226"/>
      <c r="E250" s="226"/>
      <c r="F250" s="226"/>
      <c r="G250" s="226"/>
      <c r="H250" s="226"/>
      <c r="I250" s="226"/>
      <c r="J250" s="226"/>
      <c r="K250" s="226"/>
      <c r="L250" s="226"/>
      <c r="M250" s="226"/>
      <c r="N250" s="226"/>
      <c r="O250" s="226"/>
      <c r="P250" s="226"/>
      <c r="Q250" s="226"/>
      <c r="R250" s="226"/>
      <c r="S250" s="226"/>
      <c r="T250" s="226"/>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c r="AP250" s="226"/>
      <c r="AQ250" s="226"/>
      <c r="AR250" s="226"/>
      <c r="AS250" s="226"/>
      <c r="AT250" s="226"/>
      <c r="AU250" s="226"/>
      <c r="AV250" s="226"/>
      <c r="AW250" s="226"/>
      <c r="AX250" s="226"/>
      <c r="AY250" s="226"/>
      <c r="AZ250" s="226"/>
      <c r="BA250" s="226"/>
      <c r="BB250" s="226"/>
      <c r="BC250" s="226"/>
      <c r="BD250" s="226"/>
      <c r="BE250" s="226"/>
      <c r="BF250" s="226"/>
      <c r="BG250" s="226"/>
      <c r="BH250" s="226"/>
      <c r="BI250" s="226"/>
      <c r="BJ250" s="226"/>
      <c r="BK250" s="226"/>
      <c r="BL250" s="226"/>
      <c r="BM250" s="226"/>
      <c r="BN250" s="226"/>
      <c r="BO250" s="226"/>
      <c r="BP250" s="226"/>
      <c r="BQ250" s="226"/>
      <c r="BR250" s="226"/>
      <c r="BS250" s="226"/>
      <c r="BT250" s="226"/>
      <c r="BU250" s="226"/>
      <c r="BV250" s="226"/>
      <c r="BW250" s="226"/>
      <c r="BX250" s="226"/>
      <c r="BY250" s="226"/>
      <c r="BZ250" s="226"/>
      <c r="CA250" s="226"/>
      <c r="CB250" s="226"/>
      <c r="CC250" s="226"/>
      <c r="CD250" s="226"/>
      <c r="CE250" s="226"/>
    </row>
    <row r="251" spans="1:83">
      <c r="A251" s="226"/>
      <c r="B251" s="226"/>
      <c r="C251" s="226"/>
      <c r="D251" s="226"/>
      <c r="E251" s="226"/>
      <c r="F251" s="226"/>
      <c r="G251" s="226"/>
      <c r="H251" s="226"/>
      <c r="I251" s="226"/>
      <c r="J251" s="226"/>
      <c r="K251" s="226"/>
      <c r="L251" s="226"/>
      <c r="M251" s="226"/>
      <c r="N251" s="226"/>
      <c r="O251" s="226"/>
      <c r="P251" s="226"/>
      <c r="Q251" s="226"/>
      <c r="R251" s="226"/>
      <c r="S251" s="226"/>
      <c r="T251" s="226"/>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c r="AP251" s="226"/>
      <c r="AQ251" s="226"/>
      <c r="AR251" s="226"/>
      <c r="AS251" s="226"/>
      <c r="AT251" s="226"/>
      <c r="AU251" s="226"/>
      <c r="AV251" s="226"/>
      <c r="AW251" s="226"/>
      <c r="AX251" s="226"/>
      <c r="AY251" s="226"/>
      <c r="AZ251" s="226"/>
      <c r="BA251" s="226"/>
      <c r="BB251" s="226"/>
      <c r="BC251" s="226"/>
      <c r="BD251" s="226"/>
      <c r="BE251" s="226"/>
      <c r="BF251" s="226"/>
      <c r="BG251" s="226"/>
      <c r="BH251" s="226"/>
      <c r="BI251" s="226"/>
      <c r="BJ251" s="226"/>
      <c r="BK251" s="226"/>
      <c r="BL251" s="226"/>
      <c r="BM251" s="226"/>
      <c r="BN251" s="226"/>
      <c r="BO251" s="226"/>
      <c r="BP251" s="226"/>
      <c r="BQ251" s="226"/>
      <c r="BR251" s="226"/>
      <c r="BS251" s="226"/>
      <c r="BT251" s="226"/>
      <c r="BU251" s="226"/>
      <c r="BV251" s="226"/>
      <c r="BW251" s="226"/>
      <c r="BX251" s="226"/>
      <c r="BY251" s="226"/>
      <c r="BZ251" s="226"/>
      <c r="CA251" s="226"/>
      <c r="CB251" s="226"/>
      <c r="CC251" s="226"/>
      <c r="CD251" s="226"/>
      <c r="CE251" s="226"/>
    </row>
    <row r="252" spans="1:83">
      <c r="A252" s="226"/>
      <c r="B252" s="226"/>
      <c r="C252" s="226"/>
      <c r="D252" s="226"/>
      <c r="E252" s="226"/>
      <c r="F252" s="226"/>
      <c r="G252" s="226"/>
      <c r="H252" s="226"/>
      <c r="I252" s="226"/>
      <c r="J252" s="226"/>
      <c r="K252" s="226"/>
      <c r="L252" s="226"/>
      <c r="M252" s="226"/>
      <c r="N252" s="226"/>
      <c r="O252" s="226"/>
      <c r="P252" s="226"/>
      <c r="Q252" s="226"/>
      <c r="R252" s="226"/>
      <c r="S252" s="226"/>
      <c r="T252" s="226"/>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c r="AP252" s="226"/>
      <c r="AQ252" s="226"/>
      <c r="AR252" s="226"/>
      <c r="AS252" s="226"/>
      <c r="AT252" s="226"/>
      <c r="AU252" s="226"/>
      <c r="AV252" s="226"/>
      <c r="AW252" s="226"/>
      <c r="AX252" s="226"/>
      <c r="AY252" s="226"/>
      <c r="AZ252" s="226"/>
      <c r="BA252" s="226"/>
      <c r="BB252" s="226"/>
      <c r="BC252" s="226"/>
      <c r="BD252" s="226"/>
      <c r="BE252" s="226"/>
      <c r="BF252" s="226"/>
      <c r="BG252" s="226"/>
      <c r="BH252" s="226"/>
      <c r="BI252" s="226"/>
      <c r="BJ252" s="226"/>
      <c r="BK252" s="226"/>
      <c r="BL252" s="226"/>
      <c r="BM252" s="226"/>
      <c r="BN252" s="226"/>
      <c r="BO252" s="226"/>
      <c r="BP252" s="226"/>
      <c r="BQ252" s="226"/>
      <c r="BR252" s="226"/>
      <c r="BS252" s="226"/>
      <c r="BT252" s="226"/>
      <c r="BU252" s="226"/>
      <c r="BV252" s="226"/>
      <c r="BW252" s="226"/>
      <c r="BX252" s="226"/>
      <c r="BY252" s="226"/>
      <c r="BZ252" s="226"/>
      <c r="CA252" s="226"/>
      <c r="CB252" s="226"/>
      <c r="CC252" s="226"/>
      <c r="CD252" s="226"/>
      <c r="CE252" s="226"/>
    </row>
    <row r="253" spans="1:83">
      <c r="A253" s="226"/>
      <c r="B253" s="226"/>
      <c r="C253" s="226"/>
      <c r="D253" s="226"/>
      <c r="E253" s="226"/>
      <c r="F253" s="226"/>
      <c r="G253" s="226"/>
      <c r="H253" s="226"/>
      <c r="I253" s="226"/>
      <c r="J253" s="226"/>
      <c r="K253" s="226"/>
      <c r="L253" s="226"/>
      <c r="M253" s="226"/>
      <c r="N253" s="226"/>
      <c r="O253" s="226"/>
      <c r="P253" s="226"/>
      <c r="Q253" s="226"/>
      <c r="R253" s="226"/>
      <c r="S253" s="226"/>
      <c r="T253" s="226"/>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c r="AP253" s="226"/>
      <c r="AQ253" s="226"/>
      <c r="AR253" s="226"/>
      <c r="AS253" s="226"/>
      <c r="AT253" s="226"/>
      <c r="AU253" s="226"/>
      <c r="AV253" s="226"/>
      <c r="AW253" s="226"/>
      <c r="AX253" s="226"/>
      <c r="AY253" s="226"/>
      <c r="AZ253" s="226"/>
      <c r="BA253" s="226"/>
      <c r="BB253" s="226"/>
      <c r="BC253" s="226"/>
      <c r="BD253" s="226"/>
      <c r="BE253" s="226"/>
      <c r="BF253" s="226"/>
      <c r="BG253" s="226"/>
      <c r="BH253" s="226"/>
      <c r="BI253" s="226"/>
      <c r="BJ253" s="226"/>
      <c r="BK253" s="226"/>
      <c r="BL253" s="226"/>
      <c r="BM253" s="226"/>
      <c r="BN253" s="226"/>
      <c r="BO253" s="226"/>
      <c r="BP253" s="226"/>
      <c r="BQ253" s="226"/>
      <c r="BR253" s="226"/>
      <c r="BS253" s="226"/>
      <c r="BT253" s="226"/>
      <c r="BU253" s="226"/>
      <c r="BV253" s="226"/>
      <c r="BW253" s="226"/>
      <c r="BX253" s="226"/>
      <c r="BY253" s="226"/>
      <c r="BZ253" s="226"/>
      <c r="CA253" s="226"/>
      <c r="CB253" s="226"/>
      <c r="CC253" s="226"/>
      <c r="CD253" s="226"/>
      <c r="CE253" s="226"/>
    </row>
    <row r="254" spans="1:83">
      <c r="A254" s="226"/>
      <c r="B254" s="226"/>
      <c r="C254" s="226"/>
      <c r="D254" s="226"/>
      <c r="E254" s="226"/>
      <c r="F254" s="226"/>
      <c r="G254" s="226"/>
      <c r="H254" s="226"/>
      <c r="I254" s="226"/>
      <c r="J254" s="226"/>
      <c r="K254" s="226"/>
      <c r="L254" s="226"/>
      <c r="M254" s="226"/>
      <c r="N254" s="226"/>
      <c r="O254" s="226"/>
      <c r="P254" s="226"/>
      <c r="Q254" s="226"/>
      <c r="R254" s="226"/>
      <c r="S254" s="226"/>
      <c r="T254" s="226"/>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c r="AP254" s="226"/>
      <c r="AQ254" s="226"/>
      <c r="AR254" s="226"/>
      <c r="AS254" s="226"/>
      <c r="AT254" s="226"/>
      <c r="AU254" s="226"/>
      <c r="AV254" s="226"/>
      <c r="AW254" s="226"/>
      <c r="AX254" s="226"/>
      <c r="AY254" s="226"/>
      <c r="AZ254" s="226"/>
      <c r="BA254" s="226"/>
      <c r="BB254" s="226"/>
      <c r="BC254" s="226"/>
      <c r="BD254" s="226"/>
      <c r="BE254" s="226"/>
      <c r="BF254" s="226"/>
      <c r="BG254" s="226"/>
      <c r="BH254" s="226"/>
      <c r="BI254" s="226"/>
      <c r="BJ254" s="226"/>
      <c r="BK254" s="226"/>
      <c r="BL254" s="226"/>
      <c r="BM254" s="226"/>
      <c r="BN254" s="226"/>
      <c r="BO254" s="226"/>
      <c r="BP254" s="226"/>
      <c r="BQ254" s="226"/>
      <c r="BR254" s="226"/>
      <c r="BS254" s="226"/>
      <c r="BT254" s="226"/>
      <c r="BU254" s="226"/>
      <c r="BV254" s="226"/>
      <c r="BW254" s="226"/>
      <c r="BX254" s="226"/>
      <c r="BY254" s="226"/>
      <c r="BZ254" s="226"/>
      <c r="CA254" s="226"/>
      <c r="CB254" s="226"/>
      <c r="CC254" s="226"/>
      <c r="CD254" s="226"/>
      <c r="CE254" s="226"/>
    </row>
    <row r="255" spans="1:83">
      <c r="A255" s="226"/>
      <c r="B255" s="226"/>
      <c r="C255" s="226"/>
      <c r="D255" s="226"/>
      <c r="E255" s="226"/>
      <c r="F255" s="226"/>
      <c r="G255" s="226"/>
      <c r="H255" s="226"/>
      <c r="I255" s="226"/>
      <c r="J255" s="226"/>
      <c r="K255" s="226"/>
      <c r="L255" s="226"/>
      <c r="M255" s="226"/>
      <c r="N255" s="226"/>
      <c r="O255" s="226"/>
      <c r="P255" s="226"/>
      <c r="Q255" s="226"/>
      <c r="R255" s="226"/>
      <c r="S255" s="226"/>
      <c r="T255" s="226"/>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c r="AP255" s="226"/>
      <c r="AQ255" s="226"/>
      <c r="AR255" s="226"/>
      <c r="AS255" s="226"/>
      <c r="AT255" s="226"/>
      <c r="AU255" s="226"/>
      <c r="AV255" s="226"/>
      <c r="AW255" s="226"/>
      <c r="AX255" s="226"/>
      <c r="AY255" s="226"/>
      <c r="AZ255" s="226"/>
      <c r="BA255" s="226"/>
      <c r="BB255" s="226"/>
      <c r="BC255" s="226"/>
      <c r="BD255" s="226"/>
      <c r="BE255" s="226"/>
      <c r="BF255" s="226"/>
      <c r="BG255" s="226"/>
      <c r="BH255" s="226"/>
      <c r="BI255" s="226"/>
      <c r="BJ255" s="226"/>
      <c r="BK255" s="226"/>
      <c r="BL255" s="226"/>
      <c r="BM255" s="226"/>
      <c r="BN255" s="226"/>
      <c r="BO255" s="226"/>
      <c r="BP255" s="226"/>
      <c r="BQ255" s="226"/>
      <c r="BR255" s="226"/>
      <c r="BS255" s="226"/>
      <c r="BT255" s="226"/>
      <c r="BU255" s="226"/>
      <c r="BV255" s="226"/>
      <c r="BW255" s="226"/>
      <c r="BX255" s="226"/>
      <c r="BY255" s="226"/>
      <c r="BZ255" s="226"/>
      <c r="CA255" s="226"/>
      <c r="CB255" s="226"/>
      <c r="CC255" s="226"/>
      <c r="CD255" s="226"/>
      <c r="CE255" s="226"/>
    </row>
    <row r="256" spans="1:83">
      <c r="A256" s="226"/>
      <c r="B256" s="226"/>
      <c r="C256" s="226"/>
      <c r="D256" s="226"/>
      <c r="E256" s="226"/>
      <c r="F256" s="226"/>
      <c r="G256" s="226"/>
      <c r="H256" s="226"/>
      <c r="I256" s="226"/>
      <c r="J256" s="226"/>
      <c r="K256" s="226"/>
      <c r="L256" s="226"/>
      <c r="M256" s="226"/>
      <c r="N256" s="226"/>
      <c r="O256" s="226"/>
      <c r="P256" s="226"/>
      <c r="Q256" s="226"/>
      <c r="R256" s="226"/>
      <c r="S256" s="226"/>
      <c r="T256" s="226"/>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c r="AP256" s="226"/>
      <c r="AQ256" s="226"/>
      <c r="AR256" s="226"/>
      <c r="AS256" s="226"/>
      <c r="AT256" s="226"/>
      <c r="AU256" s="226"/>
      <c r="AV256" s="226"/>
      <c r="AW256" s="226"/>
      <c r="AX256" s="226"/>
      <c r="AY256" s="226"/>
      <c r="AZ256" s="226"/>
      <c r="BA256" s="226"/>
      <c r="BB256" s="226"/>
      <c r="BC256" s="226"/>
      <c r="BD256" s="226"/>
      <c r="BE256" s="226"/>
      <c r="BF256" s="226"/>
      <c r="BG256" s="226"/>
      <c r="BH256" s="226"/>
      <c r="BI256" s="226"/>
      <c r="BJ256" s="226"/>
      <c r="BK256" s="226"/>
      <c r="BL256" s="226"/>
      <c r="BM256" s="226"/>
      <c r="BN256" s="226"/>
      <c r="BO256" s="226"/>
      <c r="BP256" s="226"/>
      <c r="BQ256" s="226"/>
      <c r="BR256" s="226"/>
      <c r="BS256" s="226"/>
      <c r="BT256" s="226"/>
      <c r="BU256" s="226"/>
      <c r="BV256" s="226"/>
      <c r="BW256" s="226"/>
      <c r="BX256" s="226"/>
      <c r="BY256" s="226"/>
      <c r="BZ256" s="226"/>
      <c r="CA256" s="226"/>
      <c r="CB256" s="226"/>
      <c r="CC256" s="226"/>
      <c r="CD256" s="226"/>
      <c r="CE256" s="226"/>
    </row>
    <row r="257" spans="1:83">
      <c r="A257" s="226"/>
      <c r="B257" s="226"/>
      <c r="C257" s="226"/>
      <c r="D257" s="226"/>
      <c r="E257" s="226"/>
      <c r="F257" s="226"/>
      <c r="G257" s="226"/>
      <c r="H257" s="226"/>
      <c r="I257" s="226"/>
      <c r="J257" s="226"/>
      <c r="K257" s="226"/>
      <c r="L257" s="226"/>
      <c r="M257" s="226"/>
      <c r="N257" s="226"/>
      <c r="O257" s="226"/>
      <c r="P257" s="226"/>
      <c r="Q257" s="226"/>
      <c r="R257" s="226"/>
      <c r="S257" s="226"/>
      <c r="T257" s="226"/>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c r="AP257" s="226"/>
      <c r="AQ257" s="226"/>
      <c r="AR257" s="226"/>
      <c r="AS257" s="226"/>
      <c r="AT257" s="226"/>
      <c r="AU257" s="226"/>
      <c r="AV257" s="226"/>
      <c r="AW257" s="226"/>
      <c r="AX257" s="226"/>
      <c r="AY257" s="226"/>
      <c r="AZ257" s="226"/>
      <c r="BA257" s="226"/>
      <c r="BB257" s="226"/>
      <c r="BC257" s="226"/>
      <c r="BD257" s="226"/>
      <c r="BE257" s="226"/>
      <c r="BF257" s="226"/>
      <c r="BG257" s="226"/>
      <c r="BH257" s="226"/>
      <c r="BI257" s="226"/>
      <c r="BJ257" s="226"/>
      <c r="BK257" s="226"/>
      <c r="BL257" s="226"/>
      <c r="BM257" s="226"/>
      <c r="BN257" s="226"/>
      <c r="BO257" s="226"/>
      <c r="BP257" s="226"/>
      <c r="BQ257" s="226"/>
      <c r="BR257" s="226"/>
      <c r="BS257" s="226"/>
      <c r="BT257" s="226"/>
      <c r="BU257" s="226"/>
      <c r="BV257" s="226"/>
      <c r="BW257" s="226"/>
      <c r="BX257" s="226"/>
      <c r="BY257" s="226"/>
      <c r="BZ257" s="226"/>
      <c r="CA257" s="226"/>
      <c r="CB257" s="226"/>
      <c r="CC257" s="226"/>
      <c r="CD257" s="226"/>
      <c r="CE257" s="226"/>
    </row>
    <row r="258" spans="1:83">
      <c r="A258" s="226"/>
      <c r="B258" s="226"/>
      <c r="C258" s="226"/>
      <c r="D258" s="226"/>
      <c r="E258" s="226"/>
      <c r="F258" s="226"/>
      <c r="G258" s="226"/>
      <c r="H258" s="226"/>
      <c r="I258" s="226"/>
      <c r="J258" s="226"/>
      <c r="K258" s="226"/>
      <c r="L258" s="226"/>
      <c r="M258" s="226"/>
      <c r="N258" s="226"/>
      <c r="O258" s="226"/>
      <c r="P258" s="226"/>
      <c r="Q258" s="226"/>
      <c r="R258" s="226"/>
      <c r="S258" s="226"/>
      <c r="T258" s="226"/>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c r="AP258" s="226"/>
      <c r="AQ258" s="226"/>
      <c r="AR258" s="226"/>
      <c r="AS258" s="226"/>
      <c r="AT258" s="226"/>
      <c r="AU258" s="226"/>
      <c r="AV258" s="226"/>
      <c r="AW258" s="226"/>
      <c r="AX258" s="226"/>
      <c r="AY258" s="226"/>
      <c r="AZ258" s="226"/>
      <c r="BA258" s="226"/>
      <c r="BB258" s="226"/>
      <c r="BC258" s="226"/>
      <c r="BD258" s="226"/>
      <c r="BE258" s="226"/>
      <c r="BF258" s="226"/>
      <c r="BG258" s="226"/>
      <c r="BH258" s="226"/>
      <c r="BI258" s="226"/>
      <c r="BJ258" s="226"/>
      <c r="BK258" s="226"/>
      <c r="BL258" s="226"/>
      <c r="BM258" s="226"/>
      <c r="BN258" s="226"/>
      <c r="BO258" s="226"/>
      <c r="BP258" s="226"/>
      <c r="BQ258" s="226"/>
      <c r="BR258" s="226"/>
      <c r="BS258" s="226"/>
      <c r="BT258" s="226"/>
      <c r="BU258" s="226"/>
      <c r="BV258" s="226"/>
      <c r="BW258" s="226"/>
      <c r="BX258" s="226"/>
      <c r="BY258" s="226"/>
      <c r="BZ258" s="226"/>
      <c r="CA258" s="226"/>
      <c r="CB258" s="226"/>
      <c r="CC258" s="226"/>
      <c r="CD258" s="226"/>
      <c r="CE258" s="226"/>
    </row>
    <row r="259" spans="1:83">
      <c r="A259" s="226"/>
      <c r="B259" s="226"/>
      <c r="C259" s="226"/>
      <c r="D259" s="226"/>
      <c r="E259" s="226"/>
      <c r="F259" s="226"/>
      <c r="G259" s="226"/>
      <c r="H259" s="226"/>
      <c r="I259" s="226"/>
      <c r="J259" s="226"/>
      <c r="K259" s="226"/>
      <c r="L259" s="226"/>
      <c r="M259" s="226"/>
      <c r="N259" s="226"/>
      <c r="O259" s="226"/>
      <c r="P259" s="226"/>
      <c r="Q259" s="226"/>
      <c r="R259" s="226"/>
      <c r="S259" s="226"/>
      <c r="T259" s="226"/>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c r="AP259" s="226"/>
      <c r="AQ259" s="226"/>
      <c r="AR259" s="226"/>
      <c r="AS259" s="226"/>
      <c r="AT259" s="226"/>
      <c r="AU259" s="226"/>
      <c r="AV259" s="226"/>
      <c r="AW259" s="226"/>
      <c r="AX259" s="226"/>
      <c r="AY259" s="226"/>
      <c r="AZ259" s="226"/>
      <c r="BA259" s="226"/>
      <c r="BB259" s="226"/>
      <c r="BC259" s="226"/>
      <c r="BD259" s="226"/>
      <c r="BE259" s="226"/>
      <c r="BF259" s="226"/>
      <c r="BG259" s="226"/>
      <c r="BH259" s="226"/>
      <c r="BI259" s="226"/>
      <c r="BJ259" s="226"/>
      <c r="BK259" s="226"/>
      <c r="BL259" s="226"/>
      <c r="BM259" s="226"/>
      <c r="BN259" s="226"/>
      <c r="BO259" s="226"/>
      <c r="BP259" s="226"/>
      <c r="BQ259" s="226"/>
      <c r="BR259" s="226"/>
      <c r="BS259" s="226"/>
      <c r="BT259" s="226"/>
      <c r="BU259" s="226"/>
      <c r="BV259" s="226"/>
      <c r="BW259" s="226"/>
      <c r="BX259" s="226"/>
      <c r="BY259" s="226"/>
      <c r="BZ259" s="226"/>
      <c r="CA259" s="226"/>
      <c r="CB259" s="226"/>
      <c r="CC259" s="226"/>
      <c r="CD259" s="226"/>
      <c r="CE259" s="226"/>
    </row>
    <row r="260" spans="1:83">
      <c r="A260" s="226"/>
      <c r="B260" s="226"/>
      <c r="C260" s="226"/>
      <c r="D260" s="226"/>
      <c r="E260" s="226"/>
      <c r="F260" s="226"/>
      <c r="G260" s="226"/>
      <c r="H260" s="226"/>
      <c r="I260" s="226"/>
      <c r="J260" s="226"/>
      <c r="K260" s="226"/>
      <c r="L260" s="226"/>
      <c r="M260" s="226"/>
      <c r="N260" s="226"/>
      <c r="O260" s="226"/>
      <c r="P260" s="226"/>
      <c r="Q260" s="226"/>
      <c r="R260" s="226"/>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c r="AP260" s="226"/>
      <c r="AQ260" s="226"/>
      <c r="AR260" s="226"/>
      <c r="AS260" s="226"/>
      <c r="AT260" s="226"/>
      <c r="AU260" s="226"/>
      <c r="AV260" s="226"/>
      <c r="AW260" s="226"/>
      <c r="AX260" s="226"/>
      <c r="AY260" s="226"/>
      <c r="AZ260" s="226"/>
      <c r="BA260" s="226"/>
      <c r="BB260" s="226"/>
      <c r="BC260" s="226"/>
      <c r="BD260" s="226"/>
      <c r="BE260" s="226"/>
      <c r="BF260" s="226"/>
      <c r="BG260" s="226"/>
      <c r="BH260" s="226"/>
      <c r="BI260" s="226"/>
      <c r="BJ260" s="226"/>
      <c r="BK260" s="226"/>
      <c r="BL260" s="226"/>
      <c r="BM260" s="226"/>
      <c r="BN260" s="226"/>
      <c r="BO260" s="226"/>
      <c r="BP260" s="226"/>
      <c r="BQ260" s="226"/>
      <c r="BR260" s="226"/>
      <c r="BS260" s="226"/>
      <c r="BT260" s="226"/>
      <c r="BU260" s="226"/>
      <c r="BV260" s="226"/>
      <c r="BW260" s="226"/>
      <c r="BX260" s="226"/>
      <c r="BY260" s="226"/>
      <c r="BZ260" s="226"/>
      <c r="CA260" s="226"/>
      <c r="CB260" s="226"/>
      <c r="CC260" s="226"/>
      <c r="CD260" s="226"/>
      <c r="CE260" s="226"/>
    </row>
    <row r="261" spans="1:83">
      <c r="A261" s="226"/>
      <c r="B261" s="226"/>
      <c r="C261" s="226"/>
      <c r="D261" s="226"/>
      <c r="E261" s="226"/>
      <c r="F261" s="226"/>
      <c r="G261" s="226"/>
      <c r="H261" s="226"/>
      <c r="I261" s="226"/>
      <c r="J261" s="226"/>
      <c r="K261" s="226"/>
      <c r="L261" s="226"/>
      <c r="M261" s="226"/>
      <c r="N261" s="226"/>
      <c r="O261" s="226"/>
      <c r="P261" s="226"/>
      <c r="Q261" s="226"/>
      <c r="R261" s="226"/>
      <c r="S261" s="226"/>
      <c r="T261" s="226"/>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c r="AP261" s="226"/>
      <c r="AQ261" s="226"/>
      <c r="AR261" s="226"/>
      <c r="AS261" s="226"/>
      <c r="AT261" s="226"/>
      <c r="AU261" s="226"/>
      <c r="AV261" s="226"/>
      <c r="AW261" s="226"/>
      <c r="AX261" s="226"/>
      <c r="AY261" s="226"/>
      <c r="AZ261" s="226"/>
      <c r="BA261" s="226"/>
      <c r="BB261" s="226"/>
      <c r="BC261" s="226"/>
      <c r="BD261" s="226"/>
      <c r="BE261" s="226"/>
      <c r="BF261" s="226"/>
      <c r="BG261" s="226"/>
      <c r="BH261" s="226"/>
      <c r="BI261" s="226"/>
      <c r="BJ261" s="226"/>
      <c r="BK261" s="226"/>
      <c r="BL261" s="226"/>
      <c r="BM261" s="226"/>
      <c r="BN261" s="226"/>
      <c r="BO261" s="226"/>
      <c r="BP261" s="226"/>
      <c r="BQ261" s="226"/>
      <c r="BR261" s="226"/>
      <c r="BS261" s="226"/>
      <c r="BT261" s="226"/>
      <c r="BU261" s="226"/>
      <c r="BV261" s="226"/>
      <c r="BW261" s="226"/>
      <c r="BX261" s="226"/>
      <c r="BY261" s="226"/>
      <c r="BZ261" s="226"/>
      <c r="CA261" s="226"/>
      <c r="CB261" s="226"/>
      <c r="CC261" s="226"/>
      <c r="CD261" s="226"/>
      <c r="CE261" s="226"/>
    </row>
    <row r="262" spans="1:83">
      <c r="A262" s="226"/>
      <c r="B262" s="226"/>
      <c r="C262" s="226"/>
      <c r="D262" s="226"/>
      <c r="E262" s="226"/>
      <c r="F262" s="226"/>
      <c r="G262" s="226"/>
      <c r="H262" s="226"/>
      <c r="I262" s="226"/>
      <c r="J262" s="226"/>
      <c r="K262" s="226"/>
      <c r="L262" s="226"/>
      <c r="M262" s="226"/>
      <c r="N262" s="226"/>
      <c r="O262" s="226"/>
      <c r="P262" s="226"/>
      <c r="Q262" s="226"/>
      <c r="R262" s="226"/>
      <c r="S262" s="226"/>
      <c r="T262" s="226"/>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c r="AP262" s="226"/>
      <c r="AQ262" s="226"/>
      <c r="AR262" s="226"/>
      <c r="AS262" s="226"/>
      <c r="AT262" s="226"/>
      <c r="AU262" s="226"/>
      <c r="AV262" s="226"/>
      <c r="AW262" s="226"/>
      <c r="AX262" s="226"/>
      <c r="AY262" s="226"/>
      <c r="AZ262" s="226"/>
      <c r="BA262" s="226"/>
      <c r="BB262" s="226"/>
      <c r="BC262" s="226"/>
      <c r="BD262" s="226"/>
      <c r="BE262" s="226"/>
      <c r="BF262" s="226"/>
      <c r="BG262" s="226"/>
      <c r="BH262" s="226"/>
      <c r="BI262" s="226"/>
      <c r="BJ262" s="226"/>
      <c r="BK262" s="226"/>
      <c r="BL262" s="226"/>
      <c r="BM262" s="226"/>
      <c r="BN262" s="226"/>
      <c r="BO262" s="226"/>
      <c r="BP262" s="226"/>
      <c r="BQ262" s="226"/>
      <c r="BR262" s="226"/>
      <c r="BS262" s="226"/>
      <c r="BT262" s="226"/>
      <c r="BU262" s="226"/>
      <c r="BV262" s="226"/>
      <c r="BW262" s="226"/>
      <c r="BX262" s="226"/>
      <c r="BY262" s="226"/>
      <c r="BZ262" s="226"/>
      <c r="CA262" s="226"/>
      <c r="CB262" s="226"/>
      <c r="CC262" s="226"/>
      <c r="CD262" s="226"/>
      <c r="CE262" s="226"/>
    </row>
    <row r="263" spans="1:83">
      <c r="A263" s="226"/>
      <c r="B263" s="226"/>
      <c r="C263" s="226"/>
      <c r="D263" s="226"/>
      <c r="E263" s="226"/>
      <c r="F263" s="226"/>
      <c r="G263" s="226"/>
      <c r="H263" s="226"/>
      <c r="I263" s="226"/>
      <c r="J263" s="226"/>
      <c r="K263" s="226"/>
      <c r="L263" s="226"/>
      <c r="M263" s="226"/>
      <c r="N263" s="226"/>
      <c r="O263" s="226"/>
      <c r="P263" s="226"/>
      <c r="Q263" s="226"/>
      <c r="R263" s="226"/>
      <c r="S263" s="226"/>
      <c r="T263" s="226"/>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c r="AP263" s="226"/>
      <c r="AQ263" s="226"/>
      <c r="AR263" s="226"/>
      <c r="AS263" s="226"/>
      <c r="AT263" s="226"/>
      <c r="AU263" s="226"/>
      <c r="AV263" s="226"/>
      <c r="AW263" s="226"/>
      <c r="AX263" s="226"/>
      <c r="AY263" s="226"/>
      <c r="AZ263" s="226"/>
      <c r="BA263" s="226"/>
      <c r="BB263" s="226"/>
      <c r="BC263" s="226"/>
      <c r="BD263" s="226"/>
      <c r="BE263" s="226"/>
      <c r="BF263" s="226"/>
      <c r="BG263" s="226"/>
      <c r="BH263" s="226"/>
      <c r="BI263" s="226"/>
      <c r="BJ263" s="226"/>
      <c r="BK263" s="226"/>
      <c r="BL263" s="226"/>
      <c r="BM263" s="226"/>
      <c r="BN263" s="226"/>
      <c r="BO263" s="226"/>
      <c r="BP263" s="226"/>
      <c r="BQ263" s="226"/>
      <c r="BR263" s="226"/>
      <c r="BS263" s="226"/>
      <c r="BT263" s="226"/>
      <c r="BU263" s="226"/>
      <c r="BV263" s="226"/>
      <c r="BW263" s="226"/>
      <c r="BX263" s="226"/>
      <c r="BY263" s="226"/>
      <c r="BZ263" s="226"/>
      <c r="CA263" s="226"/>
      <c r="CB263" s="226"/>
      <c r="CC263" s="226"/>
      <c r="CD263" s="226"/>
      <c r="CE263" s="226"/>
    </row>
    <row r="264" spans="1:83">
      <c r="A264" s="226"/>
      <c r="B264" s="226"/>
      <c r="C264" s="226"/>
      <c r="D264" s="226"/>
      <c r="E264" s="226"/>
      <c r="F264" s="226"/>
      <c r="G264" s="226"/>
      <c r="H264" s="226"/>
      <c r="I264" s="226"/>
      <c r="J264" s="226"/>
      <c r="K264" s="226"/>
      <c r="L264" s="226"/>
      <c r="M264" s="226"/>
      <c r="N264" s="226"/>
      <c r="O264" s="226"/>
      <c r="P264" s="226"/>
      <c r="Q264" s="226"/>
      <c r="R264" s="226"/>
      <c r="S264" s="226"/>
      <c r="T264" s="226"/>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c r="AP264" s="226"/>
      <c r="AQ264" s="226"/>
      <c r="AR264" s="226"/>
      <c r="AS264" s="226"/>
      <c r="AT264" s="226"/>
      <c r="AU264" s="226"/>
      <c r="AV264" s="226"/>
      <c r="AW264" s="226"/>
      <c r="AX264" s="226"/>
      <c r="AY264" s="226"/>
      <c r="AZ264" s="226"/>
      <c r="BA264" s="226"/>
      <c r="BB264" s="226"/>
      <c r="BC264" s="226"/>
      <c r="BD264" s="226"/>
      <c r="BE264" s="226"/>
      <c r="BF264" s="226"/>
      <c r="BG264" s="226"/>
      <c r="BH264" s="226"/>
      <c r="BI264" s="226"/>
      <c r="BJ264" s="226"/>
      <c r="BK264" s="226"/>
      <c r="BL264" s="226"/>
      <c r="BM264" s="226"/>
      <c r="BN264" s="226"/>
      <c r="BO264" s="226"/>
      <c r="BP264" s="226"/>
      <c r="BQ264" s="226"/>
      <c r="BR264" s="226"/>
      <c r="BS264" s="226"/>
      <c r="BT264" s="226"/>
      <c r="BU264" s="226"/>
      <c r="BV264" s="226"/>
      <c r="BW264" s="226"/>
      <c r="BX264" s="226"/>
      <c r="BY264" s="226"/>
      <c r="BZ264" s="226"/>
      <c r="CA264" s="226"/>
      <c r="CB264" s="226"/>
      <c r="CC264" s="226"/>
      <c r="CD264" s="226"/>
      <c r="CE264" s="226"/>
    </row>
    <row r="265" spans="1:83">
      <c r="A265" s="226"/>
      <c r="B265" s="226"/>
      <c r="C265" s="226"/>
      <c r="D265" s="226"/>
      <c r="E265" s="226"/>
      <c r="F265" s="226"/>
      <c r="G265" s="226"/>
      <c r="H265" s="226"/>
      <c r="I265" s="226"/>
      <c r="J265" s="226"/>
      <c r="K265" s="226"/>
      <c r="L265" s="226"/>
      <c r="M265" s="226"/>
      <c r="N265" s="226"/>
      <c r="O265" s="226"/>
      <c r="P265" s="226"/>
      <c r="Q265" s="226"/>
      <c r="R265" s="226"/>
      <c r="S265" s="226"/>
      <c r="T265" s="226"/>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c r="AP265" s="226"/>
      <c r="AQ265" s="226"/>
      <c r="AR265" s="226"/>
      <c r="AS265" s="226"/>
      <c r="AT265" s="226"/>
      <c r="AU265" s="226"/>
      <c r="AV265" s="226"/>
      <c r="AW265" s="226"/>
      <c r="AX265" s="226"/>
      <c r="AY265" s="226"/>
      <c r="AZ265" s="226"/>
      <c r="BA265" s="226"/>
      <c r="BB265" s="226"/>
      <c r="BC265" s="226"/>
      <c r="BD265" s="226"/>
      <c r="BE265" s="226"/>
      <c r="BF265" s="226"/>
      <c r="BG265" s="226"/>
      <c r="BH265" s="226"/>
      <c r="BI265" s="226"/>
      <c r="BJ265" s="226"/>
      <c r="BK265" s="226"/>
      <c r="BL265" s="226"/>
      <c r="BM265" s="226"/>
      <c r="BN265" s="226"/>
      <c r="BO265" s="226"/>
      <c r="BP265" s="226"/>
      <c r="BQ265" s="226"/>
      <c r="BR265" s="226"/>
      <c r="BS265" s="226"/>
      <c r="BT265" s="226"/>
      <c r="BU265" s="226"/>
      <c r="BV265" s="226"/>
      <c r="BW265" s="226"/>
      <c r="BX265" s="226"/>
      <c r="BY265" s="226"/>
      <c r="BZ265" s="226"/>
      <c r="CA265" s="226"/>
      <c r="CB265" s="226"/>
      <c r="CC265" s="226"/>
      <c r="CD265" s="226"/>
      <c r="CE265" s="226"/>
    </row>
    <row r="266" spans="1:83">
      <c r="A266" s="226"/>
      <c r="B266" s="226"/>
      <c r="C266" s="226"/>
      <c r="D266" s="226"/>
      <c r="E266" s="226"/>
      <c r="F266" s="226"/>
      <c r="G266" s="226"/>
      <c r="H266" s="226"/>
      <c r="I266" s="226"/>
      <c r="J266" s="226"/>
      <c r="K266" s="226"/>
      <c r="L266" s="226"/>
      <c r="M266" s="226"/>
      <c r="N266" s="226"/>
      <c r="O266" s="226"/>
      <c r="P266" s="226"/>
      <c r="Q266" s="226"/>
      <c r="R266" s="226"/>
      <c r="S266" s="226"/>
      <c r="T266" s="226"/>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c r="AP266" s="226"/>
      <c r="AQ266" s="226"/>
      <c r="AR266" s="226"/>
      <c r="AS266" s="226"/>
      <c r="AT266" s="226"/>
      <c r="AU266" s="226"/>
      <c r="AV266" s="226"/>
      <c r="AW266" s="226"/>
      <c r="AX266" s="226"/>
      <c r="AY266" s="226"/>
      <c r="AZ266" s="226"/>
      <c r="BA266" s="226"/>
      <c r="BB266" s="226"/>
      <c r="BC266" s="226"/>
      <c r="BD266" s="226"/>
      <c r="BE266" s="226"/>
      <c r="BF266" s="226"/>
      <c r="BG266" s="226"/>
      <c r="BH266" s="226"/>
      <c r="BI266" s="226"/>
      <c r="BJ266" s="226"/>
      <c r="BK266" s="226"/>
      <c r="BL266" s="226"/>
      <c r="BM266" s="226"/>
      <c r="BN266" s="226"/>
      <c r="BO266" s="226"/>
      <c r="BP266" s="226"/>
      <c r="BQ266" s="226"/>
      <c r="BR266" s="226"/>
      <c r="BS266" s="226"/>
      <c r="BT266" s="226"/>
      <c r="BU266" s="226"/>
      <c r="BV266" s="226"/>
      <c r="BW266" s="226"/>
      <c r="BX266" s="226"/>
      <c r="BY266" s="226"/>
      <c r="BZ266" s="226"/>
      <c r="CA266" s="226"/>
      <c r="CB266" s="226"/>
      <c r="CC266" s="226"/>
      <c r="CD266" s="226"/>
      <c r="CE266" s="226"/>
    </row>
    <row r="267" spans="1:83">
      <c r="A267" s="226"/>
      <c r="B267" s="226"/>
      <c r="C267" s="226"/>
      <c r="D267" s="226"/>
      <c r="E267" s="226"/>
      <c r="F267" s="226"/>
      <c r="G267" s="226"/>
      <c r="H267" s="226"/>
      <c r="I267" s="226"/>
      <c r="J267" s="226"/>
      <c r="K267" s="226"/>
      <c r="L267" s="226"/>
      <c r="M267" s="226"/>
      <c r="N267" s="226"/>
      <c r="O267" s="226"/>
      <c r="P267" s="226"/>
      <c r="Q267" s="226"/>
      <c r="R267" s="226"/>
      <c r="S267" s="226"/>
      <c r="T267" s="226"/>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c r="AP267" s="226"/>
      <c r="AQ267" s="226"/>
      <c r="AR267" s="226"/>
      <c r="AS267" s="226"/>
      <c r="AT267" s="226"/>
      <c r="AU267" s="226"/>
      <c r="AV267" s="226"/>
      <c r="AW267" s="226"/>
      <c r="AX267" s="226"/>
      <c r="AY267" s="226"/>
      <c r="AZ267" s="226"/>
      <c r="BA267" s="226"/>
      <c r="BB267" s="226"/>
      <c r="BC267" s="226"/>
      <c r="BD267" s="226"/>
      <c r="BE267" s="226"/>
      <c r="BF267" s="226"/>
      <c r="BG267" s="226"/>
      <c r="BH267" s="226"/>
      <c r="BI267" s="226"/>
      <c r="BJ267" s="226"/>
      <c r="BK267" s="226"/>
      <c r="BL267" s="226"/>
      <c r="BM267" s="226"/>
      <c r="BN267" s="226"/>
      <c r="BO267" s="226"/>
      <c r="BP267" s="226"/>
      <c r="BQ267" s="226"/>
      <c r="BR267" s="226"/>
      <c r="BS267" s="226"/>
      <c r="BT267" s="226"/>
      <c r="BU267" s="226"/>
      <c r="BV267" s="226"/>
      <c r="BW267" s="226"/>
      <c r="BX267" s="226"/>
      <c r="BY267" s="226"/>
      <c r="BZ267" s="226"/>
      <c r="CA267" s="226"/>
      <c r="CB267" s="226"/>
      <c r="CC267" s="226"/>
      <c r="CD267" s="226"/>
      <c r="CE267" s="226"/>
    </row>
    <row r="268" spans="1:83">
      <c r="A268" s="226"/>
      <c r="B268" s="226"/>
      <c r="C268" s="226"/>
      <c r="D268" s="226"/>
      <c r="E268" s="226"/>
      <c r="F268" s="226"/>
      <c r="G268" s="226"/>
      <c r="H268" s="226"/>
      <c r="I268" s="226"/>
      <c r="J268" s="226"/>
      <c r="K268" s="226"/>
      <c r="L268" s="226"/>
      <c r="M268" s="226"/>
      <c r="N268" s="226"/>
      <c r="O268" s="226"/>
      <c r="P268" s="226"/>
      <c r="Q268" s="226"/>
      <c r="R268" s="226"/>
      <c r="S268" s="226"/>
      <c r="T268" s="226"/>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c r="AP268" s="226"/>
      <c r="AQ268" s="226"/>
      <c r="AR268" s="226"/>
      <c r="AS268" s="226"/>
      <c r="AT268" s="226"/>
      <c r="AU268" s="226"/>
      <c r="AV268" s="226"/>
      <c r="AW268" s="226"/>
      <c r="AX268" s="226"/>
      <c r="AY268" s="226"/>
      <c r="AZ268" s="226"/>
      <c r="BA268" s="226"/>
      <c r="BB268" s="226"/>
      <c r="BC268" s="226"/>
      <c r="BD268" s="226"/>
      <c r="BE268" s="226"/>
      <c r="BF268" s="226"/>
      <c r="BG268" s="226"/>
      <c r="BH268" s="226"/>
      <c r="BI268" s="226"/>
      <c r="BJ268" s="226"/>
      <c r="BK268" s="226"/>
      <c r="BL268" s="226"/>
      <c r="BM268" s="226"/>
      <c r="BN268" s="226"/>
      <c r="BO268" s="226"/>
      <c r="BP268" s="226"/>
      <c r="BQ268" s="226"/>
      <c r="BR268" s="226"/>
      <c r="BS268" s="226"/>
      <c r="BT268" s="226"/>
      <c r="BU268" s="226"/>
      <c r="BV268" s="226"/>
      <c r="BW268" s="226"/>
      <c r="BX268" s="226"/>
      <c r="BY268" s="226"/>
      <c r="BZ268" s="226"/>
      <c r="CA268" s="226"/>
      <c r="CB268" s="226"/>
      <c r="CC268" s="226"/>
      <c r="CD268" s="226"/>
      <c r="CE268" s="226"/>
    </row>
    <row r="269" spans="1:83">
      <c r="A269" s="226"/>
      <c r="B269" s="226"/>
      <c r="C269" s="226"/>
      <c r="D269" s="226"/>
      <c r="E269" s="226"/>
      <c r="F269" s="226"/>
      <c r="G269" s="226"/>
      <c r="H269" s="226"/>
      <c r="I269" s="226"/>
      <c r="J269" s="226"/>
      <c r="K269" s="226"/>
      <c r="L269" s="226"/>
      <c r="M269" s="226"/>
      <c r="N269" s="226"/>
      <c r="O269" s="226"/>
      <c r="P269" s="226"/>
      <c r="Q269" s="226"/>
      <c r="R269" s="226"/>
      <c r="S269" s="226"/>
      <c r="T269" s="226"/>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c r="AP269" s="226"/>
      <c r="AQ269" s="226"/>
      <c r="AR269" s="226"/>
      <c r="AS269" s="226"/>
      <c r="AT269" s="226"/>
      <c r="AU269" s="226"/>
      <c r="AV269" s="226"/>
      <c r="AW269" s="226"/>
      <c r="AX269" s="226"/>
      <c r="AY269" s="226"/>
      <c r="AZ269" s="226"/>
      <c r="BA269" s="226"/>
      <c r="BB269" s="226"/>
      <c r="BC269" s="226"/>
      <c r="BD269" s="226"/>
      <c r="BE269" s="226"/>
      <c r="BF269" s="226"/>
      <c r="BG269" s="226"/>
      <c r="BH269" s="226"/>
      <c r="BI269" s="226"/>
      <c r="BJ269" s="226"/>
      <c r="BK269" s="226"/>
      <c r="BL269" s="226"/>
      <c r="BM269" s="226"/>
      <c r="BN269" s="226"/>
      <c r="BO269" s="226"/>
      <c r="BP269" s="226"/>
      <c r="BQ269" s="226"/>
      <c r="BR269" s="226"/>
      <c r="BS269" s="226"/>
      <c r="BT269" s="226"/>
      <c r="BU269" s="226"/>
      <c r="BV269" s="226"/>
      <c r="BW269" s="226"/>
      <c r="BX269" s="226"/>
      <c r="BY269" s="226"/>
      <c r="BZ269" s="226"/>
      <c r="CA269" s="226"/>
      <c r="CB269" s="226"/>
      <c r="CC269" s="226"/>
      <c r="CD269" s="226"/>
      <c r="CE269" s="226"/>
    </row>
    <row r="270" spans="1:83">
      <c r="A270" s="226"/>
      <c r="B270" s="226"/>
      <c r="C270" s="226"/>
      <c r="D270" s="226"/>
      <c r="E270" s="226"/>
      <c r="F270" s="226"/>
      <c r="G270" s="226"/>
      <c r="H270" s="226"/>
      <c r="I270" s="226"/>
      <c r="J270" s="226"/>
      <c r="K270" s="226"/>
      <c r="L270" s="226"/>
      <c r="M270" s="226"/>
      <c r="N270" s="226"/>
      <c r="O270" s="226"/>
      <c r="P270" s="226"/>
      <c r="Q270" s="226"/>
      <c r="R270" s="226"/>
      <c r="S270" s="226"/>
      <c r="T270" s="226"/>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c r="AP270" s="226"/>
      <c r="AQ270" s="226"/>
      <c r="AR270" s="226"/>
      <c r="AS270" s="226"/>
      <c r="AT270" s="226"/>
      <c r="AU270" s="226"/>
      <c r="AV270" s="226"/>
      <c r="AW270" s="226"/>
      <c r="AX270" s="226"/>
      <c r="AY270" s="226"/>
      <c r="AZ270" s="226"/>
      <c r="BA270" s="226"/>
      <c r="BB270" s="226"/>
      <c r="BC270" s="226"/>
      <c r="BD270" s="226"/>
      <c r="BE270" s="226"/>
      <c r="BF270" s="226"/>
      <c r="BG270" s="226"/>
      <c r="BH270" s="226"/>
      <c r="BI270" s="226"/>
      <c r="BJ270" s="226"/>
      <c r="BK270" s="226"/>
      <c r="BL270" s="226"/>
      <c r="BM270" s="226"/>
      <c r="BN270" s="226"/>
      <c r="BO270" s="226"/>
      <c r="BP270" s="226"/>
      <c r="BQ270" s="226"/>
      <c r="BR270" s="226"/>
      <c r="BS270" s="226"/>
      <c r="BT270" s="226"/>
      <c r="BU270" s="226"/>
      <c r="BV270" s="226"/>
      <c r="BW270" s="226"/>
      <c r="BX270" s="226"/>
      <c r="BY270" s="226"/>
      <c r="BZ270" s="226"/>
      <c r="CA270" s="226"/>
      <c r="CB270" s="226"/>
      <c r="CC270" s="226"/>
      <c r="CD270" s="226"/>
      <c r="CE270" s="226"/>
    </row>
    <row r="271" spans="1:83">
      <c r="A271" s="226"/>
      <c r="B271" s="226"/>
      <c r="C271" s="226"/>
      <c r="D271" s="226"/>
      <c r="E271" s="226"/>
      <c r="F271" s="226"/>
      <c r="G271" s="226"/>
      <c r="H271" s="226"/>
      <c r="I271" s="226"/>
      <c r="J271" s="226"/>
      <c r="K271" s="226"/>
      <c r="L271" s="226"/>
      <c r="M271" s="226"/>
      <c r="N271" s="226"/>
      <c r="O271" s="226"/>
      <c r="P271" s="226"/>
      <c r="Q271" s="226"/>
      <c r="R271" s="226"/>
      <c r="S271" s="226"/>
      <c r="T271" s="226"/>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c r="AP271" s="226"/>
      <c r="AQ271" s="226"/>
      <c r="AR271" s="226"/>
      <c r="AS271" s="226"/>
      <c r="AT271" s="226"/>
      <c r="AU271" s="226"/>
      <c r="AV271" s="226"/>
      <c r="AW271" s="226"/>
      <c r="AX271" s="226"/>
      <c r="AY271" s="226"/>
      <c r="AZ271" s="226"/>
      <c r="BA271" s="226"/>
      <c r="BB271" s="226"/>
      <c r="BC271" s="226"/>
      <c r="BD271" s="226"/>
      <c r="BE271" s="226"/>
      <c r="BF271" s="226"/>
      <c r="BG271" s="226"/>
      <c r="BH271" s="226"/>
      <c r="BI271" s="226"/>
      <c r="BJ271" s="226"/>
      <c r="BK271" s="226"/>
      <c r="BL271" s="226"/>
      <c r="BM271" s="226"/>
      <c r="BN271" s="226"/>
      <c r="BO271" s="226"/>
      <c r="BP271" s="226"/>
      <c r="BQ271" s="226"/>
      <c r="BR271" s="226"/>
      <c r="BS271" s="226"/>
      <c r="BT271" s="226"/>
      <c r="BU271" s="226"/>
      <c r="BV271" s="226"/>
      <c r="BW271" s="226"/>
      <c r="BX271" s="226"/>
      <c r="BY271" s="226"/>
      <c r="BZ271" s="226"/>
      <c r="CA271" s="226"/>
      <c r="CB271" s="226"/>
      <c r="CC271" s="226"/>
      <c r="CD271" s="226"/>
      <c r="CE271" s="226"/>
    </row>
    <row r="272" spans="1:83">
      <c r="A272" s="226"/>
      <c r="B272" s="226"/>
      <c r="C272" s="226"/>
      <c r="D272" s="226"/>
      <c r="E272" s="226"/>
      <c r="F272" s="226"/>
      <c r="G272" s="226"/>
      <c r="H272" s="226"/>
      <c r="I272" s="226"/>
      <c r="J272" s="226"/>
      <c r="K272" s="226"/>
      <c r="L272" s="226"/>
      <c r="M272" s="226"/>
      <c r="N272" s="226"/>
      <c r="O272" s="226"/>
      <c r="P272" s="226"/>
      <c r="Q272" s="226"/>
      <c r="R272" s="226"/>
      <c r="S272" s="226"/>
      <c r="T272" s="226"/>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c r="AP272" s="226"/>
      <c r="AQ272" s="226"/>
      <c r="AR272" s="226"/>
      <c r="AS272" s="226"/>
      <c r="AT272" s="226"/>
      <c r="AU272" s="226"/>
      <c r="AV272" s="226"/>
      <c r="AW272" s="226"/>
      <c r="AX272" s="226"/>
      <c r="AY272" s="226"/>
      <c r="AZ272" s="226"/>
      <c r="BA272" s="226"/>
      <c r="BB272" s="226"/>
      <c r="BC272" s="226"/>
      <c r="BD272" s="226"/>
      <c r="BE272" s="226"/>
      <c r="BF272" s="226"/>
      <c r="BG272" s="226"/>
      <c r="BH272" s="226"/>
      <c r="BI272" s="226"/>
      <c r="BJ272" s="226"/>
      <c r="BK272" s="226"/>
      <c r="BL272" s="226"/>
      <c r="BM272" s="226"/>
      <c r="BN272" s="226"/>
      <c r="BO272" s="226"/>
      <c r="BP272" s="226"/>
      <c r="BQ272" s="226"/>
      <c r="BR272" s="226"/>
      <c r="BS272" s="226"/>
      <c r="BT272" s="226"/>
      <c r="BU272" s="226"/>
      <c r="BV272" s="226"/>
      <c r="BW272" s="226"/>
      <c r="BX272" s="226"/>
      <c r="BY272" s="226"/>
      <c r="BZ272" s="226"/>
      <c r="CA272" s="226"/>
      <c r="CB272" s="226"/>
      <c r="CC272" s="226"/>
      <c r="CD272" s="226"/>
      <c r="CE272" s="226"/>
    </row>
    <row r="273" spans="1:83">
      <c r="A273" s="226"/>
      <c r="B273" s="226"/>
      <c r="C273" s="226"/>
      <c r="D273" s="226"/>
      <c r="E273" s="226"/>
      <c r="F273" s="226"/>
      <c r="G273" s="226"/>
      <c r="H273" s="226"/>
      <c r="I273" s="226"/>
      <c r="J273" s="226"/>
      <c r="K273" s="226"/>
      <c r="L273" s="226"/>
      <c r="M273" s="226"/>
      <c r="N273" s="226"/>
      <c r="O273" s="226"/>
      <c r="P273" s="226"/>
      <c r="Q273" s="226"/>
      <c r="R273" s="226"/>
      <c r="S273" s="226"/>
      <c r="T273" s="226"/>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c r="AP273" s="226"/>
      <c r="AQ273" s="226"/>
      <c r="AR273" s="226"/>
      <c r="AS273" s="226"/>
      <c r="AT273" s="226"/>
      <c r="AU273" s="226"/>
      <c r="AV273" s="226"/>
      <c r="AW273" s="226"/>
      <c r="AX273" s="226"/>
      <c r="AY273" s="226"/>
      <c r="AZ273" s="226"/>
      <c r="BA273" s="226"/>
      <c r="BB273" s="226"/>
      <c r="BC273" s="226"/>
      <c r="BD273" s="226"/>
      <c r="BE273" s="226"/>
      <c r="BF273" s="226"/>
      <c r="BG273" s="226"/>
      <c r="BH273" s="226"/>
      <c r="BI273" s="226"/>
      <c r="BJ273" s="226"/>
      <c r="BK273" s="226"/>
      <c r="BL273" s="226"/>
      <c r="BM273" s="226"/>
      <c r="BN273" s="226"/>
      <c r="BO273" s="226"/>
      <c r="BP273" s="226"/>
      <c r="BQ273" s="226"/>
      <c r="BR273" s="226"/>
      <c r="BS273" s="226"/>
      <c r="BT273" s="226"/>
      <c r="BU273" s="226"/>
      <c r="BV273" s="226"/>
      <c r="BW273" s="226"/>
      <c r="BX273" s="226"/>
      <c r="BY273" s="226"/>
      <c r="BZ273" s="226"/>
      <c r="CA273" s="226"/>
      <c r="CB273" s="226"/>
      <c r="CC273" s="226"/>
      <c r="CD273" s="226"/>
      <c r="CE273" s="226"/>
    </row>
    <row r="274" spans="1:83">
      <c r="A274" s="226"/>
      <c r="B274" s="226"/>
      <c r="C274" s="226"/>
      <c r="D274" s="226"/>
      <c r="E274" s="226"/>
      <c r="F274" s="226"/>
      <c r="G274" s="226"/>
      <c r="H274" s="226"/>
      <c r="I274" s="226"/>
      <c r="J274" s="226"/>
      <c r="K274" s="226"/>
      <c r="L274" s="226"/>
      <c r="M274" s="226"/>
      <c r="N274" s="226"/>
      <c r="O274" s="226"/>
      <c r="P274" s="226"/>
      <c r="Q274" s="226"/>
      <c r="R274" s="226"/>
      <c r="S274" s="226"/>
      <c r="T274" s="226"/>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c r="AP274" s="226"/>
      <c r="AQ274" s="226"/>
      <c r="AR274" s="226"/>
      <c r="AS274" s="226"/>
      <c r="AT274" s="226"/>
      <c r="AU274" s="226"/>
      <c r="AV274" s="226"/>
      <c r="AW274" s="226"/>
      <c r="AX274" s="226"/>
      <c r="AY274" s="226"/>
      <c r="AZ274" s="226"/>
      <c r="BA274" s="226"/>
      <c r="BB274" s="226"/>
      <c r="BC274" s="226"/>
      <c r="BD274" s="226"/>
      <c r="BE274" s="226"/>
      <c r="BF274" s="226"/>
      <c r="BG274" s="226"/>
      <c r="BH274" s="226"/>
      <c r="BI274" s="226"/>
      <c r="BJ274" s="226"/>
      <c r="BK274" s="226"/>
      <c r="BL274" s="226"/>
      <c r="BM274" s="226"/>
      <c r="BN274" s="226"/>
      <c r="BO274" s="226"/>
      <c r="BP274" s="226"/>
      <c r="BQ274" s="226"/>
      <c r="BR274" s="226"/>
      <c r="BS274" s="226"/>
      <c r="BT274" s="226"/>
      <c r="BU274" s="226"/>
      <c r="BV274" s="226"/>
      <c r="BW274" s="226"/>
      <c r="BX274" s="226"/>
      <c r="BY274" s="226"/>
      <c r="BZ274" s="226"/>
      <c r="CA274" s="226"/>
      <c r="CB274" s="226"/>
      <c r="CC274" s="226"/>
      <c r="CD274" s="226"/>
      <c r="CE274" s="226"/>
    </row>
    <row r="275" spans="1:83">
      <c r="A275" s="226"/>
      <c r="B275" s="226"/>
      <c r="C275" s="226"/>
      <c r="D275" s="226"/>
      <c r="E275" s="226"/>
      <c r="F275" s="226"/>
      <c r="G275" s="226"/>
      <c r="H275" s="226"/>
      <c r="I275" s="226"/>
      <c r="J275" s="226"/>
      <c r="K275" s="226"/>
      <c r="L275" s="226"/>
      <c r="M275" s="226"/>
      <c r="N275" s="226"/>
      <c r="O275" s="226"/>
      <c r="P275" s="226"/>
      <c r="Q275" s="226"/>
      <c r="R275" s="226"/>
      <c r="S275" s="226"/>
      <c r="T275" s="226"/>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c r="AP275" s="226"/>
      <c r="AQ275" s="226"/>
      <c r="AR275" s="226"/>
      <c r="AS275" s="226"/>
      <c r="AT275" s="226"/>
      <c r="AU275" s="226"/>
      <c r="AV275" s="226"/>
      <c r="AW275" s="226"/>
      <c r="AX275" s="226"/>
      <c r="AY275" s="226"/>
      <c r="AZ275" s="226"/>
      <c r="BA275" s="226"/>
      <c r="BB275" s="226"/>
      <c r="BC275" s="226"/>
      <c r="BD275" s="226"/>
      <c r="BE275" s="226"/>
      <c r="BF275" s="226"/>
      <c r="BG275" s="226"/>
      <c r="BH275" s="226"/>
      <c r="BI275" s="226"/>
      <c r="BJ275" s="226"/>
      <c r="BK275" s="226"/>
      <c r="BL275" s="226"/>
      <c r="BM275" s="226"/>
      <c r="BN275" s="226"/>
      <c r="BO275" s="226"/>
      <c r="BP275" s="226"/>
      <c r="BQ275" s="226"/>
      <c r="BR275" s="226"/>
      <c r="BS275" s="226"/>
      <c r="BT275" s="226"/>
      <c r="BU275" s="226"/>
      <c r="BV275" s="226"/>
      <c r="BW275" s="226"/>
      <c r="BX275" s="226"/>
      <c r="BY275" s="226"/>
      <c r="BZ275" s="226"/>
      <c r="CA275" s="226"/>
      <c r="CB275" s="226"/>
      <c r="CC275" s="226"/>
      <c r="CD275" s="226"/>
      <c r="CE275" s="226"/>
    </row>
    <row r="276" spans="1:83">
      <c r="A276" s="226"/>
      <c r="B276" s="226"/>
      <c r="C276" s="226"/>
      <c r="D276" s="226"/>
      <c r="E276" s="226"/>
      <c r="F276" s="226"/>
      <c r="G276" s="226"/>
      <c r="H276" s="226"/>
      <c r="I276" s="226"/>
      <c r="J276" s="226"/>
      <c r="K276" s="226"/>
      <c r="L276" s="226"/>
      <c r="M276" s="226"/>
      <c r="N276" s="226"/>
      <c r="O276" s="226"/>
      <c r="P276" s="226"/>
      <c r="Q276" s="226"/>
      <c r="R276" s="226"/>
      <c r="S276" s="226"/>
      <c r="T276" s="226"/>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c r="AP276" s="226"/>
      <c r="AQ276" s="226"/>
      <c r="AR276" s="226"/>
      <c r="AS276" s="226"/>
      <c r="AT276" s="226"/>
      <c r="AU276" s="226"/>
      <c r="AV276" s="226"/>
      <c r="AW276" s="226"/>
      <c r="AX276" s="226"/>
      <c r="AY276" s="226"/>
      <c r="AZ276" s="226"/>
      <c r="BA276" s="226"/>
      <c r="BB276" s="226"/>
      <c r="BC276" s="226"/>
      <c r="BD276" s="226"/>
      <c r="BE276" s="226"/>
      <c r="BF276" s="226"/>
      <c r="BG276" s="226"/>
      <c r="BH276" s="226"/>
      <c r="BI276" s="226"/>
      <c r="BJ276" s="226"/>
      <c r="BK276" s="226"/>
      <c r="BL276" s="226"/>
      <c r="BM276" s="226"/>
      <c r="BN276" s="226"/>
      <c r="BO276" s="226"/>
      <c r="BP276" s="226"/>
      <c r="BQ276" s="226"/>
      <c r="BR276" s="226"/>
      <c r="BS276" s="226"/>
      <c r="BT276" s="226"/>
      <c r="BU276" s="226"/>
      <c r="BV276" s="226"/>
      <c r="BW276" s="226"/>
      <c r="BX276" s="226"/>
      <c r="BY276" s="226"/>
      <c r="BZ276" s="226"/>
      <c r="CA276" s="226"/>
      <c r="CB276" s="226"/>
      <c r="CC276" s="226"/>
      <c r="CD276" s="226"/>
      <c r="CE276" s="226"/>
    </row>
    <row r="277" spans="1:83">
      <c r="A277" s="226"/>
      <c r="B277" s="226"/>
      <c r="C277" s="226"/>
      <c r="D277" s="226"/>
      <c r="E277" s="226"/>
      <c r="F277" s="226"/>
      <c r="G277" s="226"/>
      <c r="H277" s="226"/>
      <c r="I277" s="226"/>
      <c r="J277" s="226"/>
      <c r="K277" s="226"/>
      <c r="L277" s="226"/>
      <c r="M277" s="226"/>
      <c r="N277" s="226"/>
      <c r="O277" s="226"/>
      <c r="P277" s="226"/>
      <c r="Q277" s="226"/>
      <c r="R277" s="226"/>
      <c r="S277" s="226"/>
      <c r="T277" s="226"/>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c r="AP277" s="226"/>
      <c r="AQ277" s="226"/>
      <c r="AR277" s="226"/>
      <c r="AS277" s="226"/>
      <c r="AT277" s="226"/>
      <c r="AU277" s="226"/>
      <c r="AV277" s="226"/>
      <c r="AW277" s="226"/>
      <c r="AX277" s="226"/>
      <c r="AY277" s="226"/>
      <c r="AZ277" s="226"/>
      <c r="BA277" s="226"/>
      <c r="BB277" s="226"/>
      <c r="BC277" s="226"/>
      <c r="BD277" s="226"/>
      <c r="BE277" s="226"/>
      <c r="BF277" s="226"/>
      <c r="BG277" s="226"/>
      <c r="BH277" s="226"/>
      <c r="BI277" s="226"/>
      <c r="BJ277" s="226"/>
      <c r="BK277" s="226"/>
      <c r="BL277" s="226"/>
      <c r="BM277" s="226"/>
      <c r="BN277" s="226"/>
      <c r="BO277" s="226"/>
      <c r="BP277" s="226"/>
      <c r="BQ277" s="226"/>
      <c r="BR277" s="226"/>
      <c r="BS277" s="226"/>
      <c r="BT277" s="226"/>
      <c r="BU277" s="226"/>
      <c r="BV277" s="226"/>
      <c r="BW277" s="226"/>
      <c r="BX277" s="226"/>
      <c r="BY277" s="226"/>
      <c r="BZ277" s="226"/>
      <c r="CA277" s="226"/>
      <c r="CB277" s="226"/>
      <c r="CC277" s="226"/>
      <c r="CD277" s="226"/>
      <c r="CE277" s="226"/>
    </row>
    <row r="278" spans="1:83">
      <c r="A278" s="226"/>
      <c r="B278" s="226"/>
      <c r="C278" s="226"/>
      <c r="D278" s="226"/>
      <c r="E278" s="226"/>
      <c r="F278" s="226"/>
      <c r="G278" s="226"/>
      <c r="H278" s="226"/>
      <c r="I278" s="226"/>
      <c r="J278" s="226"/>
      <c r="K278" s="226"/>
      <c r="L278" s="226"/>
      <c r="M278" s="226"/>
      <c r="N278" s="226"/>
      <c r="O278" s="226"/>
      <c r="P278" s="226"/>
      <c r="Q278" s="226"/>
      <c r="R278" s="226"/>
      <c r="S278" s="226"/>
      <c r="T278" s="226"/>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c r="AP278" s="226"/>
      <c r="AQ278" s="226"/>
      <c r="AR278" s="226"/>
      <c r="AS278" s="226"/>
      <c r="AT278" s="226"/>
      <c r="AU278" s="226"/>
      <c r="AV278" s="226"/>
      <c r="AW278" s="226"/>
      <c r="AX278" s="226"/>
      <c r="AY278" s="226"/>
      <c r="AZ278" s="226"/>
      <c r="BA278" s="226"/>
      <c r="BB278" s="226"/>
      <c r="BC278" s="226"/>
      <c r="BD278" s="226"/>
      <c r="BE278" s="226"/>
      <c r="BF278" s="226"/>
      <c r="BG278" s="226"/>
      <c r="BH278" s="226"/>
      <c r="BI278" s="226"/>
      <c r="BJ278" s="226"/>
      <c r="BK278" s="226"/>
      <c r="BL278" s="226"/>
      <c r="BM278" s="226"/>
      <c r="BN278" s="226"/>
      <c r="BO278" s="226"/>
      <c r="BP278" s="226"/>
      <c r="BQ278" s="226"/>
      <c r="BR278" s="226"/>
      <c r="BS278" s="226"/>
      <c r="BT278" s="226"/>
      <c r="BU278" s="226"/>
      <c r="BV278" s="226"/>
      <c r="BW278" s="226"/>
      <c r="BX278" s="226"/>
      <c r="BY278" s="226"/>
      <c r="BZ278" s="226"/>
      <c r="CA278" s="226"/>
      <c r="CB278" s="226"/>
      <c r="CC278" s="226"/>
      <c r="CD278" s="226"/>
      <c r="CE278" s="226"/>
    </row>
    <row r="279" spans="1:83">
      <c r="A279" s="226"/>
      <c r="B279" s="226"/>
      <c r="C279" s="226"/>
      <c r="D279" s="226"/>
      <c r="E279" s="226"/>
      <c r="F279" s="226"/>
      <c r="G279" s="226"/>
      <c r="H279" s="226"/>
      <c r="I279" s="226"/>
      <c r="J279" s="226"/>
      <c r="K279" s="226"/>
      <c r="L279" s="226"/>
      <c r="M279" s="226"/>
      <c r="N279" s="226"/>
      <c r="O279" s="226"/>
      <c r="P279" s="226"/>
      <c r="Q279" s="226"/>
      <c r="R279" s="226"/>
      <c r="S279" s="226"/>
      <c r="T279" s="226"/>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c r="AP279" s="226"/>
      <c r="AQ279" s="226"/>
      <c r="AR279" s="226"/>
      <c r="AS279" s="226"/>
      <c r="AT279" s="226"/>
      <c r="AU279" s="226"/>
      <c r="AV279" s="226"/>
      <c r="AW279" s="226"/>
      <c r="AX279" s="226"/>
      <c r="AY279" s="226"/>
      <c r="AZ279" s="226"/>
      <c r="BA279" s="226"/>
      <c r="BB279" s="226"/>
      <c r="BC279" s="226"/>
      <c r="BD279" s="226"/>
      <c r="BE279" s="226"/>
      <c r="BF279" s="226"/>
      <c r="BG279" s="226"/>
      <c r="BH279" s="226"/>
      <c r="BI279" s="226"/>
      <c r="BJ279" s="226"/>
      <c r="BK279" s="226"/>
      <c r="BL279" s="226"/>
      <c r="BM279" s="226"/>
      <c r="BN279" s="226"/>
      <c r="BO279" s="226"/>
      <c r="BP279" s="226"/>
      <c r="BQ279" s="226"/>
      <c r="BR279" s="226"/>
      <c r="BS279" s="226"/>
      <c r="BT279" s="226"/>
      <c r="BU279" s="226"/>
      <c r="BV279" s="226"/>
      <c r="BW279" s="226"/>
      <c r="BX279" s="226"/>
      <c r="BY279" s="226"/>
      <c r="BZ279" s="226"/>
      <c r="CA279" s="226"/>
      <c r="CB279" s="226"/>
      <c r="CC279" s="226"/>
      <c r="CD279" s="226"/>
      <c r="CE279" s="226"/>
    </row>
    <row r="280" spans="1:83">
      <c r="A280" s="226"/>
      <c r="B280" s="226"/>
      <c r="C280" s="226"/>
      <c r="D280" s="226"/>
      <c r="E280" s="226"/>
      <c r="F280" s="226"/>
      <c r="G280" s="226"/>
      <c r="H280" s="226"/>
      <c r="I280" s="226"/>
      <c r="J280" s="226"/>
      <c r="K280" s="226"/>
      <c r="L280" s="226"/>
      <c r="M280" s="226"/>
      <c r="N280" s="226"/>
      <c r="O280" s="226"/>
      <c r="P280" s="226"/>
      <c r="Q280" s="226"/>
      <c r="R280" s="226"/>
      <c r="S280" s="226"/>
      <c r="T280" s="226"/>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c r="AP280" s="226"/>
      <c r="AQ280" s="226"/>
      <c r="AR280" s="226"/>
      <c r="AS280" s="226"/>
      <c r="AT280" s="226"/>
      <c r="AU280" s="226"/>
      <c r="AV280" s="226"/>
      <c r="AW280" s="226"/>
      <c r="AX280" s="226"/>
      <c r="AY280" s="226"/>
      <c r="AZ280" s="226"/>
      <c r="BA280" s="226"/>
      <c r="BB280" s="226"/>
      <c r="BC280" s="226"/>
      <c r="BD280" s="226"/>
      <c r="BE280" s="226"/>
      <c r="BF280" s="226"/>
      <c r="BG280" s="226"/>
      <c r="BH280" s="226"/>
      <c r="BI280" s="226"/>
      <c r="BJ280" s="226"/>
      <c r="BK280" s="226"/>
      <c r="BL280" s="226"/>
      <c r="BM280" s="226"/>
      <c r="BN280" s="226"/>
      <c r="BO280" s="226"/>
      <c r="BP280" s="226"/>
      <c r="BQ280" s="226"/>
      <c r="BR280" s="226"/>
      <c r="BS280" s="226"/>
      <c r="BT280" s="226"/>
      <c r="BU280" s="226"/>
      <c r="BV280" s="226"/>
      <c r="BW280" s="226"/>
      <c r="BX280" s="226"/>
      <c r="BY280" s="226"/>
      <c r="BZ280" s="226"/>
      <c r="CA280" s="226"/>
      <c r="CB280" s="226"/>
      <c r="CC280" s="226"/>
      <c r="CD280" s="226"/>
      <c r="CE280" s="226"/>
    </row>
    <row r="281" spans="1:83">
      <c r="A281" s="226"/>
      <c r="B281" s="226"/>
      <c r="C281" s="226"/>
      <c r="D281" s="226"/>
      <c r="E281" s="226"/>
      <c r="F281" s="226"/>
      <c r="G281" s="226"/>
      <c r="H281" s="226"/>
      <c r="I281" s="226"/>
      <c r="J281" s="226"/>
      <c r="K281" s="226"/>
      <c r="L281" s="226"/>
      <c r="M281" s="226"/>
      <c r="N281" s="226"/>
      <c r="O281" s="226"/>
      <c r="P281" s="226"/>
      <c r="Q281" s="226"/>
      <c r="R281" s="226"/>
      <c r="S281" s="226"/>
      <c r="T281" s="226"/>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c r="AP281" s="226"/>
      <c r="AQ281" s="226"/>
      <c r="AR281" s="226"/>
      <c r="AS281" s="226"/>
      <c r="AT281" s="226"/>
      <c r="AU281" s="226"/>
      <c r="AV281" s="226"/>
      <c r="AW281" s="226"/>
      <c r="AX281" s="226"/>
      <c r="AY281" s="226"/>
      <c r="AZ281" s="226"/>
      <c r="BA281" s="226"/>
      <c r="BB281" s="226"/>
      <c r="BC281" s="226"/>
      <c r="BD281" s="226"/>
      <c r="BE281" s="226"/>
      <c r="BF281" s="226"/>
      <c r="BG281" s="226"/>
      <c r="BH281" s="226"/>
      <c r="BI281" s="226"/>
      <c r="BJ281" s="226"/>
      <c r="BK281" s="226"/>
      <c r="BL281" s="226"/>
      <c r="BM281" s="226"/>
      <c r="BN281" s="226"/>
      <c r="BO281" s="226"/>
      <c r="BP281" s="226"/>
      <c r="BQ281" s="226"/>
      <c r="BR281" s="226"/>
      <c r="BS281" s="226"/>
      <c r="BT281" s="226"/>
      <c r="BU281" s="226"/>
      <c r="BV281" s="226"/>
      <c r="BW281" s="226"/>
      <c r="BX281" s="226"/>
      <c r="BY281" s="226"/>
      <c r="BZ281" s="226"/>
      <c r="CA281" s="226"/>
      <c r="CB281" s="226"/>
      <c r="CC281" s="226"/>
      <c r="CD281" s="226"/>
      <c r="CE281" s="226"/>
    </row>
    <row r="282" spans="1:83">
      <c r="A282" s="226"/>
      <c r="B282" s="226"/>
      <c r="C282" s="226"/>
      <c r="D282" s="226"/>
      <c r="E282" s="226"/>
      <c r="F282" s="226"/>
      <c r="G282" s="226"/>
      <c r="H282" s="226"/>
      <c r="I282" s="226"/>
      <c r="J282" s="226"/>
      <c r="K282" s="226"/>
      <c r="L282" s="226"/>
      <c r="M282" s="226"/>
      <c r="N282" s="226"/>
      <c r="O282" s="226"/>
      <c r="P282" s="226"/>
      <c r="Q282" s="226"/>
      <c r="R282" s="226"/>
      <c r="S282" s="226"/>
      <c r="T282" s="226"/>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c r="AP282" s="226"/>
      <c r="AQ282" s="226"/>
      <c r="AR282" s="226"/>
      <c r="AS282" s="226"/>
      <c r="AT282" s="226"/>
      <c r="AU282" s="226"/>
      <c r="AV282" s="226"/>
      <c r="AW282" s="226"/>
      <c r="AX282" s="226"/>
      <c r="AY282" s="226"/>
      <c r="AZ282" s="226"/>
      <c r="BA282" s="226"/>
      <c r="BB282" s="226"/>
      <c r="BC282" s="226"/>
      <c r="BD282" s="226"/>
      <c r="BE282" s="226"/>
      <c r="BF282" s="226"/>
      <c r="BG282" s="226"/>
      <c r="BH282" s="226"/>
      <c r="BI282" s="226"/>
      <c r="BJ282" s="226"/>
      <c r="BK282" s="226"/>
      <c r="BL282" s="226"/>
      <c r="BM282" s="226"/>
      <c r="BN282" s="226"/>
      <c r="BO282" s="226"/>
      <c r="BP282" s="226"/>
      <c r="BQ282" s="226"/>
      <c r="BR282" s="226"/>
      <c r="BS282" s="226"/>
      <c r="BT282" s="226"/>
      <c r="BU282" s="226"/>
      <c r="BV282" s="226"/>
      <c r="BW282" s="226"/>
      <c r="BX282" s="226"/>
      <c r="BY282" s="226"/>
      <c r="BZ282" s="226"/>
      <c r="CA282" s="226"/>
      <c r="CB282" s="226"/>
      <c r="CC282" s="226"/>
      <c r="CD282" s="226"/>
      <c r="CE282" s="226"/>
    </row>
    <row r="283" spans="1:83">
      <c r="A283" s="226"/>
      <c r="B283" s="226"/>
      <c r="C283" s="226"/>
      <c r="D283" s="226"/>
      <c r="E283" s="226"/>
      <c r="F283" s="226"/>
      <c r="G283" s="226"/>
      <c r="H283" s="226"/>
      <c r="I283" s="226"/>
      <c r="J283" s="226"/>
      <c r="K283" s="226"/>
      <c r="L283" s="226"/>
      <c r="M283" s="226"/>
      <c r="N283" s="226"/>
      <c r="O283" s="226"/>
      <c r="P283" s="226"/>
      <c r="Q283" s="226"/>
      <c r="R283" s="226"/>
      <c r="S283" s="226"/>
      <c r="T283" s="226"/>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c r="AP283" s="226"/>
      <c r="AQ283" s="226"/>
      <c r="AR283" s="226"/>
      <c r="AS283" s="226"/>
      <c r="AT283" s="226"/>
      <c r="AU283" s="226"/>
      <c r="AV283" s="226"/>
      <c r="AW283" s="226"/>
      <c r="AX283" s="226"/>
      <c r="AY283" s="226"/>
      <c r="AZ283" s="226"/>
      <c r="BA283" s="226"/>
      <c r="BB283" s="226"/>
      <c r="BC283" s="226"/>
      <c r="BD283" s="226"/>
      <c r="BE283" s="226"/>
      <c r="BF283" s="226"/>
      <c r="BG283" s="226"/>
      <c r="BH283" s="226"/>
      <c r="BI283" s="226"/>
      <c r="BJ283" s="226"/>
      <c r="BK283" s="226"/>
      <c r="BL283" s="226"/>
      <c r="BM283" s="226"/>
      <c r="BN283" s="226"/>
      <c r="BO283" s="226"/>
      <c r="BP283" s="226"/>
      <c r="BQ283" s="226"/>
      <c r="BR283" s="226"/>
      <c r="BS283" s="226"/>
      <c r="BT283" s="226"/>
      <c r="BU283" s="226"/>
      <c r="BV283" s="226"/>
      <c r="BW283" s="226"/>
      <c r="BX283" s="226"/>
      <c r="BY283" s="226"/>
      <c r="BZ283" s="226"/>
      <c r="CA283" s="226"/>
      <c r="CB283" s="226"/>
      <c r="CC283" s="226"/>
      <c r="CD283" s="226"/>
      <c r="CE283" s="226"/>
    </row>
    <row r="284" spans="1:83">
      <c r="A284" s="226"/>
      <c r="B284" s="226"/>
      <c r="C284" s="226"/>
      <c r="D284" s="226"/>
      <c r="E284" s="226"/>
      <c r="F284" s="226"/>
      <c r="G284" s="226"/>
      <c r="H284" s="226"/>
      <c r="I284" s="226"/>
      <c r="J284" s="226"/>
      <c r="K284" s="226"/>
      <c r="L284" s="226"/>
      <c r="M284" s="226"/>
      <c r="N284" s="226"/>
      <c r="O284" s="226"/>
      <c r="P284" s="226"/>
      <c r="Q284" s="226"/>
      <c r="R284" s="226"/>
      <c r="S284" s="226"/>
      <c r="T284" s="226"/>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c r="AP284" s="226"/>
      <c r="AQ284" s="226"/>
      <c r="AR284" s="226"/>
      <c r="AS284" s="226"/>
      <c r="AT284" s="226"/>
      <c r="AU284" s="226"/>
      <c r="AV284" s="226"/>
      <c r="AW284" s="226"/>
      <c r="AX284" s="226"/>
      <c r="AY284" s="226"/>
      <c r="AZ284" s="226"/>
      <c r="BA284" s="226"/>
      <c r="BB284" s="226"/>
      <c r="BC284" s="226"/>
      <c r="BD284" s="226"/>
      <c r="BE284" s="226"/>
      <c r="BF284" s="226"/>
      <c r="BG284" s="226"/>
      <c r="BH284" s="226"/>
      <c r="BI284" s="226"/>
      <c r="BJ284" s="226"/>
      <c r="BK284" s="226"/>
      <c r="BL284" s="226"/>
      <c r="BM284" s="226"/>
      <c r="BN284" s="226"/>
      <c r="BO284" s="226"/>
      <c r="BP284" s="226"/>
      <c r="BQ284" s="226"/>
      <c r="BR284" s="226"/>
      <c r="BS284" s="226"/>
      <c r="BT284" s="226"/>
      <c r="BU284" s="226"/>
      <c r="BV284" s="226"/>
      <c r="BW284" s="226"/>
      <c r="BX284" s="226"/>
      <c r="BY284" s="226"/>
      <c r="BZ284" s="226"/>
      <c r="CA284" s="226"/>
      <c r="CB284" s="226"/>
      <c r="CC284" s="226"/>
      <c r="CD284" s="226"/>
      <c r="CE284" s="226"/>
    </row>
    <row r="285" spans="1:83">
      <c r="A285" s="226"/>
      <c r="B285" s="226"/>
      <c r="C285" s="226"/>
      <c r="D285" s="226"/>
      <c r="E285" s="226"/>
      <c r="F285" s="226"/>
      <c r="G285" s="226"/>
      <c r="H285" s="226"/>
      <c r="I285" s="226"/>
      <c r="J285" s="226"/>
      <c r="K285" s="226"/>
      <c r="L285" s="226"/>
      <c r="M285" s="226"/>
      <c r="N285" s="226"/>
      <c r="O285" s="226"/>
      <c r="P285" s="226"/>
      <c r="Q285" s="226"/>
      <c r="R285" s="226"/>
      <c r="S285" s="226"/>
      <c r="T285" s="226"/>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c r="AP285" s="226"/>
      <c r="AQ285" s="226"/>
      <c r="AR285" s="226"/>
      <c r="AS285" s="226"/>
      <c r="AT285" s="226"/>
      <c r="AU285" s="226"/>
      <c r="AV285" s="226"/>
      <c r="AW285" s="226"/>
      <c r="AX285" s="226"/>
      <c r="AY285" s="226"/>
      <c r="AZ285" s="226"/>
      <c r="BA285" s="226"/>
      <c r="BB285" s="226"/>
      <c r="BC285" s="226"/>
      <c r="BD285" s="226"/>
      <c r="BE285" s="226"/>
      <c r="BF285" s="226"/>
      <c r="BG285" s="226"/>
      <c r="BH285" s="226"/>
      <c r="BI285" s="226"/>
      <c r="BJ285" s="226"/>
      <c r="BK285" s="226"/>
      <c r="BL285" s="226"/>
      <c r="BM285" s="226"/>
      <c r="BN285" s="226"/>
      <c r="BO285" s="226"/>
      <c r="BP285" s="226"/>
      <c r="BQ285" s="226"/>
      <c r="BR285" s="226"/>
      <c r="BS285" s="226"/>
      <c r="BT285" s="226"/>
      <c r="BU285" s="226"/>
      <c r="BV285" s="226"/>
      <c r="BW285" s="226"/>
      <c r="BX285" s="226"/>
      <c r="BY285" s="226"/>
      <c r="BZ285" s="226"/>
      <c r="CA285" s="226"/>
      <c r="CB285" s="226"/>
      <c r="CC285" s="226"/>
      <c r="CD285" s="226"/>
      <c r="CE285" s="226"/>
    </row>
    <row r="286" spans="1:83">
      <c r="A286" s="226"/>
      <c r="B286" s="226"/>
      <c r="C286" s="226"/>
      <c r="D286" s="226"/>
      <c r="E286" s="226"/>
      <c r="F286" s="226"/>
      <c r="G286" s="226"/>
      <c r="H286" s="226"/>
      <c r="I286" s="226"/>
      <c r="J286" s="226"/>
      <c r="K286" s="226"/>
      <c r="L286" s="226"/>
      <c r="M286" s="226"/>
      <c r="N286" s="226"/>
      <c r="O286" s="226"/>
      <c r="P286" s="226"/>
      <c r="Q286" s="226"/>
      <c r="R286" s="226"/>
      <c r="S286" s="226"/>
      <c r="T286" s="226"/>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c r="AP286" s="226"/>
      <c r="AQ286" s="226"/>
      <c r="AR286" s="226"/>
      <c r="AS286" s="226"/>
      <c r="AT286" s="226"/>
      <c r="AU286" s="226"/>
      <c r="AV286" s="226"/>
      <c r="AW286" s="226"/>
      <c r="AX286" s="226"/>
      <c r="AY286" s="226"/>
      <c r="AZ286" s="226"/>
      <c r="BA286" s="226"/>
      <c r="BB286" s="226"/>
      <c r="BC286" s="226"/>
      <c r="BD286" s="226"/>
      <c r="BE286" s="226"/>
      <c r="BF286" s="226"/>
      <c r="BG286" s="226"/>
      <c r="BH286" s="226"/>
      <c r="BI286" s="226"/>
      <c r="BJ286" s="226"/>
      <c r="BK286" s="226"/>
      <c r="BL286" s="226"/>
      <c r="BM286" s="226"/>
      <c r="BN286" s="226"/>
      <c r="BO286" s="226"/>
      <c r="BP286" s="226"/>
      <c r="BQ286" s="226"/>
      <c r="BR286" s="226"/>
      <c r="BS286" s="226"/>
      <c r="BT286" s="226"/>
      <c r="BU286" s="226"/>
      <c r="BV286" s="226"/>
      <c r="BW286" s="226"/>
      <c r="BX286" s="226"/>
      <c r="BY286" s="226"/>
      <c r="BZ286" s="226"/>
      <c r="CA286" s="226"/>
      <c r="CB286" s="226"/>
      <c r="CC286" s="226"/>
      <c r="CD286" s="226"/>
      <c r="CE286" s="226"/>
    </row>
    <row r="287" spans="1:83">
      <c r="A287" s="226"/>
      <c r="B287" s="226"/>
      <c r="C287" s="226"/>
      <c r="D287" s="226"/>
      <c r="E287" s="226"/>
      <c r="F287" s="226"/>
      <c r="G287" s="226"/>
      <c r="H287" s="226"/>
      <c r="I287" s="226"/>
      <c r="J287" s="226"/>
      <c r="K287" s="226"/>
      <c r="L287" s="226"/>
      <c r="M287" s="226"/>
      <c r="N287" s="226"/>
      <c r="O287" s="226"/>
      <c r="P287" s="226"/>
      <c r="Q287" s="226"/>
      <c r="R287" s="226"/>
      <c r="S287" s="226"/>
      <c r="T287" s="226"/>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c r="AP287" s="226"/>
      <c r="AQ287" s="226"/>
      <c r="AR287" s="226"/>
      <c r="AS287" s="226"/>
      <c r="AT287" s="226"/>
      <c r="AU287" s="226"/>
      <c r="AV287" s="226"/>
      <c r="AW287" s="226"/>
      <c r="AX287" s="226"/>
      <c r="AY287" s="226"/>
      <c r="AZ287" s="226"/>
      <c r="BA287" s="226"/>
      <c r="BB287" s="226"/>
      <c r="BC287" s="226"/>
      <c r="BD287" s="226"/>
      <c r="BE287" s="226"/>
      <c r="BF287" s="226"/>
      <c r="BG287" s="226"/>
      <c r="BH287" s="226"/>
      <c r="BI287" s="226"/>
      <c r="BJ287" s="226"/>
      <c r="BK287" s="226"/>
      <c r="BL287" s="226"/>
      <c r="BM287" s="226"/>
      <c r="BN287" s="226"/>
      <c r="BO287" s="226"/>
      <c r="BP287" s="226"/>
      <c r="BQ287" s="226"/>
      <c r="BR287" s="226"/>
      <c r="BS287" s="226"/>
      <c r="BT287" s="226"/>
      <c r="BU287" s="226"/>
      <c r="BV287" s="226"/>
      <c r="BW287" s="226"/>
      <c r="BX287" s="226"/>
      <c r="BY287" s="226"/>
      <c r="BZ287" s="226"/>
      <c r="CA287" s="226"/>
      <c r="CB287" s="226"/>
      <c r="CC287" s="226"/>
      <c r="CD287" s="226"/>
      <c r="CE287" s="226"/>
    </row>
    <row r="288" spans="1:83">
      <c r="A288" s="226"/>
      <c r="B288" s="226"/>
      <c r="C288" s="226"/>
      <c r="D288" s="226"/>
      <c r="E288" s="226"/>
      <c r="F288" s="226"/>
      <c r="G288" s="226"/>
      <c r="H288" s="226"/>
      <c r="I288" s="226"/>
      <c r="J288" s="226"/>
      <c r="K288" s="226"/>
      <c r="L288" s="226"/>
      <c r="M288" s="226"/>
      <c r="N288" s="226"/>
      <c r="O288" s="226"/>
      <c r="P288" s="226"/>
      <c r="Q288" s="226"/>
      <c r="R288" s="226"/>
      <c r="S288" s="226"/>
      <c r="T288" s="226"/>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c r="AP288" s="226"/>
      <c r="AQ288" s="226"/>
      <c r="AR288" s="226"/>
      <c r="AS288" s="226"/>
      <c r="AT288" s="226"/>
      <c r="AU288" s="226"/>
      <c r="AV288" s="226"/>
      <c r="AW288" s="226"/>
      <c r="AX288" s="226"/>
      <c r="AY288" s="226"/>
      <c r="AZ288" s="226"/>
      <c r="BA288" s="226"/>
      <c r="BB288" s="226"/>
      <c r="BC288" s="226"/>
      <c r="BD288" s="226"/>
      <c r="BE288" s="226"/>
      <c r="BF288" s="226"/>
      <c r="BG288" s="226"/>
      <c r="BH288" s="226"/>
      <c r="BI288" s="226"/>
      <c r="BJ288" s="226"/>
      <c r="BK288" s="226"/>
      <c r="BL288" s="226"/>
      <c r="BM288" s="226"/>
      <c r="BN288" s="226"/>
      <c r="BO288" s="226"/>
      <c r="BP288" s="226"/>
      <c r="BQ288" s="226"/>
      <c r="BR288" s="226"/>
      <c r="BS288" s="226"/>
      <c r="BT288" s="226"/>
      <c r="BU288" s="226"/>
      <c r="BV288" s="226"/>
      <c r="BW288" s="226"/>
      <c r="BX288" s="226"/>
      <c r="BY288" s="226"/>
      <c r="BZ288" s="226"/>
      <c r="CA288" s="226"/>
      <c r="CB288" s="226"/>
      <c r="CC288" s="226"/>
      <c r="CD288" s="226"/>
      <c r="CE288" s="226"/>
    </row>
    <row r="289" spans="1:83">
      <c r="A289" s="226"/>
      <c r="B289" s="226"/>
      <c r="C289" s="226"/>
      <c r="D289" s="226"/>
      <c r="E289" s="226"/>
      <c r="F289" s="226"/>
      <c r="G289" s="226"/>
      <c r="H289" s="226"/>
      <c r="I289" s="226"/>
      <c r="J289" s="226"/>
      <c r="K289" s="226"/>
      <c r="L289" s="226"/>
      <c r="M289" s="226"/>
      <c r="N289" s="226"/>
      <c r="O289" s="226"/>
      <c r="P289" s="226"/>
      <c r="Q289" s="226"/>
      <c r="R289" s="226"/>
      <c r="S289" s="226"/>
      <c r="T289" s="226"/>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c r="AP289" s="226"/>
      <c r="AQ289" s="226"/>
      <c r="AR289" s="226"/>
      <c r="AS289" s="226"/>
      <c r="AT289" s="226"/>
      <c r="AU289" s="226"/>
      <c r="AV289" s="226"/>
      <c r="AW289" s="226"/>
      <c r="AX289" s="226"/>
      <c r="AY289" s="226"/>
      <c r="AZ289" s="226"/>
      <c r="BA289" s="226"/>
      <c r="BB289" s="226"/>
      <c r="BC289" s="226"/>
      <c r="BD289" s="226"/>
      <c r="BE289" s="226"/>
      <c r="BF289" s="226"/>
      <c r="BG289" s="226"/>
      <c r="BH289" s="226"/>
      <c r="BI289" s="226"/>
      <c r="BJ289" s="226"/>
      <c r="BK289" s="226"/>
      <c r="BL289" s="226"/>
      <c r="BM289" s="226"/>
      <c r="BN289" s="226"/>
      <c r="BO289" s="226"/>
      <c r="BP289" s="226"/>
      <c r="BQ289" s="226"/>
      <c r="BR289" s="226"/>
      <c r="BS289" s="226"/>
      <c r="BT289" s="226"/>
      <c r="BU289" s="226"/>
      <c r="BV289" s="226"/>
      <c r="BW289" s="226"/>
      <c r="BX289" s="226"/>
      <c r="BY289" s="226"/>
      <c r="BZ289" s="226"/>
      <c r="CA289" s="226"/>
      <c r="CB289" s="226"/>
      <c r="CC289" s="226"/>
      <c r="CD289" s="226"/>
      <c r="CE289" s="226"/>
    </row>
    <row r="290" spans="1:83">
      <c r="A290" s="226"/>
      <c r="B290" s="226"/>
      <c r="C290" s="226"/>
      <c r="D290" s="226"/>
      <c r="E290" s="226"/>
      <c r="F290" s="226"/>
      <c r="G290" s="226"/>
      <c r="H290" s="226"/>
      <c r="I290" s="226"/>
      <c r="J290" s="226"/>
      <c r="K290" s="226"/>
      <c r="L290" s="226"/>
      <c r="M290" s="226"/>
      <c r="N290" s="226"/>
      <c r="O290" s="226"/>
      <c r="P290" s="226"/>
      <c r="Q290" s="226"/>
      <c r="R290" s="226"/>
      <c r="S290" s="226"/>
      <c r="T290" s="226"/>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c r="AP290" s="226"/>
      <c r="AQ290" s="226"/>
      <c r="AR290" s="226"/>
      <c r="AS290" s="226"/>
      <c r="AT290" s="226"/>
      <c r="AU290" s="226"/>
      <c r="AV290" s="226"/>
      <c r="AW290" s="226"/>
      <c r="AX290" s="226"/>
      <c r="AY290" s="226"/>
      <c r="AZ290" s="226"/>
      <c r="BA290" s="226"/>
      <c r="BB290" s="226"/>
      <c r="BC290" s="226"/>
      <c r="BD290" s="226"/>
      <c r="BE290" s="226"/>
      <c r="BF290" s="226"/>
      <c r="BG290" s="226"/>
      <c r="BH290" s="226"/>
      <c r="BI290" s="226"/>
      <c r="BJ290" s="226"/>
      <c r="BK290" s="226"/>
      <c r="BL290" s="226"/>
      <c r="BM290" s="226"/>
      <c r="BN290" s="226"/>
      <c r="BO290" s="226"/>
      <c r="BP290" s="226"/>
      <c r="BQ290" s="226"/>
      <c r="BR290" s="226"/>
      <c r="BS290" s="226"/>
      <c r="BT290" s="226"/>
      <c r="BU290" s="226"/>
      <c r="BV290" s="226"/>
      <c r="BW290" s="226"/>
      <c r="BX290" s="226"/>
      <c r="BY290" s="226"/>
      <c r="BZ290" s="226"/>
      <c r="CA290" s="226"/>
      <c r="CB290" s="226"/>
      <c r="CC290" s="226"/>
      <c r="CD290" s="226"/>
      <c r="CE290" s="226"/>
    </row>
    <row r="291" spans="1:83">
      <c r="A291" s="226"/>
      <c r="B291" s="226"/>
      <c r="C291" s="226"/>
      <c r="D291" s="226"/>
      <c r="E291" s="226"/>
      <c r="F291" s="226"/>
      <c r="G291" s="226"/>
      <c r="H291" s="226"/>
      <c r="I291" s="226"/>
      <c r="J291" s="226"/>
      <c r="K291" s="226"/>
      <c r="L291" s="226"/>
      <c r="M291" s="226"/>
      <c r="N291" s="226"/>
      <c r="O291" s="226"/>
      <c r="P291" s="226"/>
      <c r="Q291" s="226"/>
      <c r="R291" s="226"/>
      <c r="S291" s="226"/>
      <c r="T291" s="226"/>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c r="AP291" s="226"/>
      <c r="AQ291" s="226"/>
      <c r="AR291" s="226"/>
      <c r="AS291" s="226"/>
      <c r="AT291" s="226"/>
      <c r="AU291" s="226"/>
      <c r="AV291" s="226"/>
      <c r="AW291" s="226"/>
      <c r="AX291" s="226"/>
      <c r="AY291" s="226"/>
      <c r="AZ291" s="226"/>
      <c r="BA291" s="226"/>
      <c r="BB291" s="226"/>
      <c r="BC291" s="226"/>
      <c r="BD291" s="226"/>
      <c r="BE291" s="226"/>
      <c r="BF291" s="226"/>
      <c r="BG291" s="226"/>
      <c r="BH291" s="226"/>
      <c r="BI291" s="226"/>
      <c r="BJ291" s="226"/>
      <c r="BK291" s="226"/>
      <c r="BL291" s="226"/>
      <c r="BM291" s="226"/>
      <c r="BN291" s="226"/>
      <c r="BO291" s="226"/>
      <c r="BP291" s="226"/>
      <c r="BQ291" s="226"/>
      <c r="BR291" s="226"/>
      <c r="BS291" s="226"/>
      <c r="BT291" s="226"/>
      <c r="BU291" s="226"/>
      <c r="BV291" s="226"/>
      <c r="BW291" s="226"/>
      <c r="BX291" s="226"/>
      <c r="BY291" s="226"/>
      <c r="BZ291" s="226"/>
      <c r="CA291" s="226"/>
      <c r="CB291" s="226"/>
      <c r="CC291" s="226"/>
      <c r="CD291" s="226"/>
      <c r="CE291" s="226"/>
    </row>
    <row r="292" spans="1:83">
      <c r="A292" s="226"/>
      <c r="B292" s="226"/>
      <c r="C292" s="226"/>
      <c r="D292" s="226"/>
      <c r="E292" s="226"/>
      <c r="F292" s="226"/>
      <c r="G292" s="226"/>
      <c r="H292" s="226"/>
      <c r="I292" s="226"/>
      <c r="J292" s="226"/>
      <c r="K292" s="226"/>
      <c r="L292" s="226"/>
      <c r="M292" s="226"/>
      <c r="N292" s="226"/>
      <c r="O292" s="226"/>
      <c r="P292" s="226"/>
      <c r="Q292" s="226"/>
      <c r="R292" s="226"/>
      <c r="S292" s="226"/>
      <c r="T292" s="226"/>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c r="AP292" s="226"/>
      <c r="AQ292" s="226"/>
      <c r="AR292" s="226"/>
      <c r="AS292" s="226"/>
      <c r="AT292" s="226"/>
      <c r="AU292" s="226"/>
      <c r="AV292" s="226"/>
      <c r="AW292" s="226"/>
      <c r="AX292" s="226"/>
      <c r="AY292" s="226"/>
      <c r="AZ292" s="226"/>
      <c r="BA292" s="226"/>
      <c r="BB292" s="226"/>
      <c r="BC292" s="226"/>
      <c r="BD292" s="226"/>
      <c r="BE292" s="226"/>
      <c r="BF292" s="226"/>
      <c r="BG292" s="226"/>
      <c r="BH292" s="226"/>
      <c r="BI292" s="226"/>
      <c r="BJ292" s="226"/>
      <c r="BK292" s="226"/>
      <c r="BL292" s="226"/>
      <c r="BM292" s="226"/>
      <c r="BN292" s="226"/>
      <c r="BO292" s="226"/>
      <c r="BP292" s="226"/>
      <c r="BQ292" s="226"/>
      <c r="BR292" s="226"/>
      <c r="BS292" s="226"/>
      <c r="BT292" s="226"/>
      <c r="BU292" s="226"/>
      <c r="BV292" s="226"/>
      <c r="BW292" s="226"/>
      <c r="BX292" s="226"/>
      <c r="BY292" s="226"/>
      <c r="BZ292" s="226"/>
      <c r="CA292" s="226"/>
      <c r="CB292" s="226"/>
      <c r="CC292" s="226"/>
      <c r="CD292" s="226"/>
      <c r="CE292" s="226"/>
    </row>
    <row r="293" spans="1:83">
      <c r="A293" s="226"/>
      <c r="B293" s="226"/>
      <c r="C293" s="226"/>
      <c r="D293" s="226"/>
      <c r="E293" s="226"/>
      <c r="F293" s="226"/>
      <c r="G293" s="226"/>
      <c r="H293" s="226"/>
      <c r="I293" s="226"/>
      <c r="J293" s="226"/>
      <c r="K293" s="226"/>
      <c r="L293" s="226"/>
      <c r="M293" s="226"/>
      <c r="N293" s="226"/>
      <c r="O293" s="226"/>
      <c r="P293" s="226"/>
      <c r="Q293" s="226"/>
      <c r="R293" s="226"/>
      <c r="S293" s="226"/>
      <c r="T293" s="226"/>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c r="AP293" s="226"/>
      <c r="AQ293" s="226"/>
      <c r="AR293" s="226"/>
      <c r="AS293" s="226"/>
      <c r="AT293" s="226"/>
      <c r="AU293" s="226"/>
      <c r="AV293" s="226"/>
      <c r="AW293" s="226"/>
      <c r="AX293" s="226"/>
      <c r="AY293" s="226"/>
      <c r="AZ293" s="226"/>
      <c r="BA293" s="226"/>
      <c r="BB293" s="226"/>
      <c r="BC293" s="226"/>
      <c r="BD293" s="226"/>
      <c r="BE293" s="226"/>
      <c r="BF293" s="226"/>
      <c r="BG293" s="226"/>
      <c r="BH293" s="226"/>
      <c r="BI293" s="226"/>
      <c r="BJ293" s="226"/>
      <c r="BK293" s="226"/>
      <c r="BL293" s="226"/>
      <c r="BM293" s="226"/>
      <c r="BN293" s="226"/>
      <c r="BO293" s="226"/>
      <c r="BP293" s="226"/>
      <c r="BQ293" s="226"/>
      <c r="BR293" s="226"/>
      <c r="BS293" s="226"/>
      <c r="BT293" s="226"/>
      <c r="BU293" s="226"/>
      <c r="BV293" s="226"/>
      <c r="BW293" s="226"/>
      <c r="BX293" s="226"/>
      <c r="BY293" s="226"/>
      <c r="BZ293" s="226"/>
      <c r="CA293" s="226"/>
      <c r="CB293" s="226"/>
      <c r="CC293" s="226"/>
      <c r="CD293" s="226"/>
      <c r="CE293" s="226"/>
    </row>
    <row r="294" spans="1:83">
      <c r="A294" s="226"/>
      <c r="B294" s="226"/>
      <c r="C294" s="226"/>
      <c r="D294" s="226"/>
      <c r="E294" s="226"/>
      <c r="F294" s="226"/>
      <c r="G294" s="226"/>
      <c r="H294" s="226"/>
      <c r="I294" s="226"/>
      <c r="J294" s="226"/>
      <c r="K294" s="226"/>
      <c r="L294" s="226"/>
      <c r="M294" s="226"/>
      <c r="N294" s="226"/>
      <c r="O294" s="226"/>
      <c r="P294" s="226"/>
      <c r="Q294" s="226"/>
      <c r="R294" s="226"/>
      <c r="S294" s="226"/>
      <c r="T294" s="226"/>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c r="AP294" s="226"/>
      <c r="AQ294" s="226"/>
      <c r="AR294" s="226"/>
      <c r="AS294" s="226"/>
      <c r="AT294" s="226"/>
      <c r="AU294" s="226"/>
      <c r="AV294" s="226"/>
      <c r="AW294" s="226"/>
      <c r="AX294" s="226"/>
      <c r="AY294" s="226"/>
      <c r="AZ294" s="226"/>
      <c r="BA294" s="226"/>
      <c r="BB294" s="226"/>
      <c r="BC294" s="226"/>
      <c r="BD294" s="226"/>
      <c r="BE294" s="226"/>
      <c r="BF294" s="226"/>
      <c r="BG294" s="226"/>
      <c r="BH294" s="226"/>
      <c r="BI294" s="226"/>
      <c r="BJ294" s="226"/>
      <c r="BK294" s="226"/>
      <c r="BL294" s="226"/>
      <c r="BM294" s="226"/>
      <c r="BN294" s="226"/>
      <c r="BO294" s="226"/>
      <c r="BP294" s="226"/>
      <c r="BQ294" s="226"/>
      <c r="BR294" s="226"/>
      <c r="BS294" s="226"/>
      <c r="BT294" s="226"/>
      <c r="BU294" s="226"/>
      <c r="BV294" s="226"/>
      <c r="BW294" s="226"/>
      <c r="BX294" s="226"/>
      <c r="BY294" s="226"/>
      <c r="BZ294" s="226"/>
      <c r="CA294" s="226"/>
      <c r="CB294" s="226"/>
      <c r="CC294" s="226"/>
      <c r="CD294" s="226"/>
      <c r="CE294" s="226"/>
    </row>
    <row r="295" spans="1:83">
      <c r="A295" s="226"/>
      <c r="B295" s="226"/>
      <c r="C295" s="226"/>
      <c r="D295" s="226"/>
      <c r="E295" s="226"/>
      <c r="F295" s="226"/>
      <c r="G295" s="226"/>
      <c r="H295" s="226"/>
      <c r="I295" s="226"/>
      <c r="J295" s="226"/>
      <c r="K295" s="226"/>
      <c r="L295" s="226"/>
      <c r="M295" s="226"/>
      <c r="N295" s="226"/>
      <c r="O295" s="226"/>
      <c r="P295" s="226"/>
      <c r="Q295" s="226"/>
      <c r="R295" s="226"/>
      <c r="S295" s="226"/>
      <c r="T295" s="226"/>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c r="AP295" s="226"/>
      <c r="AQ295" s="226"/>
      <c r="AR295" s="226"/>
      <c r="AS295" s="226"/>
      <c r="AT295" s="226"/>
      <c r="AU295" s="226"/>
      <c r="AV295" s="226"/>
      <c r="AW295" s="226"/>
      <c r="AX295" s="226"/>
      <c r="AY295" s="226"/>
      <c r="AZ295" s="226"/>
      <c r="BA295" s="226"/>
      <c r="BB295" s="226"/>
      <c r="BC295" s="226"/>
      <c r="BD295" s="226"/>
      <c r="BE295" s="226"/>
      <c r="BF295" s="226"/>
      <c r="BG295" s="226"/>
      <c r="BH295" s="226"/>
      <c r="BI295" s="226"/>
      <c r="BJ295" s="226"/>
      <c r="BK295" s="226"/>
      <c r="BL295" s="226"/>
      <c r="BM295" s="226"/>
      <c r="BN295" s="226"/>
      <c r="BO295" s="226"/>
      <c r="BP295" s="226"/>
      <c r="BQ295" s="226"/>
      <c r="BR295" s="226"/>
      <c r="BS295" s="226"/>
      <c r="BT295" s="226"/>
      <c r="BU295" s="226"/>
      <c r="BV295" s="226"/>
      <c r="BW295" s="226"/>
      <c r="BX295" s="226"/>
      <c r="BY295" s="226"/>
      <c r="BZ295" s="226"/>
      <c r="CA295" s="226"/>
      <c r="CB295" s="226"/>
      <c r="CC295" s="226"/>
      <c r="CD295" s="226"/>
      <c r="CE295" s="226"/>
    </row>
    <row r="296" spans="1:83">
      <c r="A296" s="226"/>
      <c r="B296" s="226"/>
      <c r="C296" s="226"/>
      <c r="D296" s="226"/>
      <c r="E296" s="226"/>
      <c r="F296" s="226"/>
      <c r="G296" s="226"/>
      <c r="H296" s="226"/>
      <c r="I296" s="226"/>
      <c r="J296" s="226"/>
      <c r="K296" s="226"/>
      <c r="L296" s="226"/>
      <c r="M296" s="226"/>
      <c r="N296" s="226"/>
      <c r="O296" s="226"/>
      <c r="P296" s="226"/>
      <c r="Q296" s="226"/>
      <c r="R296" s="226"/>
      <c r="S296" s="226"/>
      <c r="T296" s="226"/>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c r="AP296" s="226"/>
      <c r="AQ296" s="226"/>
      <c r="AR296" s="226"/>
      <c r="AS296" s="226"/>
      <c r="AT296" s="226"/>
      <c r="AU296" s="226"/>
      <c r="AV296" s="226"/>
      <c r="AW296" s="226"/>
      <c r="AX296" s="226"/>
      <c r="AY296" s="226"/>
      <c r="AZ296" s="226"/>
      <c r="BA296" s="226"/>
      <c r="BB296" s="226"/>
      <c r="BC296" s="226"/>
      <c r="BD296" s="226"/>
      <c r="BE296" s="226"/>
      <c r="BF296" s="226"/>
      <c r="BG296" s="226"/>
      <c r="BH296" s="226"/>
      <c r="BI296" s="226"/>
      <c r="BJ296" s="226"/>
      <c r="BK296" s="226"/>
      <c r="BL296" s="226"/>
      <c r="BM296" s="226"/>
      <c r="BN296" s="226"/>
      <c r="BO296" s="226"/>
      <c r="BP296" s="226"/>
      <c r="BQ296" s="226"/>
      <c r="BR296" s="226"/>
      <c r="BS296" s="226"/>
      <c r="BT296" s="226"/>
      <c r="BU296" s="226"/>
      <c r="BV296" s="226"/>
      <c r="BW296" s="226"/>
      <c r="BX296" s="226"/>
      <c r="BY296" s="226"/>
      <c r="BZ296" s="226"/>
      <c r="CA296" s="226"/>
      <c r="CB296" s="226"/>
      <c r="CC296" s="226"/>
      <c r="CD296" s="226"/>
      <c r="CE296" s="226"/>
    </row>
    <row r="297" spans="1:83">
      <c r="A297" s="226"/>
      <c r="B297" s="226"/>
      <c r="C297" s="226"/>
      <c r="D297" s="226"/>
      <c r="E297" s="226"/>
      <c r="F297" s="226"/>
      <c r="G297" s="226"/>
      <c r="H297" s="226"/>
      <c r="I297" s="226"/>
      <c r="J297" s="226"/>
      <c r="K297" s="226"/>
      <c r="L297" s="226"/>
      <c r="M297" s="226"/>
      <c r="N297" s="226"/>
      <c r="O297" s="226"/>
      <c r="P297" s="226"/>
      <c r="Q297" s="226"/>
      <c r="R297" s="226"/>
      <c r="S297" s="226"/>
      <c r="T297" s="226"/>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c r="AP297" s="226"/>
      <c r="AQ297" s="226"/>
      <c r="AR297" s="226"/>
      <c r="AS297" s="226"/>
      <c r="AT297" s="226"/>
      <c r="AU297" s="226"/>
      <c r="AV297" s="226"/>
      <c r="AW297" s="226"/>
      <c r="AX297" s="226"/>
      <c r="AY297" s="226"/>
      <c r="AZ297" s="226"/>
      <c r="BA297" s="226"/>
      <c r="BB297" s="226"/>
      <c r="BC297" s="226"/>
      <c r="BD297" s="226"/>
      <c r="BE297" s="226"/>
      <c r="BF297" s="226"/>
      <c r="BG297" s="226"/>
      <c r="BH297" s="226"/>
      <c r="BI297" s="226"/>
      <c r="BJ297" s="226"/>
      <c r="BK297" s="226"/>
      <c r="BL297" s="226"/>
      <c r="BM297" s="226"/>
      <c r="BN297" s="226"/>
      <c r="BO297" s="226"/>
      <c r="BP297" s="226"/>
      <c r="BQ297" s="226"/>
      <c r="BR297" s="226"/>
      <c r="BS297" s="226"/>
      <c r="BT297" s="226"/>
      <c r="BU297" s="226"/>
      <c r="BV297" s="226"/>
      <c r="BW297" s="226"/>
      <c r="BX297" s="226"/>
      <c r="BY297" s="226"/>
      <c r="BZ297" s="226"/>
      <c r="CA297" s="226"/>
      <c r="CB297" s="226"/>
      <c r="CC297" s="226"/>
      <c r="CD297" s="226"/>
      <c r="CE297" s="226"/>
    </row>
    <row r="298" spans="1:83">
      <c r="A298" s="226"/>
      <c r="B298" s="226"/>
      <c r="C298" s="226"/>
      <c r="D298" s="226"/>
      <c r="E298" s="226"/>
      <c r="F298" s="226"/>
      <c r="G298" s="226"/>
      <c r="H298" s="226"/>
      <c r="I298" s="226"/>
      <c r="J298" s="226"/>
      <c r="K298" s="226"/>
      <c r="L298" s="226"/>
      <c r="M298" s="226"/>
      <c r="N298" s="226"/>
      <c r="O298" s="226"/>
      <c r="P298" s="226"/>
      <c r="Q298" s="226"/>
      <c r="R298" s="226"/>
      <c r="S298" s="226"/>
      <c r="T298" s="226"/>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c r="AP298" s="226"/>
      <c r="AQ298" s="226"/>
      <c r="AR298" s="226"/>
      <c r="AS298" s="226"/>
      <c r="AT298" s="226"/>
      <c r="AU298" s="226"/>
      <c r="AV298" s="226"/>
      <c r="AW298" s="226"/>
      <c r="AX298" s="226"/>
      <c r="AY298" s="226"/>
      <c r="AZ298" s="226"/>
      <c r="BA298" s="226"/>
      <c r="BB298" s="226"/>
      <c r="BC298" s="226"/>
      <c r="BD298" s="226"/>
      <c r="BE298" s="226"/>
      <c r="BF298" s="226"/>
      <c r="BG298" s="226"/>
      <c r="BH298" s="226"/>
      <c r="BI298" s="226"/>
      <c r="BJ298" s="226"/>
      <c r="BK298" s="226"/>
      <c r="BL298" s="226"/>
      <c r="BM298" s="226"/>
      <c r="BN298" s="226"/>
      <c r="BO298" s="226"/>
      <c r="BP298" s="226"/>
      <c r="BQ298" s="226"/>
      <c r="BR298" s="226"/>
      <c r="BS298" s="226"/>
      <c r="BT298" s="226"/>
      <c r="BU298" s="226"/>
      <c r="BV298" s="226"/>
      <c r="BW298" s="226"/>
      <c r="BX298" s="226"/>
      <c r="BY298" s="226"/>
      <c r="BZ298" s="226"/>
      <c r="CA298" s="226"/>
      <c r="CB298" s="226"/>
      <c r="CC298" s="226"/>
      <c r="CD298" s="226"/>
      <c r="CE298" s="226"/>
    </row>
    <row r="299" spans="1:83">
      <c r="A299" s="226"/>
      <c r="B299" s="226"/>
      <c r="C299" s="226"/>
      <c r="D299" s="226"/>
      <c r="E299" s="226"/>
      <c r="F299" s="226"/>
      <c r="G299" s="226"/>
      <c r="H299" s="226"/>
      <c r="I299" s="226"/>
      <c r="J299" s="226"/>
      <c r="K299" s="226"/>
      <c r="L299" s="226"/>
      <c r="M299" s="226"/>
      <c r="N299" s="226"/>
      <c r="O299" s="226"/>
      <c r="P299" s="226"/>
      <c r="Q299" s="226"/>
      <c r="R299" s="226"/>
      <c r="S299" s="226"/>
      <c r="T299" s="226"/>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c r="AP299" s="226"/>
      <c r="AQ299" s="226"/>
      <c r="AR299" s="226"/>
      <c r="AS299" s="226"/>
      <c r="AT299" s="226"/>
      <c r="AU299" s="226"/>
      <c r="AV299" s="226"/>
      <c r="AW299" s="226"/>
      <c r="AX299" s="226"/>
      <c r="AY299" s="226"/>
      <c r="AZ299" s="226"/>
      <c r="BA299" s="226"/>
      <c r="BB299" s="226"/>
      <c r="BC299" s="226"/>
      <c r="BD299" s="226"/>
      <c r="BE299" s="226"/>
      <c r="BF299" s="226"/>
      <c r="BG299" s="226"/>
      <c r="BH299" s="226"/>
      <c r="BI299" s="226"/>
      <c r="BJ299" s="226"/>
      <c r="BK299" s="226"/>
      <c r="BL299" s="226"/>
      <c r="BM299" s="226"/>
      <c r="BN299" s="226"/>
      <c r="BO299" s="226"/>
      <c r="BP299" s="226"/>
      <c r="BQ299" s="226"/>
      <c r="BR299" s="226"/>
      <c r="BS299" s="226"/>
      <c r="BT299" s="226"/>
      <c r="BU299" s="226"/>
      <c r="BV299" s="226"/>
      <c r="BW299" s="226"/>
      <c r="BX299" s="226"/>
      <c r="BY299" s="226"/>
      <c r="BZ299" s="226"/>
      <c r="CA299" s="226"/>
      <c r="CB299" s="226"/>
      <c r="CC299" s="226"/>
      <c r="CD299" s="226"/>
      <c r="CE299" s="226"/>
    </row>
    <row r="300" spans="1:83">
      <c r="A300" s="226"/>
      <c r="B300" s="226"/>
      <c r="C300" s="226"/>
      <c r="D300" s="226"/>
      <c r="E300" s="226"/>
      <c r="F300" s="226"/>
      <c r="G300" s="226"/>
      <c r="H300" s="226"/>
      <c r="I300" s="226"/>
      <c r="J300" s="226"/>
      <c r="K300" s="226"/>
      <c r="L300" s="226"/>
      <c r="M300" s="226"/>
      <c r="N300" s="226"/>
      <c r="O300" s="226"/>
      <c r="P300" s="226"/>
      <c r="Q300" s="226"/>
      <c r="R300" s="226"/>
      <c r="S300" s="226"/>
      <c r="T300" s="226"/>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c r="AP300" s="226"/>
      <c r="AQ300" s="226"/>
      <c r="AR300" s="226"/>
      <c r="AS300" s="226"/>
      <c r="AT300" s="226"/>
      <c r="AU300" s="226"/>
      <c r="AV300" s="226"/>
      <c r="AW300" s="226"/>
      <c r="AX300" s="226"/>
      <c r="AY300" s="226"/>
      <c r="AZ300" s="226"/>
      <c r="BA300" s="226"/>
      <c r="BB300" s="226"/>
      <c r="BC300" s="226"/>
      <c r="BD300" s="226"/>
      <c r="BE300" s="226"/>
      <c r="BF300" s="226"/>
      <c r="BG300" s="226"/>
      <c r="BH300" s="226"/>
      <c r="BI300" s="226"/>
      <c r="BJ300" s="226"/>
      <c r="BK300" s="226"/>
      <c r="BL300" s="226"/>
      <c r="BM300" s="226"/>
      <c r="BN300" s="226"/>
      <c r="BO300" s="226"/>
      <c r="BP300" s="226"/>
      <c r="BQ300" s="226"/>
      <c r="BR300" s="226"/>
      <c r="BS300" s="226"/>
      <c r="BT300" s="226"/>
      <c r="BU300" s="226"/>
      <c r="BV300" s="226"/>
      <c r="BW300" s="226"/>
      <c r="BX300" s="226"/>
      <c r="BY300" s="226"/>
      <c r="BZ300" s="226"/>
      <c r="CA300" s="226"/>
      <c r="CB300" s="226"/>
      <c r="CC300" s="226"/>
      <c r="CD300" s="226"/>
      <c r="CE300" s="226"/>
    </row>
    <row r="301" spans="1:83">
      <c r="A301" s="226"/>
      <c r="B301" s="226"/>
      <c r="C301" s="226"/>
      <c r="D301" s="226"/>
      <c r="E301" s="226"/>
      <c r="F301" s="226"/>
      <c r="G301" s="226"/>
      <c r="H301" s="226"/>
      <c r="I301" s="226"/>
      <c r="J301" s="226"/>
      <c r="K301" s="226"/>
      <c r="L301" s="226"/>
      <c r="M301" s="226"/>
      <c r="N301" s="226"/>
      <c r="O301" s="226"/>
      <c r="P301" s="226"/>
      <c r="Q301" s="226"/>
      <c r="R301" s="226"/>
      <c r="S301" s="226"/>
      <c r="T301" s="226"/>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c r="AP301" s="226"/>
      <c r="AQ301" s="226"/>
      <c r="AR301" s="226"/>
      <c r="AS301" s="226"/>
      <c r="AT301" s="226"/>
      <c r="AU301" s="226"/>
      <c r="AV301" s="226"/>
      <c r="AW301" s="226"/>
      <c r="AX301" s="226"/>
      <c r="AY301" s="226"/>
      <c r="AZ301" s="226"/>
      <c r="BA301" s="226"/>
      <c r="BB301" s="226"/>
      <c r="BC301" s="226"/>
      <c r="BD301" s="226"/>
      <c r="BE301" s="226"/>
      <c r="BF301" s="226"/>
      <c r="BG301" s="226"/>
      <c r="BH301" s="226"/>
      <c r="BI301" s="226"/>
      <c r="BJ301" s="226"/>
      <c r="BK301" s="226"/>
      <c r="BL301" s="226"/>
      <c r="BM301" s="226"/>
      <c r="BN301" s="226"/>
      <c r="BO301" s="226"/>
      <c r="BP301" s="226"/>
      <c r="BQ301" s="226"/>
      <c r="BR301" s="226"/>
      <c r="BS301" s="226"/>
      <c r="BT301" s="226"/>
      <c r="BU301" s="226"/>
      <c r="BV301" s="226"/>
      <c r="BW301" s="226"/>
      <c r="BX301" s="226"/>
      <c r="BY301" s="226"/>
      <c r="BZ301" s="226"/>
      <c r="CA301" s="226"/>
      <c r="CB301" s="226"/>
      <c r="CC301" s="226"/>
      <c r="CD301" s="226"/>
      <c r="CE301" s="226"/>
    </row>
    <row r="302" spans="1:83">
      <c r="A302" s="226"/>
      <c r="B302" s="226"/>
      <c r="C302" s="226"/>
      <c r="D302" s="226"/>
      <c r="E302" s="226"/>
      <c r="F302" s="226"/>
      <c r="G302" s="226"/>
      <c r="H302" s="226"/>
      <c r="I302" s="226"/>
      <c r="J302" s="226"/>
      <c r="K302" s="226"/>
      <c r="L302" s="226"/>
      <c r="M302" s="226"/>
      <c r="N302" s="226"/>
      <c r="O302" s="226"/>
      <c r="P302" s="226"/>
      <c r="Q302" s="226"/>
      <c r="R302" s="226"/>
      <c r="S302" s="226"/>
      <c r="T302" s="226"/>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c r="AP302" s="226"/>
      <c r="AQ302" s="226"/>
      <c r="AR302" s="226"/>
      <c r="AS302" s="226"/>
      <c r="AT302" s="226"/>
      <c r="AU302" s="226"/>
      <c r="AV302" s="226"/>
      <c r="AW302" s="226"/>
      <c r="AX302" s="226"/>
      <c r="AY302" s="226"/>
      <c r="AZ302" s="226"/>
      <c r="BA302" s="226"/>
      <c r="BB302" s="226"/>
      <c r="BC302" s="226"/>
      <c r="BD302" s="226"/>
      <c r="BE302" s="226"/>
      <c r="BF302" s="226"/>
      <c r="BG302" s="226"/>
      <c r="BH302" s="226"/>
      <c r="BI302" s="226"/>
      <c r="BJ302" s="226"/>
      <c r="BK302" s="226"/>
      <c r="BL302" s="226"/>
      <c r="BM302" s="226"/>
      <c r="BN302" s="226"/>
      <c r="BO302" s="226"/>
      <c r="BP302" s="226"/>
      <c r="BQ302" s="226"/>
      <c r="BR302" s="226"/>
      <c r="BS302" s="226"/>
      <c r="BT302" s="226"/>
      <c r="BU302" s="226"/>
      <c r="BV302" s="226"/>
      <c r="BW302" s="226"/>
      <c r="BX302" s="226"/>
      <c r="BY302" s="226"/>
      <c r="BZ302" s="226"/>
      <c r="CA302" s="226"/>
      <c r="CB302" s="226"/>
      <c r="CC302" s="226"/>
      <c r="CD302" s="226"/>
      <c r="CE302" s="226"/>
    </row>
    <row r="303" spans="1:83">
      <c r="A303" s="226"/>
      <c r="B303" s="226"/>
      <c r="C303" s="226"/>
      <c r="D303" s="226"/>
      <c r="E303" s="226"/>
      <c r="F303" s="226"/>
      <c r="G303" s="226"/>
      <c r="H303" s="226"/>
      <c r="I303" s="226"/>
      <c r="J303" s="226"/>
      <c r="K303" s="226"/>
      <c r="L303" s="226"/>
      <c r="M303" s="226"/>
      <c r="N303" s="226"/>
      <c r="O303" s="226"/>
      <c r="P303" s="226"/>
      <c r="Q303" s="226"/>
      <c r="R303" s="226"/>
      <c r="S303" s="226"/>
      <c r="T303" s="226"/>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c r="AP303" s="226"/>
      <c r="AQ303" s="226"/>
      <c r="AR303" s="226"/>
      <c r="AS303" s="226"/>
      <c r="AT303" s="226"/>
      <c r="AU303" s="226"/>
      <c r="AV303" s="226"/>
      <c r="AW303" s="226"/>
      <c r="AX303" s="226"/>
      <c r="AY303" s="226"/>
      <c r="AZ303" s="226"/>
      <c r="BA303" s="226"/>
      <c r="BB303" s="226"/>
      <c r="BC303" s="226"/>
      <c r="BD303" s="226"/>
      <c r="BE303" s="226"/>
      <c r="BF303" s="226"/>
      <c r="BG303" s="226"/>
      <c r="BH303" s="226"/>
      <c r="BI303" s="226"/>
      <c r="BJ303" s="226"/>
      <c r="BK303" s="226"/>
      <c r="BL303" s="226"/>
      <c r="BM303" s="226"/>
      <c r="BN303" s="226"/>
      <c r="BO303" s="226"/>
      <c r="BP303" s="226"/>
      <c r="BQ303" s="226"/>
      <c r="BR303" s="226"/>
      <c r="BS303" s="226"/>
      <c r="BT303" s="226"/>
      <c r="BU303" s="226"/>
      <c r="BV303" s="226"/>
      <c r="BW303" s="226"/>
      <c r="BX303" s="226"/>
      <c r="BY303" s="226"/>
      <c r="BZ303" s="226"/>
      <c r="CA303" s="226"/>
      <c r="CB303" s="226"/>
      <c r="CC303" s="226"/>
      <c r="CD303" s="226"/>
      <c r="CE303" s="226"/>
    </row>
    <row r="304" spans="1:83">
      <c r="A304" s="226"/>
      <c r="B304" s="226"/>
      <c r="C304" s="226"/>
      <c r="D304" s="226"/>
      <c r="E304" s="226"/>
      <c r="F304" s="226"/>
      <c r="G304" s="226"/>
      <c r="H304" s="226"/>
      <c r="I304" s="226"/>
      <c r="J304" s="226"/>
      <c r="K304" s="226"/>
      <c r="L304" s="226"/>
      <c r="M304" s="226"/>
      <c r="N304" s="226"/>
      <c r="O304" s="226"/>
      <c r="P304" s="226"/>
      <c r="Q304" s="226"/>
      <c r="R304" s="226"/>
      <c r="S304" s="226"/>
      <c r="T304" s="226"/>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c r="AP304" s="226"/>
      <c r="AQ304" s="226"/>
      <c r="AR304" s="226"/>
      <c r="AS304" s="226"/>
      <c r="AT304" s="226"/>
      <c r="AU304" s="226"/>
      <c r="AV304" s="226"/>
      <c r="AW304" s="226"/>
      <c r="AX304" s="226"/>
      <c r="AY304" s="226"/>
      <c r="AZ304" s="226"/>
      <c r="BA304" s="226"/>
      <c r="BB304" s="226"/>
      <c r="BC304" s="226"/>
      <c r="BD304" s="226"/>
      <c r="BE304" s="226"/>
      <c r="BF304" s="226"/>
      <c r="BG304" s="226"/>
      <c r="BH304" s="226"/>
      <c r="BI304" s="226"/>
      <c r="BJ304" s="226"/>
      <c r="BK304" s="226"/>
      <c r="BL304" s="226"/>
      <c r="BM304" s="226"/>
      <c r="BN304" s="226"/>
      <c r="BO304" s="226"/>
      <c r="BP304" s="226"/>
      <c r="BQ304" s="226"/>
      <c r="BR304" s="226"/>
      <c r="BS304" s="226"/>
      <c r="BT304" s="226"/>
      <c r="BU304" s="226"/>
      <c r="BV304" s="226"/>
      <c r="BW304" s="226"/>
      <c r="BX304" s="226"/>
      <c r="BY304" s="226"/>
      <c r="BZ304" s="226"/>
      <c r="CA304" s="226"/>
      <c r="CB304" s="226"/>
      <c r="CC304" s="226"/>
      <c r="CD304" s="226"/>
      <c r="CE304" s="226"/>
    </row>
    <row r="305" spans="1:83">
      <c r="A305" s="226"/>
      <c r="B305" s="226"/>
      <c r="C305" s="226"/>
      <c r="D305" s="226"/>
      <c r="E305" s="226"/>
      <c r="F305" s="226"/>
      <c r="G305" s="226"/>
      <c r="H305" s="226"/>
      <c r="I305" s="226"/>
      <c r="J305" s="226"/>
      <c r="K305" s="226"/>
      <c r="L305" s="226"/>
      <c r="M305" s="226"/>
      <c r="N305" s="226"/>
      <c r="O305" s="226"/>
      <c r="P305" s="226"/>
      <c r="Q305" s="226"/>
      <c r="R305" s="226"/>
      <c r="S305" s="226"/>
      <c r="T305" s="226"/>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c r="AP305" s="226"/>
      <c r="AQ305" s="226"/>
      <c r="AR305" s="226"/>
      <c r="AS305" s="226"/>
      <c r="AT305" s="226"/>
      <c r="AU305" s="226"/>
      <c r="AV305" s="226"/>
      <c r="AW305" s="226"/>
      <c r="AX305" s="226"/>
      <c r="AY305" s="226"/>
      <c r="AZ305" s="226"/>
      <c r="BA305" s="226"/>
      <c r="BB305" s="226"/>
      <c r="BC305" s="226"/>
      <c r="BD305" s="226"/>
      <c r="BE305" s="226"/>
      <c r="BF305" s="226"/>
      <c r="BG305" s="226"/>
      <c r="BH305" s="226"/>
      <c r="BI305" s="226"/>
      <c r="BJ305" s="226"/>
      <c r="BK305" s="226"/>
      <c r="BL305" s="226"/>
      <c r="BM305" s="226"/>
      <c r="BN305" s="226"/>
      <c r="BO305" s="226"/>
      <c r="BP305" s="226"/>
      <c r="BQ305" s="226"/>
      <c r="BR305" s="226"/>
      <c r="BS305" s="226"/>
      <c r="BT305" s="226"/>
      <c r="BU305" s="226"/>
      <c r="BV305" s="226"/>
      <c r="BW305" s="226"/>
      <c r="BX305" s="226"/>
      <c r="BY305" s="226"/>
      <c r="BZ305" s="226"/>
      <c r="CA305" s="226"/>
      <c r="CB305" s="226"/>
      <c r="CC305" s="226"/>
      <c r="CD305" s="226"/>
      <c r="CE305" s="226"/>
    </row>
    <row r="306" spans="1:83">
      <c r="A306" s="226"/>
      <c r="B306" s="226"/>
      <c r="C306" s="226"/>
      <c r="D306" s="226"/>
      <c r="E306" s="226"/>
      <c r="F306" s="226"/>
      <c r="G306" s="226"/>
      <c r="H306" s="226"/>
      <c r="I306" s="226"/>
      <c r="J306" s="226"/>
      <c r="K306" s="226"/>
      <c r="L306" s="226"/>
      <c r="M306" s="226"/>
      <c r="N306" s="226"/>
      <c r="O306" s="226"/>
      <c r="P306" s="226"/>
      <c r="Q306" s="226"/>
      <c r="R306" s="226"/>
      <c r="S306" s="226"/>
      <c r="T306" s="226"/>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c r="AP306" s="226"/>
      <c r="AQ306" s="226"/>
      <c r="AR306" s="226"/>
      <c r="AS306" s="226"/>
      <c r="AT306" s="226"/>
      <c r="AU306" s="226"/>
      <c r="AV306" s="226"/>
      <c r="AW306" s="226"/>
      <c r="AX306" s="226"/>
      <c r="AY306" s="226"/>
      <c r="AZ306" s="226"/>
      <c r="BA306" s="226"/>
      <c r="BB306" s="226"/>
      <c r="BC306" s="226"/>
      <c r="BD306" s="226"/>
      <c r="BE306" s="226"/>
      <c r="BF306" s="226"/>
      <c r="BG306" s="226"/>
      <c r="BH306" s="226"/>
      <c r="BI306" s="226"/>
      <c r="BJ306" s="226"/>
      <c r="BK306" s="226"/>
      <c r="BL306" s="226"/>
      <c r="BM306" s="226"/>
      <c r="BN306" s="226"/>
      <c r="BO306" s="226"/>
      <c r="BP306" s="226"/>
      <c r="BQ306" s="226"/>
      <c r="BR306" s="226"/>
      <c r="BS306" s="226"/>
      <c r="BT306" s="226"/>
      <c r="BU306" s="226"/>
      <c r="BV306" s="226"/>
      <c r="BW306" s="226"/>
      <c r="BX306" s="226"/>
      <c r="BY306" s="226"/>
      <c r="BZ306" s="226"/>
      <c r="CA306" s="226"/>
      <c r="CB306" s="226"/>
      <c r="CC306" s="226"/>
      <c r="CD306" s="226"/>
      <c r="CE306" s="226"/>
    </row>
    <row r="307" spans="1:83">
      <c r="A307" s="226"/>
      <c r="B307" s="226"/>
      <c r="C307" s="226"/>
      <c r="D307" s="226"/>
      <c r="E307" s="226"/>
      <c r="F307" s="226"/>
      <c r="G307" s="226"/>
      <c r="H307" s="226"/>
      <c r="I307" s="226"/>
      <c r="J307" s="226"/>
      <c r="K307" s="226"/>
      <c r="L307" s="226"/>
      <c r="M307" s="226"/>
      <c r="N307" s="226"/>
      <c r="O307" s="226"/>
      <c r="P307" s="226"/>
      <c r="Q307" s="226"/>
      <c r="R307" s="226"/>
      <c r="S307" s="226"/>
      <c r="T307" s="226"/>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c r="AP307" s="226"/>
      <c r="AQ307" s="226"/>
      <c r="AR307" s="226"/>
      <c r="AS307" s="226"/>
      <c r="AT307" s="226"/>
      <c r="AU307" s="226"/>
      <c r="AV307" s="226"/>
      <c r="AW307" s="226"/>
      <c r="AX307" s="226"/>
      <c r="AY307" s="226"/>
      <c r="AZ307" s="226"/>
      <c r="BA307" s="226"/>
      <c r="BB307" s="226"/>
      <c r="BC307" s="226"/>
      <c r="BD307" s="226"/>
      <c r="BE307" s="226"/>
      <c r="BF307" s="226"/>
      <c r="BG307" s="226"/>
      <c r="BH307" s="226"/>
      <c r="BI307" s="226"/>
      <c r="BJ307" s="226"/>
      <c r="BK307" s="226"/>
      <c r="BL307" s="226"/>
      <c r="BM307" s="226"/>
      <c r="BN307" s="226"/>
      <c r="BO307" s="226"/>
      <c r="BP307" s="226"/>
      <c r="BQ307" s="226"/>
      <c r="BR307" s="226"/>
      <c r="BS307" s="226"/>
      <c r="BT307" s="226"/>
      <c r="BU307" s="226"/>
      <c r="BV307" s="226"/>
      <c r="BW307" s="226"/>
      <c r="BX307" s="226"/>
      <c r="BY307" s="226"/>
      <c r="BZ307" s="226"/>
      <c r="CA307" s="226"/>
      <c r="CB307" s="226"/>
      <c r="CC307" s="226"/>
      <c r="CD307" s="226"/>
      <c r="CE307" s="226"/>
    </row>
    <row r="308" spans="1:83">
      <c r="A308" s="226"/>
      <c r="B308" s="226"/>
      <c r="C308" s="226"/>
      <c r="D308" s="226"/>
      <c r="E308" s="226"/>
      <c r="F308" s="226"/>
      <c r="G308" s="226"/>
      <c r="H308" s="226"/>
      <c r="I308" s="226"/>
      <c r="J308" s="226"/>
      <c r="K308" s="226"/>
      <c r="L308" s="226"/>
      <c r="M308" s="226"/>
      <c r="N308" s="226"/>
      <c r="O308" s="226"/>
      <c r="P308" s="226"/>
      <c r="Q308" s="226"/>
      <c r="R308" s="226"/>
      <c r="S308" s="226"/>
      <c r="T308" s="226"/>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c r="AP308" s="226"/>
      <c r="AQ308" s="226"/>
      <c r="AR308" s="226"/>
      <c r="AS308" s="226"/>
      <c r="AT308" s="226"/>
      <c r="AU308" s="226"/>
      <c r="AV308" s="226"/>
      <c r="AW308" s="226"/>
      <c r="AX308" s="226"/>
      <c r="AY308" s="226"/>
      <c r="AZ308" s="226"/>
      <c r="BA308" s="226"/>
      <c r="BB308" s="226"/>
      <c r="BC308" s="226"/>
      <c r="BD308" s="226"/>
      <c r="BE308" s="226"/>
      <c r="BF308" s="226"/>
      <c r="BG308" s="226"/>
      <c r="BH308" s="226"/>
      <c r="BI308" s="226"/>
      <c r="BJ308" s="226"/>
      <c r="BK308" s="226"/>
      <c r="BL308" s="226"/>
      <c r="BM308" s="226"/>
      <c r="BN308" s="226"/>
      <c r="BO308" s="226"/>
      <c r="BP308" s="226"/>
      <c r="BQ308" s="226"/>
      <c r="BR308" s="226"/>
      <c r="BS308" s="226"/>
      <c r="BT308" s="226"/>
      <c r="BU308" s="226"/>
      <c r="BV308" s="226"/>
      <c r="BW308" s="226"/>
      <c r="BX308" s="226"/>
      <c r="BY308" s="226"/>
      <c r="BZ308" s="226"/>
      <c r="CA308" s="226"/>
      <c r="CB308" s="226"/>
      <c r="CC308" s="226"/>
      <c r="CD308" s="226"/>
      <c r="CE308" s="226"/>
    </row>
    <row r="309" spans="1:83">
      <c r="A309" s="226"/>
      <c r="B309" s="226"/>
      <c r="C309" s="226"/>
      <c r="D309" s="226"/>
      <c r="E309" s="226"/>
      <c r="F309" s="226"/>
      <c r="G309" s="226"/>
      <c r="H309" s="226"/>
      <c r="I309" s="226"/>
      <c r="J309" s="226"/>
      <c r="K309" s="226"/>
      <c r="L309" s="226"/>
      <c r="M309" s="226"/>
      <c r="N309" s="226"/>
      <c r="O309" s="226"/>
      <c r="P309" s="226"/>
      <c r="Q309" s="226"/>
      <c r="R309" s="226"/>
      <c r="S309" s="226"/>
      <c r="T309" s="226"/>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c r="AP309" s="226"/>
      <c r="AQ309" s="226"/>
      <c r="AR309" s="226"/>
      <c r="AS309" s="226"/>
      <c r="AT309" s="226"/>
      <c r="AU309" s="226"/>
      <c r="AV309" s="226"/>
      <c r="AW309" s="226"/>
      <c r="AX309" s="226"/>
      <c r="AY309" s="226"/>
      <c r="AZ309" s="226"/>
      <c r="BA309" s="226"/>
      <c r="BB309" s="226"/>
      <c r="BC309" s="226"/>
      <c r="BD309" s="226"/>
      <c r="BE309" s="226"/>
      <c r="BF309" s="226"/>
      <c r="BG309" s="226"/>
      <c r="BH309" s="226"/>
      <c r="BI309" s="226"/>
      <c r="BJ309" s="226"/>
      <c r="BK309" s="226"/>
      <c r="BL309" s="226"/>
      <c r="BM309" s="226"/>
      <c r="BN309" s="226"/>
      <c r="BO309" s="226"/>
      <c r="BP309" s="226"/>
      <c r="BQ309" s="226"/>
      <c r="BR309" s="226"/>
      <c r="BS309" s="226"/>
      <c r="BT309" s="226"/>
      <c r="BU309" s="226"/>
      <c r="BV309" s="226"/>
      <c r="BW309" s="226"/>
      <c r="BX309" s="226"/>
      <c r="BY309" s="226"/>
      <c r="BZ309" s="226"/>
      <c r="CA309" s="226"/>
      <c r="CB309" s="226"/>
      <c r="CC309" s="226"/>
      <c r="CD309" s="226"/>
      <c r="CE309" s="226"/>
    </row>
    <row r="310" spans="1:83">
      <c r="A310" s="226"/>
      <c r="B310" s="226"/>
      <c r="C310" s="226"/>
      <c r="D310" s="226"/>
      <c r="E310" s="226"/>
      <c r="F310" s="226"/>
      <c r="G310" s="226"/>
      <c r="H310" s="226"/>
      <c r="I310" s="226"/>
      <c r="J310" s="226"/>
      <c r="K310" s="226"/>
      <c r="L310" s="226"/>
      <c r="M310" s="226"/>
      <c r="N310" s="226"/>
      <c r="O310" s="226"/>
      <c r="P310" s="226"/>
      <c r="Q310" s="226"/>
      <c r="R310" s="226"/>
      <c r="S310" s="226"/>
      <c r="T310" s="226"/>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c r="AP310" s="226"/>
      <c r="AQ310" s="226"/>
      <c r="AR310" s="226"/>
      <c r="AS310" s="226"/>
      <c r="AT310" s="226"/>
      <c r="AU310" s="226"/>
      <c r="AV310" s="226"/>
      <c r="AW310" s="226"/>
      <c r="AX310" s="226"/>
      <c r="AY310" s="226"/>
      <c r="AZ310" s="226"/>
      <c r="BA310" s="226"/>
      <c r="BB310" s="226"/>
      <c r="BC310" s="226"/>
      <c r="BD310" s="226"/>
      <c r="BE310" s="226"/>
      <c r="BF310" s="226"/>
      <c r="BG310" s="226"/>
      <c r="BH310" s="226"/>
      <c r="BI310" s="226"/>
      <c r="BJ310" s="226"/>
      <c r="BK310" s="226"/>
      <c r="BL310" s="226"/>
      <c r="BM310" s="226"/>
      <c r="BN310" s="226"/>
      <c r="BO310" s="226"/>
      <c r="BP310" s="226"/>
      <c r="BQ310" s="226"/>
      <c r="BR310" s="226"/>
      <c r="BS310" s="226"/>
      <c r="BT310" s="226"/>
      <c r="BU310" s="226"/>
      <c r="BV310" s="226"/>
      <c r="BW310" s="226"/>
      <c r="BX310" s="226"/>
      <c r="BY310" s="226"/>
      <c r="BZ310" s="226"/>
      <c r="CA310" s="226"/>
      <c r="CB310" s="226"/>
      <c r="CC310" s="226"/>
      <c r="CD310" s="226"/>
      <c r="CE310" s="226"/>
    </row>
    <row r="311" spans="1:83">
      <c r="A311" s="226"/>
      <c r="B311" s="226"/>
      <c r="C311" s="226"/>
      <c r="D311" s="226"/>
      <c r="E311" s="226"/>
      <c r="F311" s="226"/>
      <c r="G311" s="226"/>
      <c r="H311" s="226"/>
      <c r="I311" s="226"/>
      <c r="J311" s="226"/>
      <c r="K311" s="226"/>
      <c r="L311" s="226"/>
      <c r="M311" s="226"/>
      <c r="N311" s="226"/>
      <c r="O311" s="226"/>
      <c r="P311" s="226"/>
      <c r="Q311" s="226"/>
      <c r="R311" s="226"/>
      <c r="S311" s="226"/>
      <c r="T311" s="226"/>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c r="AP311" s="226"/>
      <c r="AQ311" s="226"/>
      <c r="AR311" s="226"/>
      <c r="AS311" s="226"/>
      <c r="AT311" s="226"/>
      <c r="AU311" s="226"/>
      <c r="AV311" s="226"/>
      <c r="AW311" s="226"/>
      <c r="AX311" s="226"/>
      <c r="AY311" s="226"/>
      <c r="AZ311" s="226"/>
      <c r="BA311" s="226"/>
      <c r="BB311" s="226"/>
      <c r="BC311" s="226"/>
      <c r="BD311" s="226"/>
      <c r="BE311" s="226"/>
      <c r="BF311" s="226"/>
      <c r="BG311" s="226"/>
      <c r="BH311" s="226"/>
      <c r="BI311" s="226"/>
      <c r="BJ311" s="226"/>
      <c r="BK311" s="226"/>
      <c r="BL311" s="226"/>
      <c r="BM311" s="226"/>
      <c r="BN311" s="226"/>
      <c r="BO311" s="226"/>
      <c r="BP311" s="226"/>
      <c r="BQ311" s="226"/>
      <c r="BR311" s="226"/>
      <c r="BS311" s="226"/>
      <c r="BT311" s="226"/>
      <c r="BU311" s="226"/>
      <c r="BV311" s="226"/>
      <c r="BW311" s="226"/>
      <c r="BX311" s="226"/>
      <c r="BY311" s="226"/>
      <c r="BZ311" s="226"/>
      <c r="CA311" s="226"/>
      <c r="CB311" s="226"/>
      <c r="CC311" s="226"/>
      <c r="CD311" s="226"/>
      <c r="CE311" s="226"/>
    </row>
    <row r="312" spans="1:83">
      <c r="A312" s="226"/>
      <c r="B312" s="226"/>
      <c r="C312" s="226"/>
      <c r="D312" s="226"/>
      <c r="E312" s="226"/>
      <c r="F312" s="226"/>
      <c r="G312" s="226"/>
      <c r="H312" s="226"/>
      <c r="I312" s="226"/>
      <c r="J312" s="226"/>
      <c r="K312" s="226"/>
      <c r="L312" s="226"/>
      <c r="M312" s="226"/>
      <c r="N312" s="226"/>
      <c r="O312" s="226"/>
      <c r="P312" s="226"/>
      <c r="Q312" s="226"/>
      <c r="R312" s="226"/>
      <c r="S312" s="226"/>
      <c r="T312" s="226"/>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c r="AP312" s="226"/>
      <c r="AQ312" s="226"/>
      <c r="AR312" s="226"/>
      <c r="AS312" s="226"/>
      <c r="AT312" s="226"/>
      <c r="AU312" s="226"/>
      <c r="AV312" s="226"/>
      <c r="AW312" s="226"/>
      <c r="AX312" s="226"/>
      <c r="AY312" s="226"/>
      <c r="AZ312" s="226"/>
      <c r="BA312" s="226"/>
      <c r="BB312" s="226"/>
      <c r="BC312" s="226"/>
      <c r="BD312" s="226"/>
      <c r="BE312" s="226"/>
      <c r="BF312" s="226"/>
      <c r="BG312" s="226"/>
      <c r="BH312" s="226"/>
      <c r="BI312" s="226"/>
      <c r="BJ312" s="226"/>
      <c r="BK312" s="226"/>
      <c r="BL312" s="226"/>
      <c r="BM312" s="226"/>
      <c r="BN312" s="226"/>
      <c r="BO312" s="226"/>
      <c r="BP312" s="226"/>
      <c r="BQ312" s="226"/>
      <c r="BR312" s="226"/>
      <c r="BS312" s="226"/>
      <c r="BT312" s="226"/>
      <c r="BU312" s="226"/>
      <c r="BV312" s="226"/>
      <c r="BW312" s="226"/>
      <c r="BX312" s="226"/>
      <c r="BY312" s="226"/>
      <c r="BZ312" s="226"/>
      <c r="CA312" s="226"/>
      <c r="CB312" s="226"/>
      <c r="CC312" s="226"/>
      <c r="CD312" s="226"/>
      <c r="CE312" s="226"/>
    </row>
    <row r="313" spans="1:83">
      <c r="A313" s="226"/>
      <c r="B313" s="226"/>
      <c r="C313" s="226"/>
      <c r="D313" s="226"/>
      <c r="E313" s="226"/>
      <c r="F313" s="226"/>
      <c r="G313" s="226"/>
      <c r="H313" s="226"/>
      <c r="I313" s="226"/>
      <c r="J313" s="226"/>
      <c r="K313" s="226"/>
      <c r="L313" s="226"/>
      <c r="M313" s="226"/>
      <c r="N313" s="226"/>
      <c r="O313" s="226"/>
      <c r="P313" s="226"/>
      <c r="Q313" s="226"/>
      <c r="R313" s="226"/>
      <c r="S313" s="226"/>
      <c r="T313" s="226"/>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c r="AP313" s="226"/>
      <c r="AQ313" s="226"/>
      <c r="AR313" s="226"/>
      <c r="AS313" s="226"/>
      <c r="AT313" s="226"/>
      <c r="AU313" s="226"/>
      <c r="AV313" s="226"/>
      <c r="AW313" s="226"/>
      <c r="AX313" s="226"/>
      <c r="AY313" s="226"/>
      <c r="AZ313" s="226"/>
      <c r="BA313" s="226"/>
      <c r="BB313" s="226"/>
      <c r="BC313" s="226"/>
      <c r="BD313" s="226"/>
      <c r="BE313" s="226"/>
      <c r="BF313" s="226"/>
      <c r="BG313" s="226"/>
      <c r="BH313" s="226"/>
      <c r="BI313" s="226"/>
      <c r="BJ313" s="226"/>
      <c r="BK313" s="226"/>
      <c r="BL313" s="226"/>
      <c r="BM313" s="226"/>
      <c r="BN313" s="226"/>
      <c r="BO313" s="226"/>
      <c r="BP313" s="226"/>
      <c r="BQ313" s="226"/>
      <c r="BR313" s="226"/>
      <c r="BS313" s="226"/>
      <c r="BT313" s="226"/>
      <c r="BU313" s="226"/>
      <c r="BV313" s="226"/>
      <c r="BW313" s="226"/>
      <c r="BX313" s="226"/>
      <c r="BY313" s="226"/>
      <c r="BZ313" s="226"/>
      <c r="CA313" s="226"/>
      <c r="CB313" s="226"/>
      <c r="CC313" s="226"/>
      <c r="CD313" s="226"/>
      <c r="CE313" s="226"/>
    </row>
    <row r="314" spans="1:83">
      <c r="A314" s="226"/>
      <c r="B314" s="226"/>
      <c r="C314" s="226"/>
      <c r="D314" s="226"/>
      <c r="E314" s="226"/>
      <c r="F314" s="226"/>
      <c r="G314" s="226"/>
      <c r="H314" s="226"/>
      <c r="I314" s="226"/>
      <c r="J314" s="226"/>
      <c r="K314" s="226"/>
      <c r="L314" s="226"/>
      <c r="M314" s="226"/>
      <c r="N314" s="226"/>
      <c r="O314" s="226"/>
      <c r="P314" s="226"/>
      <c r="Q314" s="226"/>
      <c r="R314" s="226"/>
      <c r="S314" s="226"/>
      <c r="T314" s="226"/>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c r="AP314" s="226"/>
      <c r="AQ314" s="226"/>
      <c r="AR314" s="226"/>
      <c r="AS314" s="226"/>
      <c r="AT314" s="226"/>
      <c r="AU314" s="226"/>
      <c r="AV314" s="226"/>
      <c r="AW314" s="226"/>
      <c r="AX314" s="226"/>
      <c r="AY314" s="226"/>
      <c r="AZ314" s="226"/>
      <c r="BA314" s="226"/>
      <c r="BB314" s="226"/>
      <c r="BC314" s="226"/>
      <c r="BD314" s="226"/>
      <c r="BE314" s="226"/>
      <c r="BF314" s="226"/>
      <c r="BG314" s="226"/>
      <c r="BH314" s="226"/>
      <c r="BI314" s="226"/>
      <c r="BJ314" s="226"/>
      <c r="BK314" s="226"/>
      <c r="BL314" s="226"/>
      <c r="BM314" s="226"/>
      <c r="BN314" s="226"/>
      <c r="BO314" s="226"/>
      <c r="BP314" s="226"/>
      <c r="BQ314" s="226"/>
      <c r="BR314" s="226"/>
      <c r="BS314" s="226"/>
      <c r="BT314" s="226"/>
      <c r="BU314" s="226"/>
      <c r="BV314" s="226"/>
      <c r="BW314" s="226"/>
      <c r="BX314" s="226"/>
      <c r="BY314" s="226"/>
      <c r="BZ314" s="226"/>
      <c r="CA314" s="226"/>
      <c r="CB314" s="226"/>
      <c r="CC314" s="226"/>
      <c r="CD314" s="226"/>
      <c r="CE314" s="226"/>
    </row>
    <row r="315" spans="1:83">
      <c r="A315" s="226"/>
      <c r="B315" s="226"/>
      <c r="C315" s="226"/>
      <c r="D315" s="226"/>
      <c r="E315" s="226"/>
      <c r="F315" s="226"/>
      <c r="G315" s="226"/>
      <c r="H315" s="226"/>
      <c r="I315" s="226"/>
      <c r="J315" s="226"/>
      <c r="K315" s="226"/>
      <c r="L315" s="226"/>
      <c r="M315" s="226"/>
      <c r="N315" s="226"/>
      <c r="O315" s="226"/>
      <c r="P315" s="226"/>
      <c r="Q315" s="226"/>
      <c r="R315" s="226"/>
      <c r="S315" s="226"/>
      <c r="T315" s="226"/>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c r="AP315" s="226"/>
      <c r="AQ315" s="226"/>
      <c r="AR315" s="226"/>
      <c r="AS315" s="226"/>
      <c r="AT315" s="226"/>
      <c r="AU315" s="226"/>
      <c r="AV315" s="226"/>
      <c r="AW315" s="226"/>
      <c r="AX315" s="226"/>
      <c r="AY315" s="226"/>
      <c r="AZ315" s="226"/>
      <c r="BA315" s="226"/>
      <c r="BB315" s="226"/>
      <c r="BC315" s="226"/>
      <c r="BD315" s="226"/>
      <c r="BE315" s="226"/>
      <c r="BF315" s="226"/>
      <c r="BG315" s="226"/>
      <c r="BH315" s="226"/>
      <c r="BI315" s="226"/>
      <c r="BJ315" s="226"/>
      <c r="BK315" s="226"/>
      <c r="BL315" s="226"/>
      <c r="BM315" s="226"/>
      <c r="BN315" s="226"/>
      <c r="BO315" s="226"/>
      <c r="BP315" s="226"/>
      <c r="BQ315" s="226"/>
      <c r="BR315" s="226"/>
      <c r="BS315" s="226"/>
      <c r="BT315" s="226"/>
      <c r="BU315" s="226"/>
      <c r="BV315" s="226"/>
      <c r="BW315" s="226"/>
      <c r="BX315" s="226"/>
      <c r="BY315" s="226"/>
      <c r="BZ315" s="226"/>
      <c r="CA315" s="226"/>
      <c r="CB315" s="226"/>
      <c r="CC315" s="226"/>
      <c r="CD315" s="226"/>
      <c r="CE315" s="226"/>
    </row>
    <row r="316" spans="1:83">
      <c r="A316" s="226"/>
      <c r="B316" s="226"/>
      <c r="C316" s="226"/>
      <c r="D316" s="226"/>
      <c r="E316" s="226"/>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c r="AP316" s="226"/>
      <c r="AQ316" s="226"/>
      <c r="AR316" s="226"/>
      <c r="AS316" s="226"/>
      <c r="AT316" s="226"/>
      <c r="AU316" s="226"/>
      <c r="AV316" s="226"/>
      <c r="AW316" s="226"/>
      <c r="AX316" s="226"/>
      <c r="AY316" s="226"/>
      <c r="AZ316" s="226"/>
      <c r="BA316" s="226"/>
      <c r="BB316" s="226"/>
      <c r="BC316" s="226"/>
      <c r="BD316" s="226"/>
      <c r="BE316" s="226"/>
      <c r="BF316" s="226"/>
      <c r="BG316" s="226"/>
      <c r="BH316" s="226"/>
      <c r="BI316" s="226"/>
      <c r="BJ316" s="226"/>
      <c r="BK316" s="226"/>
      <c r="BL316" s="226"/>
      <c r="BM316" s="226"/>
      <c r="BN316" s="226"/>
      <c r="BO316" s="226"/>
      <c r="BP316" s="226"/>
      <c r="BQ316" s="226"/>
      <c r="BR316" s="226"/>
      <c r="BS316" s="226"/>
      <c r="BT316" s="226"/>
      <c r="BU316" s="226"/>
      <c r="BV316" s="226"/>
      <c r="BW316" s="226"/>
      <c r="BX316" s="226"/>
      <c r="BY316" s="226"/>
      <c r="BZ316" s="226"/>
      <c r="CA316" s="226"/>
      <c r="CB316" s="226"/>
      <c r="CC316" s="226"/>
      <c r="CD316" s="226"/>
      <c r="CE316" s="226"/>
    </row>
    <row r="317" spans="1:83">
      <c r="A317" s="226"/>
      <c r="B317" s="226"/>
      <c r="C317" s="226"/>
      <c r="D317" s="226"/>
      <c r="E317" s="226"/>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c r="AP317" s="226"/>
      <c r="AQ317" s="226"/>
      <c r="AR317" s="226"/>
      <c r="AS317" s="226"/>
      <c r="AT317" s="226"/>
      <c r="AU317" s="226"/>
      <c r="AV317" s="226"/>
      <c r="AW317" s="226"/>
      <c r="AX317" s="226"/>
      <c r="AY317" s="226"/>
      <c r="AZ317" s="226"/>
      <c r="BA317" s="226"/>
      <c r="BB317" s="226"/>
      <c r="BC317" s="226"/>
      <c r="BD317" s="226"/>
      <c r="BE317" s="226"/>
      <c r="BF317" s="226"/>
      <c r="BG317" s="226"/>
      <c r="BH317" s="226"/>
      <c r="BI317" s="226"/>
      <c r="BJ317" s="226"/>
      <c r="BK317" s="226"/>
      <c r="BL317" s="226"/>
      <c r="BM317" s="226"/>
      <c r="BN317" s="226"/>
      <c r="BO317" s="226"/>
      <c r="BP317" s="226"/>
      <c r="BQ317" s="226"/>
      <c r="BR317" s="226"/>
      <c r="BS317" s="226"/>
      <c r="BT317" s="226"/>
      <c r="BU317" s="226"/>
      <c r="BV317" s="226"/>
      <c r="BW317" s="226"/>
      <c r="BX317" s="226"/>
      <c r="BY317" s="226"/>
      <c r="BZ317" s="226"/>
      <c r="CA317" s="226"/>
      <c r="CB317" s="226"/>
      <c r="CC317" s="226"/>
      <c r="CD317" s="226"/>
      <c r="CE317" s="226"/>
    </row>
  </sheetData>
  <printOptions horizontalCentered="1" gridLines="1" gridLinesSet="0"/>
  <pageMargins left="0.4" right="0.4" top="0.8" bottom="0.65" header="0.5" footer="0.6"/>
  <pageSetup scale="75" orientation="landscape" horizontalDpi="4294967292" verticalDpi="300" r:id="rId1"/>
  <headerFooter alignWithMargins="0"/>
  <drawing r:id="rId2"/>
  <legacyDrawing r:id="rId3"/>
  <oleObjects>
    <mc:AlternateContent xmlns:mc="http://schemas.openxmlformats.org/markup-compatibility/2006">
      <mc:Choice Requires="x14">
        <oleObject progId="Equation.DSMT4" shapeId="871426" r:id="rId4">
          <objectPr defaultSize="0" autoPict="0" r:id="rId5">
            <anchor moveWithCells="1">
              <from>
                <xdr:col>12</xdr:col>
                <xdr:colOff>0</xdr:colOff>
                <xdr:row>49</xdr:row>
                <xdr:rowOff>76200</xdr:rowOff>
              </from>
              <to>
                <xdr:col>20</xdr:col>
                <xdr:colOff>85725</xdr:colOff>
                <xdr:row>51</xdr:row>
                <xdr:rowOff>123825</xdr:rowOff>
              </to>
            </anchor>
          </objectPr>
        </oleObject>
      </mc:Choice>
      <mc:Fallback>
        <oleObject progId="Equation.DSMT4" shapeId="871426" r:id="rId4"/>
      </mc:Fallback>
    </mc:AlternateContent>
    <mc:AlternateContent xmlns:mc="http://schemas.openxmlformats.org/markup-compatibility/2006">
      <mc:Choice Requires="x14">
        <oleObject progId="Equation.DSMT4" shapeId="871429" r:id="rId6">
          <objectPr defaultSize="0" autoPict="0" r:id="rId7">
            <anchor moveWithCells="1">
              <from>
                <xdr:col>12</xdr:col>
                <xdr:colOff>28575</xdr:colOff>
                <xdr:row>55</xdr:row>
                <xdr:rowOff>114300</xdr:rowOff>
              </from>
              <to>
                <xdr:col>21</xdr:col>
                <xdr:colOff>190500</xdr:colOff>
                <xdr:row>58</xdr:row>
                <xdr:rowOff>19050</xdr:rowOff>
              </to>
            </anchor>
          </objectPr>
        </oleObject>
      </mc:Choice>
      <mc:Fallback>
        <oleObject progId="Equation.DSMT4" shapeId="871429" r:id="rId6"/>
      </mc:Fallback>
    </mc:AlternateContent>
  </oleObjec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pageSetUpPr fitToPage="1"/>
  </sheetPr>
  <dimension ref="A1:K50"/>
  <sheetViews>
    <sheetView topLeftCell="A20" workbookViewId="0">
      <selection activeCell="I41" sqref="I41"/>
    </sheetView>
  </sheetViews>
  <sheetFormatPr baseColWidth="10" defaultColWidth="9.42578125" defaultRowHeight="15" outlineLevelRow="3"/>
  <cols>
    <col min="1" max="1" width="17.140625" style="238" customWidth="1"/>
    <col min="2" max="2" width="63.42578125" style="238" customWidth="1"/>
    <col min="3" max="10" width="11" style="238" customWidth="1"/>
    <col min="11" max="11" width="71.140625" style="241" bestFit="1" customWidth="1"/>
    <col min="12" max="16384" width="9.42578125" style="238"/>
  </cols>
  <sheetData>
    <row r="1" spans="1:11">
      <c r="B1" s="239" t="s">
        <v>780</v>
      </c>
      <c r="D1" s="240"/>
      <c r="E1" s="240"/>
      <c r="F1" s="240"/>
      <c r="G1" s="240"/>
      <c r="H1" s="240"/>
      <c r="I1" s="240"/>
      <c r="J1" s="240"/>
    </row>
    <row r="2" spans="1:11" s="242" customFormat="1">
      <c r="B2" s="242" t="s">
        <v>781</v>
      </c>
      <c r="I2" s="243"/>
      <c r="J2" s="243"/>
      <c r="K2" s="244"/>
    </row>
    <row r="3" spans="1:11" s="242" customFormat="1" ht="15.75" thickBot="1">
      <c r="I3" s="243" t="s">
        <v>580</v>
      </c>
      <c r="J3" s="243"/>
      <c r="K3" s="244"/>
    </row>
    <row r="4" spans="1:11" s="242" customFormat="1" ht="15.75">
      <c r="B4" s="740"/>
      <c r="C4" s="741">
        <f>Gob_EOG!F3</f>
        <v>2008</v>
      </c>
      <c r="D4" s="741">
        <f>Gob_EOG!G3</f>
        <v>2009</v>
      </c>
      <c r="E4" s="741">
        <f>Gob_EOG!H3</f>
        <v>2010</v>
      </c>
      <c r="F4" s="741">
        <f>Gob_EOG!I3</f>
        <v>2011</v>
      </c>
      <c r="G4" s="741">
        <f>Gob_EOG!J3</f>
        <v>2012</v>
      </c>
      <c r="H4" s="741">
        <v>2013</v>
      </c>
      <c r="I4" s="741">
        <v>2014</v>
      </c>
      <c r="J4" s="892"/>
      <c r="K4" s="758" t="s">
        <v>466</v>
      </c>
    </row>
    <row r="5" spans="1:11" s="242" customFormat="1" ht="15.75">
      <c r="B5" s="742"/>
      <c r="C5" s="474"/>
      <c r="D5" s="474"/>
      <c r="E5" s="474"/>
      <c r="F5" s="474"/>
      <c r="G5" s="474"/>
      <c r="H5" s="474"/>
      <c r="I5" s="474"/>
      <c r="J5" s="474"/>
      <c r="K5" s="759"/>
    </row>
    <row r="6" spans="1:11" ht="15.75">
      <c r="B6" s="743"/>
      <c r="C6" s="744" t="s">
        <v>782</v>
      </c>
      <c r="D6" s="472"/>
      <c r="E6" s="472"/>
      <c r="F6" s="472"/>
      <c r="G6" s="472"/>
      <c r="H6" s="472"/>
      <c r="I6" s="471"/>
      <c r="J6" s="471"/>
      <c r="K6" s="760"/>
    </row>
    <row r="7" spans="1:11" ht="15.75">
      <c r="B7" s="743"/>
      <c r="C7" s="745"/>
      <c r="D7" s="473"/>
      <c r="E7" s="745"/>
      <c r="F7" s="473"/>
      <c r="G7" s="473"/>
      <c r="H7" s="473"/>
      <c r="I7" s="473"/>
      <c r="J7" s="473"/>
      <c r="K7" s="760"/>
    </row>
    <row r="8" spans="1:11" ht="15.75">
      <c r="B8" s="746" t="s">
        <v>57</v>
      </c>
      <c r="C8" s="468">
        <f>Gob_EOG!F5</f>
        <v>2490.0306000000005</v>
      </c>
      <c r="D8" s="468">
        <f>Gob_EOG!G5</f>
        <v>2363.2648999999997</v>
      </c>
      <c r="E8" s="468">
        <f>Gob_EOG!H5</f>
        <v>2730.1668000000004</v>
      </c>
      <c r="F8" s="468">
        <f>Gob_EOG!I5</f>
        <v>3023.8538999999992</v>
      </c>
      <c r="G8" s="468">
        <f>Gob_EOG!J5</f>
        <v>3271.5261000000005</v>
      </c>
      <c r="H8" s="468">
        <f>Gob_EOG!K5</f>
        <v>3625.6334235749855</v>
      </c>
      <c r="I8" s="468">
        <f>Gob_EOG!L5</f>
        <v>4081.6230379733606</v>
      </c>
      <c r="J8" s="468"/>
      <c r="K8" s="760" t="s">
        <v>783</v>
      </c>
    </row>
    <row r="9" spans="1:11" ht="15.75">
      <c r="B9" s="743"/>
      <c r="C9" s="473"/>
      <c r="D9" s="473"/>
      <c r="E9" s="473"/>
      <c r="F9" s="473"/>
      <c r="G9" s="473"/>
      <c r="H9" s="473"/>
      <c r="I9" s="473"/>
      <c r="J9" s="473"/>
      <c r="K9" s="760"/>
    </row>
    <row r="10" spans="1:11" ht="15" customHeight="1">
      <c r="B10" s="747" t="s">
        <v>700</v>
      </c>
      <c r="C10" s="470">
        <f>Gob_EOG!F15</f>
        <v>2343.0758199999996</v>
      </c>
      <c r="D10" s="470">
        <f>Gob_EOG!G15</f>
        <v>2865.1863000000003</v>
      </c>
      <c r="E10" s="470">
        <f>Gob_EOG!H15</f>
        <v>3669.9965000000002</v>
      </c>
      <c r="F10" s="470">
        <f>F11+F12+F13+F15+F28+F29+F30+F31</f>
        <v>3810.7387000000003</v>
      </c>
      <c r="G10" s="470">
        <f>G11+G12+G13+G15+G28+G29+G30+G31</f>
        <v>4235.2044999999998</v>
      </c>
      <c r="H10" s="470">
        <f>H11+H12+H13+H15+H28+H29+H30+H31</f>
        <v>5474.6182343992159</v>
      </c>
      <c r="I10" s="470">
        <f>I11+I12+I13+I15+I28+I29+I30+I31</f>
        <v>7400.5623431694139</v>
      </c>
      <c r="J10" s="470"/>
      <c r="K10" s="761"/>
    </row>
    <row r="11" spans="1:11" ht="15.75">
      <c r="B11" s="748" t="s">
        <v>654</v>
      </c>
      <c r="C11" s="470">
        <f>Gob_EOG!F16</f>
        <v>720.71000000000015</v>
      </c>
      <c r="D11" s="470">
        <f>Gob_EOG!G16</f>
        <v>936.85670000000005</v>
      </c>
      <c r="E11" s="470">
        <f>Gob_EOG!H16</f>
        <v>1133.809</v>
      </c>
      <c r="F11" s="470">
        <f>Gob_EOG!I16</f>
        <v>1268.1950999999999</v>
      </c>
      <c r="G11" s="470">
        <f>Gob_EOG!J16</f>
        <v>1380.0200000000002</v>
      </c>
      <c r="H11" s="470">
        <v>2010.5530828215228</v>
      </c>
      <c r="I11" s="1116">
        <f>H11*(1+$I$46/100)*(1+$I$49/100)</f>
        <v>2590.2094388203341</v>
      </c>
      <c r="J11" s="470"/>
      <c r="K11" s="760" t="s">
        <v>784</v>
      </c>
    </row>
    <row r="12" spans="1:11" ht="15.75">
      <c r="B12" s="748" t="s">
        <v>655</v>
      </c>
      <c r="C12" s="470">
        <f>Gob_EOG!F17</f>
        <v>87.62769999999999</v>
      </c>
      <c r="D12" s="470">
        <f>Gob_EOG!G17</f>
        <v>106.3593</v>
      </c>
      <c r="E12" s="470">
        <f>Gob_EOG!H17</f>
        <v>120.67569999999998</v>
      </c>
      <c r="F12" s="470">
        <f>Gob_EOG!I17</f>
        <v>135.63149999999999</v>
      </c>
      <c r="G12" s="470">
        <f>Gob_EOG!J17</f>
        <v>142.9392</v>
      </c>
      <c r="H12" s="470">
        <v>158.62465594631098</v>
      </c>
      <c r="I12" s="1116">
        <f t="shared" ref="I12:I13" si="0">H12*(1+$I$46/100)*(1+$I$49/100)</f>
        <v>204.35724108570369</v>
      </c>
      <c r="J12" s="470"/>
      <c r="K12" s="760" t="s">
        <v>784</v>
      </c>
    </row>
    <row r="13" spans="1:11" ht="15.75">
      <c r="B13" s="748" t="s">
        <v>656</v>
      </c>
      <c r="C13" s="469">
        <f>Gob_EOG!F18</f>
        <v>9</v>
      </c>
      <c r="D13" s="469">
        <f>Gob_EOG!G18</f>
        <v>11</v>
      </c>
      <c r="E13" s="469">
        <f>Gob_EOG!H18</f>
        <v>10</v>
      </c>
      <c r="F13" s="469">
        <f>Gob_EOG!I18</f>
        <v>13</v>
      </c>
      <c r="G13" s="469">
        <f>Gob_EOG!J18</f>
        <v>12</v>
      </c>
      <c r="H13" s="470">
        <v>13.316821916981009</v>
      </c>
      <c r="I13" s="1116">
        <f t="shared" si="0"/>
        <v>17.156153756481388</v>
      </c>
      <c r="J13" s="470"/>
      <c r="K13" s="760" t="s">
        <v>785</v>
      </c>
    </row>
    <row r="14" spans="1:11" ht="15.75">
      <c r="B14" s="748"/>
      <c r="C14" s="469"/>
      <c r="D14" s="469"/>
      <c r="E14" s="469"/>
      <c r="F14" s="469"/>
      <c r="G14" s="469"/>
      <c r="H14" s="469"/>
      <c r="I14" s="469"/>
      <c r="J14" s="469"/>
      <c r="K14" s="760"/>
    </row>
    <row r="15" spans="1:11" ht="15.75">
      <c r="B15" s="748" t="s">
        <v>657</v>
      </c>
      <c r="C15" s="469">
        <f>Gob_EOG!F19</f>
        <v>340.08580000000001</v>
      </c>
      <c r="D15" s="469">
        <f>Gob_EOG!G19</f>
        <v>360.10669999999999</v>
      </c>
      <c r="E15" s="469">
        <f>Gob_EOG!H19</f>
        <v>401.54110000000009</v>
      </c>
      <c r="F15" s="469">
        <f>Gob_EOG!I19</f>
        <v>449.37810000000007</v>
      </c>
      <c r="G15" s="469">
        <f>Gob_EOG!J19</f>
        <v>471.5865</v>
      </c>
      <c r="H15" s="469">
        <f>H16+H25</f>
        <v>818.90264427168449</v>
      </c>
      <c r="I15" s="470">
        <f>I16+I25</f>
        <v>1402.5717558789522</v>
      </c>
      <c r="J15" s="470"/>
      <c r="K15" s="760"/>
    </row>
    <row r="16" spans="1:11" s="245" customFormat="1" ht="15.75">
      <c r="A16" s="238"/>
      <c r="B16" s="749" t="s">
        <v>786</v>
      </c>
      <c r="C16" s="469">
        <f>Gob_EOG!F21</f>
        <v>84.757099999999994</v>
      </c>
      <c r="D16" s="469">
        <f>Gob_EOG!G21</f>
        <v>79.467699999999994</v>
      </c>
      <c r="E16" s="469">
        <f>Gob_EOG!H21</f>
        <v>64.902300000000011</v>
      </c>
      <c r="F16" s="469">
        <f>Gob_EOG!I21</f>
        <v>58.501599999999996</v>
      </c>
      <c r="G16" s="469">
        <f>Gob_EOG!J21</f>
        <v>47.001599999999996</v>
      </c>
      <c r="H16" s="469">
        <f>H17/100*AVERAGE(G18,H18)*H24/1000</f>
        <v>56.456986148777396</v>
      </c>
      <c r="I16" s="1116">
        <f>I17/100*AVERAGE(H18,I18)*I24/1000</f>
        <v>72.016114975531636</v>
      </c>
      <c r="J16" s="470"/>
      <c r="K16" s="760" t="s">
        <v>787</v>
      </c>
    </row>
    <row r="17" spans="1:11" s="245" customFormat="1" ht="15.75">
      <c r="A17" s="238"/>
      <c r="B17" s="749" t="s">
        <v>788</v>
      </c>
      <c r="C17" s="469"/>
      <c r="D17" s="469"/>
      <c r="E17" s="469"/>
      <c r="F17" s="469"/>
      <c r="G17" s="469">
        <v>6</v>
      </c>
      <c r="H17" s="469">
        <v>4</v>
      </c>
      <c r="I17" s="470">
        <v>4</v>
      </c>
      <c r="J17" s="470"/>
      <c r="K17" s="760" t="s">
        <v>789</v>
      </c>
    </row>
    <row r="18" spans="1:11" s="245" customFormat="1" ht="15.75">
      <c r="A18" s="238"/>
      <c r="B18" s="749" t="s">
        <v>790</v>
      </c>
      <c r="C18" s="469">
        <f>Gob_Balance!F18/'TC nominal'!C14*1000</f>
        <v>1349.5</v>
      </c>
      <c r="D18" s="469">
        <f>Gob_Balance!G18/'TC nominal'!D14*1000</f>
        <v>1428.9</v>
      </c>
      <c r="E18" s="469">
        <f>Gob_Balance!H18/'TC nominal'!E14*1000</f>
        <v>2024.3000000000002</v>
      </c>
      <c r="F18" s="469">
        <f>Gob_Balance!I18/'TC nominal'!F14*1000</f>
        <v>1835.1</v>
      </c>
      <c r="G18" s="469">
        <f>Gob_Balance!J18/'TC nominal'!G14*1000</f>
        <v>2393.2563388960561</v>
      </c>
      <c r="H18" s="469">
        <f>Gob_Balance!K18/'TC nominal'!H14*1000</f>
        <v>2930.6742207570169</v>
      </c>
      <c r="I18" s="470">
        <f>H18+Gob_EOG!L47/I24*1000</f>
        <v>3463.3940068595311</v>
      </c>
      <c r="J18" s="470"/>
      <c r="K18" s="760" t="s">
        <v>791</v>
      </c>
    </row>
    <row r="19" spans="1:11" s="245" customFormat="1" ht="15.75" hidden="1" outlineLevel="3">
      <c r="A19" s="238"/>
      <c r="B19" s="749" t="s">
        <v>1224</v>
      </c>
      <c r="C19" s="469"/>
      <c r="D19" s="469"/>
      <c r="E19" s="469"/>
      <c r="F19" s="469"/>
      <c r="G19" s="469"/>
      <c r="H19" s="469"/>
      <c r="I19" s="755">
        <f>+I38</f>
        <v>300</v>
      </c>
      <c r="J19" s="755"/>
      <c r="K19" s="760"/>
    </row>
    <row r="20" spans="1:11" s="245" customFormat="1" ht="15.75" outlineLevel="1" collapsed="1">
      <c r="A20" s="238"/>
      <c r="B20" s="749" t="s">
        <v>792</v>
      </c>
      <c r="C20" s="469"/>
      <c r="D20" s="469"/>
      <c r="E20" s="469"/>
      <c r="F20" s="469"/>
      <c r="G20" s="469"/>
      <c r="H20" s="469"/>
      <c r="I20" s="755"/>
      <c r="J20" s="755"/>
      <c r="K20" s="760" t="s">
        <v>793</v>
      </c>
    </row>
    <row r="21" spans="1:11" s="245" customFormat="1" ht="15.75" outlineLevel="1">
      <c r="A21" s="238"/>
      <c r="B21" s="749" t="s">
        <v>794</v>
      </c>
      <c r="C21" s="469"/>
      <c r="D21" s="469"/>
      <c r="E21" s="469"/>
      <c r="F21" s="469"/>
      <c r="G21" s="469"/>
      <c r="H21" s="469"/>
      <c r="I21" s="755"/>
      <c r="J21" s="755"/>
      <c r="K21" s="760" t="s">
        <v>795</v>
      </c>
    </row>
    <row r="22" spans="1:11" s="245" customFormat="1" ht="15.75" outlineLevel="1">
      <c r="A22" s="238"/>
      <c r="B22" s="749" t="s">
        <v>796</v>
      </c>
      <c r="C22" s="469">
        <v>0</v>
      </c>
      <c r="D22" s="469">
        <v>0</v>
      </c>
      <c r="E22" s="469">
        <v>0</v>
      </c>
      <c r="F22" s="469">
        <v>0</v>
      </c>
      <c r="G22" s="469">
        <v>0</v>
      </c>
      <c r="H22" s="469">
        <v>0</v>
      </c>
      <c r="I22" s="755">
        <v>0</v>
      </c>
      <c r="J22" s="755"/>
      <c r="K22" s="760" t="s">
        <v>797</v>
      </c>
    </row>
    <row r="23" spans="1:11" s="245" customFormat="1" ht="15.75" outlineLevel="1">
      <c r="A23" s="238"/>
      <c r="B23" s="749" t="s">
        <v>798</v>
      </c>
      <c r="C23" s="469"/>
      <c r="D23" s="469"/>
      <c r="E23" s="469"/>
      <c r="F23" s="469"/>
      <c r="G23" s="469"/>
      <c r="H23" s="469"/>
      <c r="I23" s="755">
        <f>I39</f>
        <v>3051.6686589170004</v>
      </c>
      <c r="J23" s="755"/>
      <c r="K23" s="760" t="s">
        <v>795</v>
      </c>
    </row>
    <row r="24" spans="1:11" s="245" customFormat="1" ht="15.75" outlineLevel="1" collapsed="1">
      <c r="A24" s="238"/>
      <c r="B24" s="749" t="s">
        <v>799</v>
      </c>
      <c r="C24" s="469">
        <f>'TC nominal'!C13</f>
        <v>526.23551344086002</v>
      </c>
      <c r="D24" s="469">
        <f>'TC nominal'!D13</f>
        <v>573.287956733231</v>
      </c>
      <c r="E24" s="469">
        <f>'TC nominal'!E13</f>
        <v>525.829200716846</v>
      </c>
      <c r="F24" s="469">
        <f>'TC nominal'!F13</f>
        <v>506.4</v>
      </c>
      <c r="G24" s="469">
        <f>'TC nominal'!G13</f>
        <v>510.78961259840202</v>
      </c>
      <c r="H24" s="469">
        <f>'TC nominal'!H13</f>
        <v>530.21903193696369</v>
      </c>
      <c r="I24" s="470">
        <f>'TC nominal'!I13</f>
        <v>563.14784587758732</v>
      </c>
      <c r="J24" s="470"/>
      <c r="K24" s="762"/>
    </row>
    <row r="25" spans="1:11" s="245" customFormat="1" ht="15.75">
      <c r="B25" s="749" t="s">
        <v>800</v>
      </c>
      <c r="C25" s="469">
        <f>Gob_EOG!F20</f>
        <v>255.3287</v>
      </c>
      <c r="D25" s="469">
        <f>Gob_EOG!G20</f>
        <v>280.63900000000001</v>
      </c>
      <c r="E25" s="469">
        <f>Gob_EOG!H20</f>
        <v>336.63880000000006</v>
      </c>
      <c r="F25" s="469">
        <f>Gob_EOG!I20</f>
        <v>390.87650000000008</v>
      </c>
      <c r="G25" s="469">
        <f>Gob_EOG!J20</f>
        <v>424.5849</v>
      </c>
      <c r="H25" s="469">
        <f>H26/100*G27</f>
        <v>762.44565812290705</v>
      </c>
      <c r="I25" s="1116">
        <f>I26/100*AVERAGE(H27,I27)</f>
        <v>1330.5556409034207</v>
      </c>
      <c r="J25" s="470"/>
      <c r="K25" s="760" t="s">
        <v>801</v>
      </c>
    </row>
    <row r="26" spans="1:11" s="245" customFormat="1" ht="15.75">
      <c r="B26" s="749" t="s">
        <v>802</v>
      </c>
      <c r="C26" s="469"/>
      <c r="D26" s="469"/>
      <c r="E26" s="469"/>
      <c r="F26" s="469"/>
      <c r="G26" s="469"/>
      <c r="H26" s="469">
        <f>Gob_Stock_Ind!K19</f>
        <v>9.3329375645594066</v>
      </c>
      <c r="I26" s="756">
        <f>Gob_Stock_Ind!L19</f>
        <v>11.785122947199387</v>
      </c>
      <c r="J26" s="756"/>
      <c r="K26" s="760" t="s">
        <v>803</v>
      </c>
    </row>
    <row r="27" spans="1:11" s="245" customFormat="1" ht="15.75">
      <c r="B27" s="749" t="s">
        <v>804</v>
      </c>
      <c r="C27" s="469">
        <f>Gob_Balance!F15</f>
        <v>5400.3016166906418</v>
      </c>
      <c r="D27" s="469">
        <f>Gob_Balance!G15</f>
        <v>5955.2779456906428</v>
      </c>
      <c r="E27" s="469">
        <f>Gob_Balance!H15</f>
        <v>6708.7596106906421</v>
      </c>
      <c r="F27" s="469">
        <f>Gob_Balance!I15</f>
        <v>7622.1767256906433</v>
      </c>
      <c r="G27" s="469">
        <f>Gob_Balance!J15</f>
        <v>8169.4070366247106</v>
      </c>
      <c r="H27" s="469">
        <f>Gob_Balance!K15</f>
        <v>9764.2951572229558</v>
      </c>
      <c r="I27" s="470">
        <f>H27+I40</f>
        <v>12815.96381613996</v>
      </c>
      <c r="J27" s="470"/>
      <c r="K27" s="760" t="s">
        <v>805</v>
      </c>
    </row>
    <row r="28" spans="1:11" ht="15.75">
      <c r="B28" s="748" t="s">
        <v>660</v>
      </c>
      <c r="C28" s="469">
        <f>Gob_EOG!F22</f>
        <v>1042.2689</v>
      </c>
      <c r="D28" s="469">
        <f>Gob_EOG!G22</f>
        <v>1246.8462000000002</v>
      </c>
      <c r="E28" s="469">
        <f>Gob_EOG!H22</f>
        <v>1758.4533000000001</v>
      </c>
      <c r="F28" s="469">
        <f>Gob_EOG!I22</f>
        <v>1669.5427000000002</v>
      </c>
      <c r="G28" s="469">
        <f>Gob_EOG!J22</f>
        <v>1946.3238000000001</v>
      </c>
      <c r="H28" s="469">
        <f>Gob_EOG!K22</f>
        <v>2159.903953115147</v>
      </c>
      <c r="I28" s="1116">
        <f>H28*(1+$I$46/100)*(1+$I$49/100)</f>
        <v>2782.6191977249277</v>
      </c>
      <c r="J28" s="470"/>
      <c r="K28" s="760" t="s">
        <v>785</v>
      </c>
    </row>
    <row r="29" spans="1:11" ht="15.75">
      <c r="A29" s="881"/>
      <c r="B29" s="748" t="s">
        <v>651</v>
      </c>
      <c r="C29" s="469">
        <f>Gob_EOG!F23</f>
        <v>7.5813199999999998</v>
      </c>
      <c r="D29" s="469">
        <f>Gob_EOG!G23</f>
        <v>26.0885</v>
      </c>
      <c r="E29" s="469">
        <f>Gob_EOG!H23</f>
        <v>30.168299999999999</v>
      </c>
      <c r="F29" s="469">
        <f>Gob_EOG!I23</f>
        <v>29.588799999999999</v>
      </c>
      <c r="G29" s="469">
        <f>Gob_EOG!J23</f>
        <v>15.3073</v>
      </c>
      <c r="H29" s="469">
        <f>Gob_EOG!K23</f>
        <v>16.98704901081695</v>
      </c>
      <c r="I29" s="1116">
        <f t="shared" ref="I29:I30" si="1">H29*(1+$I$46/100)*(1+$I$49/100)</f>
        <v>21.884532699715631</v>
      </c>
      <c r="J29" s="470"/>
      <c r="K29" s="760" t="s">
        <v>785</v>
      </c>
    </row>
    <row r="30" spans="1:11" ht="15.75">
      <c r="A30" s="881"/>
      <c r="B30" s="748" t="s">
        <v>661</v>
      </c>
      <c r="C30" s="469">
        <f>Gob_EOG!F24</f>
        <v>135.8021</v>
      </c>
      <c r="D30" s="469">
        <f>Gob_EOG!G24</f>
        <v>177.9289</v>
      </c>
      <c r="E30" s="469">
        <f>Gob_EOG!H24</f>
        <v>215.34909999999996</v>
      </c>
      <c r="F30" s="469">
        <f>Gob_EOG!I24</f>
        <v>245.40250000000003</v>
      </c>
      <c r="G30" s="469">
        <f>Gob_EOG!J24</f>
        <v>267.02770000000004</v>
      </c>
      <c r="H30" s="469">
        <f>Gob_EOG!K24</f>
        <v>296.33002731675253</v>
      </c>
      <c r="I30" s="1116">
        <f t="shared" si="1"/>
        <v>381.76402320329885</v>
      </c>
      <c r="J30" s="470"/>
      <c r="K30" s="760" t="s">
        <v>785</v>
      </c>
    </row>
    <row r="31" spans="1:11" ht="15.75">
      <c r="B31" s="748" t="s">
        <v>662</v>
      </c>
      <c r="C31" s="469">
        <f>Gob_EOG!F25</f>
        <v>0</v>
      </c>
      <c r="D31" s="469">
        <f>Gob_EOG!G25</f>
        <v>0</v>
      </c>
      <c r="E31" s="469">
        <f>Gob_EOG!H25</f>
        <v>0</v>
      </c>
      <c r="F31" s="469">
        <f>Gob_EOG!I25</f>
        <v>0</v>
      </c>
      <c r="G31" s="469">
        <f>Gob_EOG!J25</f>
        <v>0</v>
      </c>
      <c r="H31" s="469">
        <f>Gob_EOG!K25</f>
        <v>0</v>
      </c>
      <c r="I31" s="470">
        <v>0</v>
      </c>
      <c r="J31" s="470"/>
      <c r="K31" s="760" t="s">
        <v>785</v>
      </c>
    </row>
    <row r="32" spans="1:11" ht="15.75">
      <c r="B32" s="750"/>
      <c r="C32" s="470"/>
      <c r="D32" s="470"/>
      <c r="E32" s="470"/>
      <c r="F32" s="470"/>
      <c r="G32" s="470"/>
      <c r="H32" s="470"/>
      <c r="I32" s="473"/>
      <c r="J32" s="473"/>
      <c r="K32" s="760"/>
    </row>
    <row r="33" spans="2:11" ht="18" customHeight="1">
      <c r="B33" s="751" t="s">
        <v>744</v>
      </c>
      <c r="C33" s="468">
        <f t="shared" ref="C33:G33" si="2">C8-C10</f>
        <v>146.95478000000094</v>
      </c>
      <c r="D33" s="468">
        <f t="shared" si="2"/>
        <v>-501.92140000000063</v>
      </c>
      <c r="E33" s="468">
        <f t="shared" si="2"/>
        <v>-939.82969999999978</v>
      </c>
      <c r="F33" s="468">
        <f t="shared" si="2"/>
        <v>-786.88480000000118</v>
      </c>
      <c r="G33" s="468">
        <f t="shared" si="2"/>
        <v>-963.67839999999933</v>
      </c>
      <c r="H33" s="468">
        <f>H8-H10</f>
        <v>-1848.9848108242304</v>
      </c>
      <c r="I33" s="1117">
        <f>I8-I10</f>
        <v>-3318.9393051960533</v>
      </c>
      <c r="J33" s="468"/>
      <c r="K33" s="760"/>
    </row>
    <row r="34" spans="2:11" ht="18" customHeight="1">
      <c r="B34" s="748" t="s">
        <v>664</v>
      </c>
      <c r="C34" s="468">
        <f t="shared" ref="C34:H34" si="3">C35-C36</f>
        <v>43.451399999999992</v>
      </c>
      <c r="D34" s="468">
        <f t="shared" si="3"/>
        <v>60.119600000000005</v>
      </c>
      <c r="E34" s="468">
        <f t="shared" si="3"/>
        <v>44.3857</v>
      </c>
      <c r="F34" s="468">
        <f t="shared" si="3"/>
        <v>46.055800000000005</v>
      </c>
      <c r="G34" s="468">
        <f t="shared" si="3"/>
        <v>27.501100000000008</v>
      </c>
      <c r="H34" s="468">
        <f t="shared" si="3"/>
        <v>30.852498839947121</v>
      </c>
      <c r="I34" s="1117">
        <f>I35-I36</f>
        <v>32.729353720947117</v>
      </c>
      <c r="J34" s="468"/>
      <c r="K34" s="760"/>
    </row>
    <row r="35" spans="2:11" ht="15" customHeight="1">
      <c r="B35" s="748" t="s">
        <v>806</v>
      </c>
      <c r="C35" s="468">
        <f>Gob_EOG!F29</f>
        <v>52.451399999999992</v>
      </c>
      <c r="D35" s="468">
        <f>Gob_EOG!G29</f>
        <v>71.119600000000005</v>
      </c>
      <c r="E35" s="468">
        <f>Gob_EOG!H29</f>
        <v>54.3857</v>
      </c>
      <c r="F35" s="468">
        <f>Gob_EOG!I29</f>
        <v>59.055800000000005</v>
      </c>
      <c r="G35" s="468">
        <f>Gob_EOG!J29</f>
        <v>39.501100000000008</v>
      </c>
      <c r="H35" s="468">
        <v>44.16932075692813</v>
      </c>
      <c r="I35" s="1117">
        <f>H35*(1+$I$48/100)*(1+$I$50/100)</f>
        <v>49.885507477428504</v>
      </c>
      <c r="J35" s="468"/>
      <c r="K35" s="760"/>
    </row>
    <row r="36" spans="2:11" ht="15" customHeight="1">
      <c r="B36" s="748" t="s">
        <v>807</v>
      </c>
      <c r="C36" s="468">
        <f t="shared" ref="C36:H36" si="4">C13</f>
        <v>9</v>
      </c>
      <c r="D36" s="468">
        <f t="shared" si="4"/>
        <v>11</v>
      </c>
      <c r="E36" s="468">
        <f t="shared" si="4"/>
        <v>10</v>
      </c>
      <c r="F36" s="468">
        <f t="shared" si="4"/>
        <v>13</v>
      </c>
      <c r="G36" s="468">
        <f t="shared" si="4"/>
        <v>12</v>
      </c>
      <c r="H36" s="468">
        <f t="shared" si="4"/>
        <v>13.316821916981009</v>
      </c>
      <c r="I36" s="468">
        <f>I13</f>
        <v>17.156153756481388</v>
      </c>
      <c r="J36" s="468"/>
      <c r="K36" s="760"/>
    </row>
    <row r="37" spans="2:11" ht="15.75">
      <c r="B37" s="746" t="s">
        <v>808</v>
      </c>
      <c r="C37" s="468">
        <f t="shared" ref="C37:H37" si="5">-C33+C34</f>
        <v>-103.50338000000094</v>
      </c>
      <c r="D37" s="468">
        <f t="shared" si="5"/>
        <v>562.04100000000062</v>
      </c>
      <c r="E37" s="468">
        <f t="shared" si="5"/>
        <v>984.21539999999982</v>
      </c>
      <c r="F37" s="468">
        <f t="shared" si="5"/>
        <v>832.94060000000115</v>
      </c>
      <c r="G37" s="468">
        <f t="shared" si="5"/>
        <v>991.17949999999928</v>
      </c>
      <c r="H37" s="468">
        <f t="shared" si="5"/>
        <v>1879.8373096641776</v>
      </c>
      <c r="I37" s="468">
        <f>-I33+I34</f>
        <v>3351.6686589170004</v>
      </c>
      <c r="J37" s="468"/>
      <c r="K37" s="760" t="s">
        <v>809</v>
      </c>
    </row>
    <row r="38" spans="2:11" ht="15.75">
      <c r="B38" s="752" t="s">
        <v>810</v>
      </c>
      <c r="C38" s="468">
        <f>+Gob_EOG!F47-Gob_EOG!F42</f>
        <v>-54.943764999999985</v>
      </c>
      <c r="D38" s="468">
        <f>+Gob_EOG!G47-Gob_EOG!G42</f>
        <v>34.064671000000089</v>
      </c>
      <c r="E38" s="468">
        <f>+Gob_EOG!H47-Gob_EOG!H42</f>
        <v>217.73373500000002</v>
      </c>
      <c r="F38" s="468">
        <f>+Gob_EOG!I47-Gob_EOG!I42</f>
        <v>-124.47651500000018</v>
      </c>
      <c r="G38" s="468">
        <f>+Gob_EOG!J47-Gob_EOG!J42</f>
        <v>278.94918906593182</v>
      </c>
      <c r="H38" s="468">
        <f>+Gob_EOG!K47-Gob_EOG!K42</f>
        <v>284.94918906593182</v>
      </c>
      <c r="I38" s="468">
        <f>+Gob_EOG!L47-Gob_EOG!L42</f>
        <v>300</v>
      </c>
      <c r="J38" s="468"/>
      <c r="K38" s="760" t="s">
        <v>811</v>
      </c>
    </row>
    <row r="39" spans="2:11" ht="15.75">
      <c r="B39" s="752" t="s">
        <v>812</v>
      </c>
      <c r="C39" s="468">
        <f>Gob_EOG!F44-Gob_EOG!F37</f>
        <v>-39.55961500000096</v>
      </c>
      <c r="D39" s="468">
        <f>Gob_EOG!G44-Gob_EOG!G37</f>
        <v>538.97632900000053</v>
      </c>
      <c r="E39" s="468">
        <f>Gob_EOG!H44-Gob_EOG!H37</f>
        <v>776.48166499999934</v>
      </c>
      <c r="F39" s="468">
        <f>Gob_EOG!I44-Gob_EOG!I37</f>
        <v>970.41711500000133</v>
      </c>
      <c r="G39" s="468">
        <f>Gob_EOG!J44-Gob_EOG!J37</f>
        <v>724.23031093406746</v>
      </c>
      <c r="H39" s="468">
        <f>Gob_EOG!K44-Gob_EOG!K37</f>
        <v>1594.8881205982457</v>
      </c>
      <c r="I39" s="1117">
        <f>I37-I38</f>
        <v>3051.6686589170004</v>
      </c>
      <c r="J39" s="468"/>
      <c r="K39" s="760" t="s">
        <v>813</v>
      </c>
    </row>
    <row r="40" spans="2:11" ht="15.75">
      <c r="B40" s="752" t="s">
        <v>814</v>
      </c>
      <c r="C40" s="468"/>
      <c r="D40" s="468"/>
      <c r="E40" s="468"/>
      <c r="F40" s="468"/>
      <c r="G40" s="468"/>
      <c r="H40" s="468"/>
      <c r="I40" s="1082">
        <v>3051.6686589170044</v>
      </c>
      <c r="J40" s="468"/>
      <c r="K40" s="882">
        <f>H39*(1+I45/100)*(1+I46/100)</f>
        <v>1788.4249834316024</v>
      </c>
    </row>
    <row r="41" spans="2:11" ht="15.75">
      <c r="B41" s="752" t="s">
        <v>815</v>
      </c>
      <c r="C41" s="468"/>
      <c r="D41" s="468"/>
      <c r="E41" s="468"/>
      <c r="F41" s="468"/>
      <c r="G41" s="468"/>
      <c r="H41" s="468"/>
      <c r="I41" s="1083">
        <f>I39-I40</f>
        <v>-4.0927261579781771E-12</v>
      </c>
      <c r="J41" s="524"/>
      <c r="K41" s="760"/>
    </row>
    <row r="42" spans="2:11" ht="15.75">
      <c r="B42" s="752"/>
      <c r="C42" s="468"/>
      <c r="D42" s="468"/>
      <c r="E42" s="468"/>
      <c r="F42" s="468"/>
      <c r="G42" s="468"/>
      <c r="H42" s="468"/>
      <c r="I42" s="468"/>
      <c r="J42" s="473"/>
      <c r="K42" s="760"/>
    </row>
    <row r="43" spans="2:11" ht="15.75">
      <c r="B43" s="752" t="s">
        <v>594</v>
      </c>
      <c r="C43" s="468"/>
      <c r="D43" s="468"/>
      <c r="E43" s="468"/>
      <c r="F43" s="468"/>
      <c r="G43" s="468"/>
      <c r="H43" s="468"/>
      <c r="I43" s="473"/>
      <c r="J43" s="473"/>
      <c r="K43" s="760"/>
    </row>
    <row r="44" spans="2:11" ht="15.75">
      <c r="B44" s="752" t="s">
        <v>816</v>
      </c>
      <c r="C44" s="470">
        <f>PIB_Nominal!F6</f>
        <v>14737.185928738949</v>
      </c>
      <c r="D44" s="470">
        <f>PIB_Nominal!G6</f>
        <v>15747.009032492888</v>
      </c>
      <c r="E44" s="470">
        <f>PIB_Nominal!H6</f>
        <v>17629.077878645952</v>
      </c>
      <c r="F44" s="470">
        <f>PIB_Nominal!I6</f>
        <v>19427.849144138439</v>
      </c>
      <c r="G44" s="470">
        <f>PIB_Nominal!J6</f>
        <v>21157.293165921488</v>
      </c>
      <c r="H44" s="468">
        <f>PIB_Nominal!K6</f>
        <v>23646.185911788263</v>
      </c>
      <c r="I44" s="468">
        <f>PIB_Nominal!L6</f>
        <v>26705.762973114495</v>
      </c>
      <c r="J44" s="524"/>
      <c r="K44" s="760" t="s">
        <v>817</v>
      </c>
    </row>
    <row r="45" spans="2:11" ht="15.75">
      <c r="B45" s="752" t="s">
        <v>818</v>
      </c>
      <c r="C45" s="470">
        <f>PIB_real!F23</f>
        <v>2.4011889271438065</v>
      </c>
      <c r="D45" s="470">
        <f>PIB_real!G23</f>
        <v>-1.6305202034061921</v>
      </c>
      <c r="E45" s="470">
        <f>PIB_real!H23</f>
        <v>4.8594957523365707</v>
      </c>
      <c r="F45" s="470">
        <f>PIB_real!I23</f>
        <v>5.6553885268151021</v>
      </c>
      <c r="G45" s="470">
        <f>PIB_real!J23</f>
        <v>4.185178984470511</v>
      </c>
      <c r="H45" s="524">
        <f>PIB_real!K23</f>
        <v>4.5579929792104679</v>
      </c>
      <c r="I45" s="524">
        <f>'PIB real y brecha del producto'!G28</f>
        <v>4.4517020977380968</v>
      </c>
      <c r="J45" s="524"/>
      <c r="K45" s="760" t="s">
        <v>817</v>
      </c>
    </row>
    <row r="46" spans="2:11" ht="15.75">
      <c r="B46" s="752" t="s">
        <v>819</v>
      </c>
      <c r="C46" s="857">
        <v>13.424650631557796</v>
      </c>
      <c r="D46" s="857">
        <v>7.8427556534629019</v>
      </c>
      <c r="E46" s="857">
        <v>5.6626532109607268</v>
      </c>
      <c r="F46" s="857">
        <v>4.8781491879010872</v>
      </c>
      <c r="G46" s="857">
        <v>4.6130302133459367</v>
      </c>
      <c r="H46" s="524">
        <v>6.1358513231091649</v>
      </c>
      <c r="I46" s="524">
        <f>Inflación!O31</f>
        <v>7.3556691967236247</v>
      </c>
      <c r="J46" s="524"/>
      <c r="K46" s="760" t="s">
        <v>820</v>
      </c>
    </row>
    <row r="47" spans="2:11" ht="15.75">
      <c r="B47" s="752" t="s">
        <v>821</v>
      </c>
      <c r="C47" s="470">
        <f>BP!F58</f>
        <v>526.23551344086002</v>
      </c>
      <c r="D47" s="470">
        <f>BP!G58</f>
        <v>573.287956733231</v>
      </c>
      <c r="E47" s="470">
        <f>BP!H58</f>
        <v>525.829200716846</v>
      </c>
      <c r="F47" s="470">
        <f>BP!I58</f>
        <v>506.4</v>
      </c>
      <c r="G47" s="470">
        <f>BP!J58</f>
        <v>510.78961259840202</v>
      </c>
      <c r="H47" s="468">
        <f>BP!K58</f>
        <v>530.21903193696369</v>
      </c>
      <c r="I47" s="468">
        <f>BP!L58</f>
        <v>563.14784587758732</v>
      </c>
      <c r="J47" s="468"/>
      <c r="K47" s="760" t="s">
        <v>822</v>
      </c>
    </row>
    <row r="48" spans="2:11" ht="15.75">
      <c r="B48" s="748" t="s">
        <v>823</v>
      </c>
      <c r="C48" s="470"/>
      <c r="D48" s="470"/>
      <c r="E48" s="470"/>
      <c r="F48" s="470"/>
      <c r="G48" s="470"/>
      <c r="H48" s="468"/>
      <c r="I48" s="524">
        <f>'Cuadro PIB'!I15</f>
        <v>7.5348308999735769</v>
      </c>
      <c r="J48" s="524"/>
      <c r="K48" s="760" t="s">
        <v>824</v>
      </c>
    </row>
    <row r="49" spans="2:11" ht="15.75">
      <c r="B49" s="748" t="s">
        <v>825</v>
      </c>
      <c r="C49" s="470"/>
      <c r="D49" s="470"/>
      <c r="E49" s="470"/>
      <c r="F49" s="470"/>
      <c r="G49" s="470"/>
      <c r="H49" s="470"/>
      <c r="I49" s="468">
        <f>'Cuadro PIB'!J13</f>
        <v>20.003622003847887</v>
      </c>
      <c r="J49" s="468"/>
      <c r="K49" s="760" t="s">
        <v>636</v>
      </c>
    </row>
    <row r="50" spans="2:11" ht="16.5" thickBot="1">
      <c r="B50" s="753" t="s">
        <v>826</v>
      </c>
      <c r="C50" s="754"/>
      <c r="D50" s="754"/>
      <c r="E50" s="754"/>
      <c r="F50" s="754"/>
      <c r="G50" s="754"/>
      <c r="H50" s="754"/>
      <c r="I50" s="1036">
        <f>'Cuadro PIB'!J17</f>
        <v>5.0278602013912099</v>
      </c>
      <c r="J50" s="757"/>
      <c r="K50" s="763" t="s">
        <v>827</v>
      </c>
    </row>
  </sheetData>
  <sortState xmlns:xlrd2="http://schemas.microsoft.com/office/spreadsheetml/2017/richdata2" ref="A16:J31">
    <sortCondition sortBy="cellColor" ref="B24" dxfId="0"/>
  </sortState>
  <printOptions horizontalCentered="1"/>
  <pageMargins left="0.4" right="0.4" top="0.8" bottom="0.65" header="0.5" footer="0.6"/>
  <pageSetup scale="55" orientation="portrait" horizontalDpi="4294967292" verticalDpi="4294967292"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499984740745262"/>
    <pageSetUpPr fitToPage="1"/>
  </sheetPr>
  <dimension ref="B1:AM215"/>
  <sheetViews>
    <sheetView tabSelected="1" topLeftCell="A7" zoomScaleNormal="100" workbookViewId="0">
      <selection activeCell="L18" sqref="L18"/>
    </sheetView>
  </sheetViews>
  <sheetFormatPr baseColWidth="10" defaultColWidth="9.42578125" defaultRowHeight="15"/>
  <cols>
    <col min="1" max="1" width="9.42578125" style="2"/>
    <col min="2" max="2" width="4.85546875" style="3" customWidth="1"/>
    <col min="3" max="3" width="56.7109375" style="3" customWidth="1"/>
    <col min="4" max="12" width="10.140625" style="4" customWidth="1"/>
    <col min="13" max="13" width="4.85546875" style="4" customWidth="1"/>
    <col min="14" max="14" width="11.5703125" style="2" bestFit="1" customWidth="1"/>
    <col min="15" max="16384" width="9.42578125" style="2"/>
  </cols>
  <sheetData>
    <row r="1" spans="2:14" ht="15.75" thickBot="1"/>
    <row r="2" spans="2:14" s="1" customFormat="1" ht="33" customHeight="1">
      <c r="B2" s="393" t="s">
        <v>828</v>
      </c>
      <c r="C2" s="449"/>
      <c r="D2" s="449"/>
      <c r="E2" s="449"/>
      <c r="F2" s="449"/>
      <c r="G2" s="449"/>
      <c r="H2" s="449"/>
      <c r="I2" s="449"/>
      <c r="J2" s="449"/>
      <c r="K2" s="449"/>
      <c r="L2" s="771"/>
      <c r="M2" s="516"/>
    </row>
    <row r="3" spans="2:14" s="1" customFormat="1" ht="33" customHeight="1">
      <c r="B3" s="14"/>
      <c r="C3" s="16"/>
      <c r="D3" s="351">
        <v>2006</v>
      </c>
      <c r="E3" s="351">
        <v>2007</v>
      </c>
      <c r="F3" s="351">
        <v>2008</v>
      </c>
      <c r="G3" s="351">
        <v>2009</v>
      </c>
      <c r="H3" s="351">
        <v>2010</v>
      </c>
      <c r="I3" s="351">
        <v>2011</v>
      </c>
      <c r="J3" s="351">
        <v>2012</v>
      </c>
      <c r="K3" s="351">
        <v>2013</v>
      </c>
      <c r="L3" s="351">
        <v>2014</v>
      </c>
      <c r="M3" s="15"/>
    </row>
    <row r="4" spans="2:14" s="1" customFormat="1" ht="33" customHeight="1">
      <c r="B4" s="109"/>
      <c r="C4" s="110" t="s">
        <v>225</v>
      </c>
      <c r="D4" s="110"/>
      <c r="E4" s="110"/>
      <c r="F4" s="110"/>
      <c r="G4" s="110"/>
      <c r="H4" s="110"/>
      <c r="I4" s="110"/>
      <c r="J4" s="110"/>
      <c r="K4" s="586"/>
      <c r="L4" s="110"/>
      <c r="M4" s="111"/>
    </row>
    <row r="5" spans="2:14" s="1" customFormat="1" ht="33" customHeight="1">
      <c r="B5" s="215"/>
      <c r="C5" s="216" t="s">
        <v>829</v>
      </c>
      <c r="D5" s="216"/>
      <c r="E5" s="216"/>
      <c r="F5" s="216"/>
      <c r="G5" s="216"/>
      <c r="H5" s="216"/>
      <c r="I5" s="216"/>
      <c r="J5" s="216"/>
      <c r="K5" s="216"/>
      <c r="L5" s="766"/>
      <c r="M5" s="520"/>
      <c r="N5" s="767" t="s">
        <v>830</v>
      </c>
    </row>
    <row r="6" spans="2:14" s="1" customFormat="1" ht="15" customHeight="1">
      <c r="B6" s="30"/>
      <c r="C6" s="104" t="s">
        <v>831</v>
      </c>
      <c r="D6" s="31"/>
      <c r="E6" s="31"/>
      <c r="F6" s="31"/>
      <c r="G6" s="31"/>
      <c r="H6" s="31"/>
      <c r="I6" s="31"/>
      <c r="J6" s="31"/>
      <c r="K6" s="31"/>
      <c r="L6" s="31"/>
      <c r="M6" s="32"/>
      <c r="N6" s="769" t="s">
        <v>832</v>
      </c>
    </row>
    <row r="7" spans="2:14">
      <c r="B7" s="6"/>
      <c r="C7" s="36" t="s">
        <v>833</v>
      </c>
      <c r="D7" s="34">
        <v>1670.2626601418331</v>
      </c>
      <c r="E7" s="34">
        <v>1805.514199340741</v>
      </c>
      <c r="F7" s="34">
        <v>1758.4891424124394</v>
      </c>
      <c r="G7" s="34">
        <v>2256.0146491617452</v>
      </c>
      <c r="H7" s="34">
        <v>2275.4206264133809</v>
      </c>
      <c r="I7" s="34">
        <v>1866.1114331715441</v>
      </c>
      <c r="J7" s="34">
        <v>2473.1558526629101</v>
      </c>
      <c r="K7" s="34">
        <v>2552.4001560450224</v>
      </c>
      <c r="L7" s="34">
        <f>'AEN y OPN totales'!C15</f>
        <v>2418.462905296441</v>
      </c>
      <c r="M7" s="56"/>
      <c r="N7" s="769" t="s">
        <v>834</v>
      </c>
    </row>
    <row r="8" spans="2:14">
      <c r="B8" s="6"/>
      <c r="C8" s="36" t="s">
        <v>835</v>
      </c>
      <c r="D8" s="34">
        <v>4551.8194984315069</v>
      </c>
      <c r="E8" s="34">
        <v>5689.9984794151715</v>
      </c>
      <c r="F8" s="34">
        <v>7041.3603020979463</v>
      </c>
      <c r="G8" s="34">
        <v>7250.7497494086592</v>
      </c>
      <c r="H8" s="34">
        <v>7306.9231677327798</v>
      </c>
      <c r="I8" s="34">
        <v>8417.6637497317406</v>
      </c>
      <c r="J8" s="34">
        <v>8746.4428718845902</v>
      </c>
      <c r="K8" s="34">
        <v>9677.0341878589788</v>
      </c>
      <c r="L8" s="34">
        <f>L17-L7</f>
        <v>10813.505987101318</v>
      </c>
      <c r="M8" s="56"/>
      <c r="N8" s="769" t="s">
        <v>836</v>
      </c>
    </row>
    <row r="9" spans="2:14">
      <c r="B9" s="6"/>
      <c r="C9" s="37" t="s">
        <v>837</v>
      </c>
      <c r="D9" s="34">
        <v>5063.3134825982579</v>
      </c>
      <c r="E9" s="34">
        <v>6526.5446727907374</v>
      </c>
      <c r="F9" s="34">
        <v>8511.0614075701778</v>
      </c>
      <c r="G9" s="34">
        <v>9198.6046062302248</v>
      </c>
      <c r="H9" s="34">
        <v>9664.3276606081399</v>
      </c>
      <c r="I9" s="34">
        <v>11014.81133439511</v>
      </c>
      <c r="J9" s="34">
        <v>12108.948525933718</v>
      </c>
      <c r="K9" s="34">
        <v>13420.483670416153</v>
      </c>
      <c r="L9" s="773">
        <f>L8-L14</f>
        <v>14678.292087476488</v>
      </c>
      <c r="M9" s="278"/>
      <c r="N9" s="769" t="s">
        <v>838</v>
      </c>
    </row>
    <row r="10" spans="2:14">
      <c r="B10" s="6"/>
      <c r="C10" s="35" t="s">
        <v>839</v>
      </c>
      <c r="D10" s="34">
        <v>583.81606017440663</v>
      </c>
      <c r="E10" s="34">
        <v>365.09423915518624</v>
      </c>
      <c r="F10" s="34">
        <v>401.44402931789506</v>
      </c>
      <c r="G10" s="34">
        <v>659.25600958499376</v>
      </c>
      <c r="H10" s="34">
        <v>702.88561685080754</v>
      </c>
      <c r="I10" s="34">
        <v>942.78868182637962</v>
      </c>
      <c r="J10" s="34">
        <v>1227.0291042320221</v>
      </c>
      <c r="K10" s="34">
        <v>1794.3894480692741</v>
      </c>
      <c r="L10" s="34">
        <f>L11+L12</f>
        <v>2709.8900457443738</v>
      </c>
      <c r="M10" s="56"/>
      <c r="N10" s="769" t="s">
        <v>840</v>
      </c>
    </row>
    <row r="11" spans="2:14">
      <c r="B11" s="6"/>
      <c r="C11" s="40" t="s">
        <v>841</v>
      </c>
      <c r="D11" s="34">
        <v>524.20198117884229</v>
      </c>
      <c r="E11" s="34">
        <v>307.76353431440947</v>
      </c>
      <c r="F11" s="34">
        <v>335.90161553462252</v>
      </c>
      <c r="G11" s="34">
        <v>594.51079682865793</v>
      </c>
      <c r="H11" s="34">
        <v>617.7412347708721</v>
      </c>
      <c r="I11" s="34">
        <v>844.47410862403706</v>
      </c>
      <c r="J11" s="34">
        <v>1069.1432019042572</v>
      </c>
      <c r="K11" s="34">
        <v>1636.5035457415092</v>
      </c>
      <c r="L11" s="34">
        <f>K11+(Gob_EOG!L45-Gob_EOG!L38)</f>
        <v>2552.0041434166092</v>
      </c>
      <c r="M11" s="56"/>
      <c r="N11" s="201" t="s">
        <v>842</v>
      </c>
    </row>
    <row r="12" spans="2:14">
      <c r="B12" s="6"/>
      <c r="C12" s="40" t="s">
        <v>843</v>
      </c>
      <c r="D12" s="34">
        <v>59.614078995564306</v>
      </c>
      <c r="E12" s="34">
        <v>57.330704840776804</v>
      </c>
      <c r="F12" s="34">
        <v>65.542413783272508</v>
      </c>
      <c r="G12" s="34">
        <v>64.745212756335803</v>
      </c>
      <c r="H12" s="34">
        <v>85.144382079935411</v>
      </c>
      <c r="I12" s="34">
        <v>98.314573202342501</v>
      </c>
      <c r="J12" s="34">
        <v>157.8859023277648</v>
      </c>
      <c r="K12" s="34">
        <v>157.8859023277648</v>
      </c>
      <c r="L12" s="34">
        <f>K12</f>
        <v>157.8859023277648</v>
      </c>
      <c r="M12" s="56"/>
      <c r="N12" s="201" t="s">
        <v>844</v>
      </c>
    </row>
    <row r="13" spans="2:14">
      <c r="B13" s="6"/>
      <c r="C13" s="35" t="s">
        <v>845</v>
      </c>
      <c r="D13" s="34">
        <v>4479.4974224238513</v>
      </c>
      <c r="E13" s="34">
        <v>6161.4504336355512</v>
      </c>
      <c r="F13" s="34">
        <v>8109.6173782522828</v>
      </c>
      <c r="G13" s="34">
        <v>8539.3485966452317</v>
      </c>
      <c r="H13" s="34">
        <v>8961.4420437573317</v>
      </c>
      <c r="I13" s="34">
        <v>10072.02265256873</v>
      </c>
      <c r="J13" s="34">
        <v>10881.919421701696</v>
      </c>
      <c r="K13" s="34">
        <v>11626.094222346879</v>
      </c>
      <c r="L13" s="1123">
        <f>L9-L10</f>
        <v>11968.402041732114</v>
      </c>
      <c r="M13" s="278"/>
      <c r="N13" s="769" t="s">
        <v>846</v>
      </c>
    </row>
    <row r="14" spans="2:14">
      <c r="B14" s="6"/>
      <c r="C14" s="37" t="s">
        <v>847</v>
      </c>
      <c r="D14" s="34">
        <v>-511.49398416675103</v>
      </c>
      <c r="E14" s="34">
        <v>-836.54619337556596</v>
      </c>
      <c r="F14" s="34">
        <v>-1469.7011054722316</v>
      </c>
      <c r="G14" s="34">
        <v>-1947.8548568215656</v>
      </c>
      <c r="H14" s="34">
        <v>-2357.4044928753601</v>
      </c>
      <c r="I14" s="34">
        <v>-2597.1475846633698</v>
      </c>
      <c r="J14" s="34">
        <v>-3362.5056540491278</v>
      </c>
      <c r="K14" s="34">
        <v>-3743.4494825571755</v>
      </c>
      <c r="L14" s="34">
        <f>'AEN y OPN totales'!C33</f>
        <v>-3864.7861003751691</v>
      </c>
      <c r="M14" s="56"/>
      <c r="N14" s="769" t="s">
        <v>848</v>
      </c>
    </row>
    <row r="15" spans="2:14">
      <c r="B15" s="6"/>
      <c r="C15" s="220"/>
      <c r="D15" s="39"/>
      <c r="E15" s="39"/>
      <c r="F15" s="39"/>
      <c r="G15" s="39"/>
      <c r="H15" s="39"/>
      <c r="I15" s="39"/>
      <c r="J15" s="39"/>
      <c r="K15" s="34"/>
      <c r="L15" s="39"/>
      <c r="M15" s="509"/>
      <c r="N15" s="581"/>
    </row>
    <row r="16" spans="2:14">
      <c r="B16" s="6"/>
      <c r="C16" s="104" t="s">
        <v>849</v>
      </c>
      <c r="D16" s="285"/>
      <c r="E16" s="285"/>
      <c r="F16" s="285"/>
      <c r="G16" s="285"/>
      <c r="H16" s="285"/>
      <c r="I16" s="285"/>
      <c r="J16" s="285"/>
      <c r="K16" s="285"/>
      <c r="L16" s="285"/>
      <c r="M16" s="519"/>
      <c r="N16" s="201"/>
    </row>
    <row r="17" spans="2:26">
      <c r="B17" s="6"/>
      <c r="C17" s="36" t="s">
        <v>850</v>
      </c>
      <c r="D17" s="34">
        <v>6222.0821585733402</v>
      </c>
      <c r="E17" s="34">
        <v>7495.512678755912</v>
      </c>
      <c r="F17" s="34">
        <v>8799.8494445103861</v>
      </c>
      <c r="G17" s="34">
        <v>9506.7643985704053</v>
      </c>
      <c r="H17" s="34">
        <v>9582.3437941461598</v>
      </c>
      <c r="I17" s="34">
        <v>10283.775182903284</v>
      </c>
      <c r="J17" s="39">
        <v>11219.598724547501</v>
      </c>
      <c r="K17" s="34">
        <v>12229.434343904</v>
      </c>
      <c r="L17" s="34">
        <f>'Velocidad y demanda de dinero '!L7</f>
        <v>13231.968892397759</v>
      </c>
      <c r="M17" s="56"/>
      <c r="N17" s="769" t="s">
        <v>851</v>
      </c>
    </row>
    <row r="18" spans="2:26">
      <c r="B18" s="6"/>
      <c r="C18" s="37" t="s">
        <v>852</v>
      </c>
      <c r="D18" s="34">
        <f t="shared" ref="D18:I18" si="0">D35</f>
        <v>413.18298891445005</v>
      </c>
      <c r="E18" s="34">
        <f t="shared" si="0"/>
        <v>546.26150052494995</v>
      </c>
      <c r="F18" s="34">
        <f t="shared" si="0"/>
        <v>575.00268404145015</v>
      </c>
      <c r="G18" s="34">
        <f t="shared" si="0"/>
        <v>612.99452372910002</v>
      </c>
      <c r="H18" s="34">
        <f t="shared" si="0"/>
        <v>665.04553348180013</v>
      </c>
      <c r="I18" s="34">
        <f t="shared" si="0"/>
        <v>743.08617107430007</v>
      </c>
      <c r="J18" s="34">
        <v>844.77396531425006</v>
      </c>
      <c r="K18" s="34">
        <v>887.01266357996258</v>
      </c>
      <c r="L18" s="34">
        <f>(K18/K17)*L17</f>
        <v>959.72746094372246</v>
      </c>
      <c r="M18" s="56"/>
      <c r="N18" s="769" t="s">
        <v>853</v>
      </c>
      <c r="O18" s="224"/>
      <c r="P18" s="224"/>
      <c r="Q18" s="224"/>
      <c r="R18" s="224"/>
      <c r="S18" s="224"/>
      <c r="T18" s="224"/>
      <c r="U18" s="224"/>
      <c r="V18" s="224"/>
    </row>
    <row r="19" spans="2:26">
      <c r="B19" s="5"/>
      <c r="C19" s="37" t="s">
        <v>671</v>
      </c>
      <c r="D19" s="34">
        <v>4979.7274290017176</v>
      </c>
      <c r="E19" s="34">
        <v>5861.4209804658167</v>
      </c>
      <c r="F19" s="34">
        <v>7255.4944372643895</v>
      </c>
      <c r="G19" s="34">
        <v>8111.1078514297096</v>
      </c>
      <c r="H19" s="34">
        <v>8095.9240593900104</v>
      </c>
      <c r="I19" s="34">
        <v>8469.8645012230008</v>
      </c>
      <c r="J19" s="34">
        <v>9050.9280270526415</v>
      </c>
      <c r="K19" s="34">
        <v>8673.4739751331817</v>
      </c>
      <c r="L19" s="34">
        <f>K19/K17*L17</f>
        <v>9384.5009180814413</v>
      </c>
      <c r="M19" s="56"/>
      <c r="N19" s="769" t="s">
        <v>854</v>
      </c>
      <c r="O19" s="223"/>
      <c r="P19" s="223"/>
      <c r="Q19" s="223"/>
      <c r="R19" s="223"/>
      <c r="S19" s="223"/>
      <c r="T19" s="223"/>
      <c r="U19" s="223"/>
    </row>
    <row r="20" spans="2:26" s="1" customFormat="1" ht="15" customHeight="1" thickBot="1">
      <c r="B20" s="30"/>
      <c r="C20" s="37" t="s">
        <v>855</v>
      </c>
      <c r="D20" s="34">
        <f t="shared" ref="D20:I20" si="1">D17-D18-D19</f>
        <v>829.17174065717245</v>
      </c>
      <c r="E20" s="34">
        <f t="shared" si="1"/>
        <v>1087.8301977651454</v>
      </c>
      <c r="F20" s="34">
        <f t="shared" si="1"/>
        <v>969.35232320454634</v>
      </c>
      <c r="G20" s="34">
        <f t="shared" si="1"/>
        <v>782.66202341159624</v>
      </c>
      <c r="H20" s="34">
        <f t="shared" si="1"/>
        <v>821.37420127434962</v>
      </c>
      <c r="I20" s="34">
        <f t="shared" si="1"/>
        <v>1070.824510605984</v>
      </c>
      <c r="J20" s="34">
        <v>1323.8967321806085</v>
      </c>
      <c r="K20" s="34">
        <v>2668.9477051908561</v>
      </c>
      <c r="L20" s="34">
        <f>L17-L18-L19</f>
        <v>2887.7405133725952</v>
      </c>
      <c r="M20" s="56"/>
      <c r="N20" s="769" t="s">
        <v>856</v>
      </c>
    </row>
    <row r="21" spans="2:26" ht="33" customHeight="1" thickTop="1">
      <c r="B21" s="219"/>
      <c r="C21" s="216" t="s">
        <v>373</v>
      </c>
      <c r="D21" s="216"/>
      <c r="E21" s="216"/>
      <c r="F21" s="216"/>
      <c r="G21" s="216"/>
      <c r="H21" s="216"/>
      <c r="I21" s="216"/>
      <c r="J21" s="216"/>
      <c r="K21" s="216"/>
      <c r="L21" s="766"/>
      <c r="M21" s="521"/>
      <c r="N21" s="768" t="s">
        <v>857</v>
      </c>
      <c r="O21" s="764"/>
      <c r="P21" s="764"/>
      <c r="Q21" s="764"/>
      <c r="R21" s="764"/>
      <c r="S21" s="764"/>
      <c r="T21" s="764"/>
      <c r="U21" s="764"/>
      <c r="V21" s="764"/>
      <c r="W21" s="764"/>
      <c r="X21" s="764"/>
      <c r="Y21" s="764"/>
      <c r="Z21" s="764"/>
    </row>
    <row r="22" spans="2:26">
      <c r="B22" s="5"/>
      <c r="C22" s="217" t="s">
        <v>858</v>
      </c>
      <c r="D22" s="24"/>
      <c r="E22" s="24"/>
      <c r="F22" s="24"/>
      <c r="G22" s="24"/>
      <c r="H22" s="24"/>
      <c r="I22" s="24"/>
      <c r="J22" s="24"/>
      <c r="K22" s="39"/>
      <c r="L22" s="39"/>
      <c r="M22" s="509"/>
      <c r="N22" s="310" t="s">
        <v>859</v>
      </c>
    </row>
    <row r="23" spans="2:26">
      <c r="B23" s="5"/>
      <c r="C23" s="218" t="s">
        <v>860</v>
      </c>
      <c r="D23" s="24">
        <v>1601.00884737665</v>
      </c>
      <c r="E23" s="24">
        <v>2118.4969494276002</v>
      </c>
      <c r="F23" s="24">
        <v>2178.2399071764403</v>
      </c>
      <c r="G23" s="24">
        <v>2275.9229322818701</v>
      </c>
      <c r="H23" s="24">
        <v>2362.52515567104</v>
      </c>
      <c r="I23" s="24">
        <v>2445.9605926516601</v>
      </c>
      <c r="J23" s="24">
        <v>3491.2700662165403</v>
      </c>
      <c r="K23" s="24">
        <v>3969.9202318629714</v>
      </c>
      <c r="L23" s="24">
        <f>'AEN y OPN para BC'!E14</f>
        <v>4027.2495821847765</v>
      </c>
      <c r="M23" s="55"/>
      <c r="N23" s="201" t="s">
        <v>861</v>
      </c>
    </row>
    <row r="24" spans="2:26">
      <c r="B24" s="5"/>
      <c r="C24" s="218" t="s">
        <v>862</v>
      </c>
      <c r="D24" s="24">
        <f>D34-D23</f>
        <v>-416.41041839286481</v>
      </c>
      <c r="E24" s="24">
        <f t="shared" ref="E24:K24" si="2">E34-E23</f>
        <v>-709.45551186195053</v>
      </c>
      <c r="F24" s="24">
        <f t="shared" si="2"/>
        <v>-501.79311154002426</v>
      </c>
      <c r="G24" s="24">
        <f t="shared" si="2"/>
        <v>-330.43092717274885</v>
      </c>
      <c r="H24" s="24">
        <f t="shared" si="2"/>
        <v>-330.51050678686943</v>
      </c>
      <c r="I24" s="24">
        <f t="shared" si="2"/>
        <v>-227.68330416156005</v>
      </c>
      <c r="J24" s="24">
        <f t="shared" si="2"/>
        <v>-1322.5993687216819</v>
      </c>
      <c r="K24" s="24">
        <f t="shared" si="2"/>
        <v>-1413.9598630921514</v>
      </c>
      <c r="L24" s="773">
        <f>L34-L23</f>
        <v>-1261.7587885214189</v>
      </c>
      <c r="M24" s="278"/>
      <c r="N24" s="201" t="s">
        <v>863</v>
      </c>
    </row>
    <row r="25" spans="2:26">
      <c r="B25" s="5"/>
      <c r="C25" s="37" t="s">
        <v>839</v>
      </c>
      <c r="D25" s="34">
        <v>-42.255977916952041</v>
      </c>
      <c r="E25" s="34">
        <v>-60.277779963048935</v>
      </c>
      <c r="F25" s="34">
        <v>-17.958972824443517</v>
      </c>
      <c r="G25" s="34">
        <v>-47.644284489467402</v>
      </c>
      <c r="H25" s="34">
        <v>-287.118127206488</v>
      </c>
      <c r="I25" s="34">
        <v>-85.616364049830011</v>
      </c>
      <c r="J25" s="34">
        <v>-560.99459150744622</v>
      </c>
      <c r="K25" s="34">
        <v>-560.99459150744622</v>
      </c>
      <c r="L25" s="34">
        <f>L26+L27</f>
        <v>-560.99459150744622</v>
      </c>
      <c r="M25" s="56"/>
      <c r="N25" s="201" t="s">
        <v>864</v>
      </c>
    </row>
    <row r="26" spans="2:26">
      <c r="B26" s="5"/>
      <c r="C26" s="35" t="s">
        <v>865</v>
      </c>
      <c r="D26" s="34">
        <v>-46.854542150321642</v>
      </c>
      <c r="E26" s="34">
        <v>-63.746532486502538</v>
      </c>
      <c r="F26" s="34">
        <v>-20.761048769851516</v>
      </c>
      <c r="G26" s="34">
        <v>-49.422843105489001</v>
      </c>
      <c r="H26" s="34">
        <v>-288.13663537321997</v>
      </c>
      <c r="I26" s="34">
        <v>-86.404637471463005</v>
      </c>
      <c r="J26" s="34">
        <v>-561.55398823157805</v>
      </c>
      <c r="K26" s="34">
        <v>-561.55398823157805</v>
      </c>
      <c r="L26" s="34">
        <f>K26</f>
        <v>-561.55398823157805</v>
      </c>
      <c r="M26" s="56"/>
      <c r="N26" s="769" t="s">
        <v>866</v>
      </c>
    </row>
    <row r="27" spans="2:26">
      <c r="B27" s="5"/>
      <c r="C27" s="35" t="s">
        <v>843</v>
      </c>
      <c r="D27" s="34">
        <v>4.5985642333695997</v>
      </c>
      <c r="E27" s="34">
        <v>3.4687525234536003</v>
      </c>
      <c r="F27" s="34">
        <v>2.8020759454080002</v>
      </c>
      <c r="G27" s="34">
        <v>1.7785586160216</v>
      </c>
      <c r="H27" s="34">
        <v>1.018508166732</v>
      </c>
      <c r="I27" s="34">
        <v>0.78827342163300007</v>
      </c>
      <c r="J27" s="34">
        <v>0.55939672413180008</v>
      </c>
      <c r="K27" s="34">
        <v>0.55939672413180008</v>
      </c>
      <c r="L27" s="34">
        <f>K27</f>
        <v>0.55939672413180008</v>
      </c>
      <c r="M27" s="56"/>
      <c r="N27" s="201" t="s">
        <v>867</v>
      </c>
    </row>
    <row r="28" spans="2:26">
      <c r="B28" s="5"/>
      <c r="C28" s="37" t="s">
        <v>868</v>
      </c>
      <c r="D28" s="34">
        <f>D51</f>
        <v>-706.04609912234719</v>
      </c>
      <c r="E28" s="34">
        <f t="shared" ref="E28:K28" si="3">E51</f>
        <v>-757.54673161899427</v>
      </c>
      <c r="F28" s="34">
        <f t="shared" si="3"/>
        <v>-543.2613900686647</v>
      </c>
      <c r="G28" s="34">
        <f t="shared" si="3"/>
        <v>-629.49546361485773</v>
      </c>
      <c r="H28" s="34">
        <f t="shared" si="3"/>
        <v>-584.87372937304099</v>
      </c>
      <c r="I28" s="34">
        <f t="shared" si="3"/>
        <v>-658.25402495201706</v>
      </c>
      <c r="J28" s="34">
        <f t="shared" si="3"/>
        <v>-525.92633266298253</v>
      </c>
      <c r="K28" s="34">
        <f t="shared" si="3"/>
        <v>997.98288580313238</v>
      </c>
      <c r="L28" s="1123">
        <f>L24-L25-L29-L30-L31</f>
        <v>1563.7073323120167</v>
      </c>
      <c r="M28" s="278"/>
      <c r="N28" s="201" t="s">
        <v>869</v>
      </c>
    </row>
    <row r="29" spans="2:26">
      <c r="B29" s="5"/>
      <c r="C29" s="37" t="s">
        <v>845</v>
      </c>
      <c r="D29" s="34">
        <v>15.456124118408001</v>
      </c>
      <c r="E29" s="34">
        <v>14.921319322220402</v>
      </c>
      <c r="F29" s="34">
        <v>2.5439534642007993</v>
      </c>
      <c r="G29" s="34">
        <v>2.1115481004868002</v>
      </c>
      <c r="H29" s="34">
        <v>1.5530317484100002</v>
      </c>
      <c r="I29" s="34">
        <v>1.198475572362</v>
      </c>
      <c r="J29" s="34">
        <v>0.84020126668680006</v>
      </c>
      <c r="K29" s="34">
        <v>0.84020126668680006</v>
      </c>
      <c r="L29" s="34">
        <f>K29</f>
        <v>0.84020126668680006</v>
      </c>
      <c r="M29" s="56"/>
      <c r="N29" s="201" t="s">
        <v>870</v>
      </c>
    </row>
    <row r="30" spans="2:26">
      <c r="B30" s="5"/>
      <c r="C30" s="37" t="s">
        <v>871</v>
      </c>
      <c r="D30" s="34">
        <f>D24-D25-D28-D29-D31</f>
        <v>-829.17174065717268</v>
      </c>
      <c r="E30" s="34">
        <f t="shared" ref="E30:K30" si="4">E24-E25-E28-E29-E31</f>
        <v>-1087.8301977651458</v>
      </c>
      <c r="F30" s="34">
        <f t="shared" si="4"/>
        <v>-969.35232320454543</v>
      </c>
      <c r="G30" s="34">
        <f t="shared" si="4"/>
        <v>-782.66202341159601</v>
      </c>
      <c r="H30" s="34">
        <f t="shared" si="4"/>
        <v>-821.37420127434905</v>
      </c>
      <c r="I30" s="34">
        <f t="shared" si="4"/>
        <v>-1070.8245106059828</v>
      </c>
      <c r="J30" s="34">
        <f t="shared" si="4"/>
        <v>-1323.896732180609</v>
      </c>
      <c r="K30" s="34">
        <f t="shared" si="4"/>
        <v>-2669.2623614053455</v>
      </c>
      <c r="L30" s="34">
        <f>-L20</f>
        <v>-2887.7405133725952</v>
      </c>
      <c r="M30" s="56"/>
      <c r="N30" s="201" t="s">
        <v>872</v>
      </c>
    </row>
    <row r="31" spans="2:26">
      <c r="B31" s="5"/>
      <c r="C31" s="37" t="s">
        <v>873</v>
      </c>
      <c r="D31" s="34">
        <v>1145.6072751851991</v>
      </c>
      <c r="E31" s="34">
        <v>1181.2778781630182</v>
      </c>
      <c r="F31" s="34">
        <v>1026.2356210934286</v>
      </c>
      <c r="G31" s="34">
        <v>1127.2592962426854</v>
      </c>
      <c r="H31" s="34">
        <v>1361.3025193185986</v>
      </c>
      <c r="I31" s="34">
        <v>1585.8131198739079</v>
      </c>
      <c r="J31" s="34">
        <v>1087.3780863626691</v>
      </c>
      <c r="K31" s="34">
        <v>817.47400275082134</v>
      </c>
      <c r="L31" s="34">
        <f>'AEN y OPN para BC'!E29</f>
        <v>622.42878277991895</v>
      </c>
      <c r="M31" s="56"/>
      <c r="N31" s="201" t="s">
        <v>874</v>
      </c>
    </row>
    <row r="32" spans="2:26">
      <c r="B32" s="5"/>
      <c r="C32" s="37"/>
      <c r="D32" s="34"/>
      <c r="E32" s="34"/>
      <c r="F32" s="34"/>
      <c r="G32" s="34"/>
      <c r="H32" s="34"/>
      <c r="I32" s="34"/>
      <c r="J32" s="34"/>
      <c r="K32" s="34"/>
      <c r="L32" s="34"/>
      <c r="M32" s="56"/>
      <c r="N32" s="201"/>
    </row>
    <row r="33" spans="2:26">
      <c r="B33" s="5"/>
      <c r="C33" s="104" t="s">
        <v>875</v>
      </c>
      <c r="D33" s="34"/>
      <c r="E33" s="34"/>
      <c r="F33" s="34"/>
      <c r="G33" s="34"/>
      <c r="H33" s="34"/>
      <c r="I33" s="34"/>
      <c r="J33" s="34"/>
      <c r="K33" s="34"/>
      <c r="L33" s="34"/>
      <c r="M33" s="56"/>
      <c r="N33" s="201"/>
    </row>
    <row r="34" spans="2:26">
      <c r="B34" s="5"/>
      <c r="C34" s="36" t="s">
        <v>876</v>
      </c>
      <c r="D34" s="34">
        <v>1184.5984289837852</v>
      </c>
      <c r="E34" s="34">
        <v>1409.0414375656496</v>
      </c>
      <c r="F34" s="34">
        <v>1676.446795636416</v>
      </c>
      <c r="G34" s="34">
        <v>1945.4920051091212</v>
      </c>
      <c r="H34" s="34">
        <v>2032.0146488841706</v>
      </c>
      <c r="I34" s="34">
        <v>2218.2772884901001</v>
      </c>
      <c r="J34" s="34">
        <v>2168.6706974948584</v>
      </c>
      <c r="K34" s="34">
        <v>2555.96036877082</v>
      </c>
      <c r="L34" s="34">
        <f>'Multiplicador del dinero'!K10</f>
        <v>2765.4907936633576</v>
      </c>
      <c r="M34" s="56"/>
      <c r="N34" s="769" t="s">
        <v>877</v>
      </c>
    </row>
    <row r="35" spans="2:26">
      <c r="B35" s="5"/>
      <c r="C35" s="37" t="s">
        <v>852</v>
      </c>
      <c r="D35" s="34">
        <v>413.18298891445005</v>
      </c>
      <c r="E35" s="34">
        <v>546.26150052494995</v>
      </c>
      <c r="F35" s="34">
        <v>575.00268404145015</v>
      </c>
      <c r="G35" s="34">
        <v>612.99452372910002</v>
      </c>
      <c r="H35" s="34">
        <v>665.04553348180013</v>
      </c>
      <c r="I35" s="34">
        <v>743.08617107430007</v>
      </c>
      <c r="J35" s="34">
        <v>844.77396531425006</v>
      </c>
      <c r="K35" s="34">
        <v>887.01266357996258</v>
      </c>
      <c r="L35" s="34">
        <f>L18</f>
        <v>959.72746094372246</v>
      </c>
      <c r="M35" s="56"/>
      <c r="N35" s="201" t="s">
        <v>878</v>
      </c>
    </row>
    <row r="36" spans="2:26">
      <c r="B36" s="5"/>
      <c r="C36" s="37" t="s">
        <v>879</v>
      </c>
      <c r="D36" s="34">
        <v>771.41544006933509</v>
      </c>
      <c r="E36" s="34">
        <v>862.77993704069968</v>
      </c>
      <c r="F36" s="34">
        <v>1101.4441115949658</v>
      </c>
      <c r="G36" s="34">
        <v>1332.4974813800213</v>
      </c>
      <c r="H36" s="34">
        <v>1366.9691154023703</v>
      </c>
      <c r="I36" s="34">
        <v>1475.1911174157999</v>
      </c>
      <c r="J36" s="34">
        <v>1323.8967321806085</v>
      </c>
      <c r="K36" s="34">
        <f>K34-K35</f>
        <v>1668.9477051908575</v>
      </c>
      <c r="L36" s="1123">
        <f>L34-L35</f>
        <v>1805.7633327196352</v>
      </c>
      <c r="M36" s="278"/>
      <c r="N36" s="201" t="s">
        <v>880</v>
      </c>
    </row>
    <row r="37" spans="2:26" ht="15.75" thickBot="1">
      <c r="B37" s="5"/>
      <c r="C37" s="36"/>
      <c r="D37" s="39"/>
      <c r="E37" s="39"/>
      <c r="F37" s="39"/>
      <c r="G37" s="39"/>
      <c r="H37" s="39"/>
      <c r="I37" s="39"/>
      <c r="J37" s="225"/>
      <c r="K37" s="225"/>
      <c r="L37" s="39"/>
      <c r="M37" s="509"/>
      <c r="N37" s="201"/>
    </row>
    <row r="38" spans="2:26" ht="33" customHeight="1" thickTop="1">
      <c r="B38" s="219"/>
      <c r="C38" s="216" t="s">
        <v>374</v>
      </c>
      <c r="D38" s="216"/>
      <c r="E38" s="216"/>
      <c r="F38" s="216"/>
      <c r="G38" s="216"/>
      <c r="H38" s="216"/>
      <c r="I38" s="216"/>
      <c r="J38" s="216"/>
      <c r="K38" s="216"/>
      <c r="L38" s="766"/>
      <c r="M38" s="772"/>
      <c r="N38" s="770" t="s">
        <v>881</v>
      </c>
      <c r="O38" s="764"/>
      <c r="P38" s="764"/>
      <c r="Q38" s="764"/>
      <c r="R38" s="764"/>
      <c r="S38" s="764"/>
      <c r="T38" s="764"/>
      <c r="U38" s="764"/>
      <c r="V38" s="764"/>
      <c r="W38" s="764"/>
      <c r="X38" s="764"/>
      <c r="Y38" s="764"/>
      <c r="Z38" s="764"/>
    </row>
    <row r="39" spans="2:26">
      <c r="B39" s="5"/>
      <c r="C39" s="104" t="s">
        <v>858</v>
      </c>
      <c r="D39" s="38"/>
      <c r="E39" s="38"/>
      <c r="F39" s="38"/>
      <c r="G39" s="38"/>
      <c r="H39" s="38"/>
      <c r="I39" s="38"/>
      <c r="J39" s="38"/>
      <c r="K39" s="38"/>
      <c r="L39" s="38"/>
      <c r="M39" s="522"/>
      <c r="N39" s="310" t="s">
        <v>859</v>
      </c>
    </row>
    <row r="40" spans="2:26">
      <c r="B40" s="5"/>
      <c r="C40" s="36" t="s">
        <v>860</v>
      </c>
      <c r="D40" s="34">
        <v>69.253812765183</v>
      </c>
      <c r="E40" s="34">
        <v>-312.98275008685903</v>
      </c>
      <c r="F40" s="34">
        <v>-419.75076476400102</v>
      </c>
      <c r="G40" s="34">
        <v>-19.908283120125002</v>
      </c>
      <c r="H40" s="34">
        <v>-87.104529257659109</v>
      </c>
      <c r="I40" s="34">
        <v>-579.84915948011599</v>
      </c>
      <c r="J40" s="34">
        <v>-1018.1142135536301</v>
      </c>
      <c r="K40" s="34">
        <v>-1417.2054196034601</v>
      </c>
      <c r="L40" s="773">
        <f>L7-L23</f>
        <v>-1608.7866768883355</v>
      </c>
      <c r="M40" s="278"/>
      <c r="N40" s="201" t="s">
        <v>882</v>
      </c>
    </row>
    <row r="41" spans="2:26">
      <c r="B41" s="6"/>
      <c r="C41" s="36" t="s">
        <v>862</v>
      </c>
      <c r="D41" s="34">
        <f t="shared" ref="D41:K41" si="5">D42+D43+D46+D47</f>
        <v>4204.4275171141871</v>
      </c>
      <c r="E41" s="34">
        <f t="shared" si="5"/>
        <v>5416.8569989336811</v>
      </c>
      <c r="F41" s="34">
        <f t="shared" si="5"/>
        <v>7131.9838119597262</v>
      </c>
      <c r="G41" s="34">
        <f t="shared" si="5"/>
        <v>7501.5206709349768</v>
      </c>
      <c r="H41" s="34">
        <f t="shared" si="5"/>
        <v>7598.1548592746285</v>
      </c>
      <c r="I41" s="34">
        <f t="shared" si="5"/>
        <v>8391.4596357511</v>
      </c>
      <c r="J41" s="34">
        <f t="shared" si="5"/>
        <v>9543.1159079432891</v>
      </c>
      <c r="K41" s="34">
        <f t="shared" si="5"/>
        <v>11088.662280539775</v>
      </c>
      <c r="L41" s="773">
        <f>L50+L51-L40</f>
        <v>12556.994927281794</v>
      </c>
      <c r="M41" s="278"/>
      <c r="N41" s="201" t="s">
        <v>883</v>
      </c>
    </row>
    <row r="42" spans="2:26">
      <c r="B42" s="6"/>
      <c r="C42" s="37" t="s">
        <v>884</v>
      </c>
      <c r="D42" s="34">
        <f t="shared" ref="D42:K42" si="6">D36</f>
        <v>771.41544006933509</v>
      </c>
      <c r="E42" s="34">
        <f t="shared" si="6"/>
        <v>862.77993704069968</v>
      </c>
      <c r="F42" s="34">
        <f t="shared" si="6"/>
        <v>1101.4441115949658</v>
      </c>
      <c r="G42" s="34">
        <f t="shared" si="6"/>
        <v>1332.4974813800213</v>
      </c>
      <c r="H42" s="34">
        <f t="shared" si="6"/>
        <v>1366.9691154023703</v>
      </c>
      <c r="I42" s="34">
        <f t="shared" si="6"/>
        <v>1475.1911174157999</v>
      </c>
      <c r="J42" s="34">
        <f t="shared" si="6"/>
        <v>1323.8967321806085</v>
      </c>
      <c r="K42" s="34">
        <f t="shared" si="6"/>
        <v>1668.9477051908575</v>
      </c>
      <c r="L42" s="34">
        <f>L36</f>
        <v>1805.7633327196352</v>
      </c>
      <c r="M42" s="56"/>
      <c r="N42" s="201" t="s">
        <v>885</v>
      </c>
    </row>
    <row r="43" spans="2:26">
      <c r="B43" s="5"/>
      <c r="C43" s="37" t="s">
        <v>839</v>
      </c>
      <c r="D43" s="34">
        <v>626.07203809135865</v>
      </c>
      <c r="E43" s="34">
        <v>425.37201911823519</v>
      </c>
      <c r="F43" s="34">
        <v>419.40300214233855</v>
      </c>
      <c r="G43" s="34">
        <v>706.90029407446116</v>
      </c>
      <c r="H43" s="34">
        <v>990.00374405729553</v>
      </c>
      <c r="I43" s="34">
        <v>1028.4050458762097</v>
      </c>
      <c r="J43" s="34">
        <v>1788.0236957394682</v>
      </c>
      <c r="K43" s="34">
        <v>2355.3840395767202</v>
      </c>
      <c r="L43" s="773">
        <f>L10-L25</f>
        <v>3270.8846372518201</v>
      </c>
      <c r="M43" s="278"/>
      <c r="N43" s="581" t="s">
        <v>886</v>
      </c>
    </row>
    <row r="44" spans="2:26">
      <c r="B44" s="5"/>
      <c r="C44" s="35" t="s">
        <v>841</v>
      </c>
      <c r="D44" s="34">
        <v>571.05652332916395</v>
      </c>
      <c r="E44" s="34">
        <v>371.510066800912</v>
      </c>
      <c r="F44" s="34">
        <v>356.66266430447405</v>
      </c>
      <c r="G44" s="34">
        <v>643.93363993414698</v>
      </c>
      <c r="H44" s="34">
        <v>905.87787014409207</v>
      </c>
      <c r="I44" s="34">
        <v>930.87874609550011</v>
      </c>
      <c r="J44" s="34">
        <v>1630.6971901358352</v>
      </c>
      <c r="K44" s="34">
        <v>2198.0575339730872</v>
      </c>
      <c r="L44" s="34">
        <f>L43-L45</f>
        <v>3113.5581316481871</v>
      </c>
      <c r="M44" s="56"/>
      <c r="N44" s="581" t="s">
        <v>887</v>
      </c>
    </row>
    <row r="45" spans="2:26">
      <c r="B45" s="5"/>
      <c r="C45" s="35" t="s">
        <v>843</v>
      </c>
      <c r="D45" s="34">
        <v>55.015514762194705</v>
      </c>
      <c r="E45" s="34">
        <v>53.861952317323201</v>
      </c>
      <c r="F45" s="34">
        <v>62.740337837864509</v>
      </c>
      <c r="G45" s="34">
        <v>62.966654140314205</v>
      </c>
      <c r="H45" s="34">
        <v>84.125873913203407</v>
      </c>
      <c r="I45" s="34">
        <v>97.526299780709508</v>
      </c>
      <c r="J45" s="34">
        <v>157.326505603633</v>
      </c>
      <c r="K45" s="34">
        <v>157.326505603633</v>
      </c>
      <c r="L45" s="34">
        <f>K45</f>
        <v>157.326505603633</v>
      </c>
      <c r="M45" s="56"/>
      <c r="N45" s="201" t="s">
        <v>888</v>
      </c>
    </row>
    <row r="46" spans="2:26">
      <c r="B46" s="5"/>
      <c r="C46" s="37" t="s">
        <v>889</v>
      </c>
      <c r="D46" s="34">
        <f t="shared" ref="D46:K46" si="7">D13-D29</f>
        <v>4464.041298305443</v>
      </c>
      <c r="E46" s="34">
        <f t="shared" si="7"/>
        <v>6146.5291143133309</v>
      </c>
      <c r="F46" s="34">
        <f t="shared" si="7"/>
        <v>8107.0734247880819</v>
      </c>
      <c r="G46" s="34">
        <f t="shared" si="7"/>
        <v>8537.2370485447445</v>
      </c>
      <c r="H46" s="34">
        <f t="shared" si="7"/>
        <v>8959.8890120089218</v>
      </c>
      <c r="I46" s="34">
        <f t="shared" si="7"/>
        <v>10070.824176996368</v>
      </c>
      <c r="J46" s="34">
        <f t="shared" si="7"/>
        <v>10881.079220435009</v>
      </c>
      <c r="K46" s="34">
        <f t="shared" si="7"/>
        <v>11625.254021080193</v>
      </c>
      <c r="L46" s="773">
        <f>L13-L29</f>
        <v>11967.561840465427</v>
      </c>
      <c r="M46" s="278"/>
      <c r="N46" s="201" t="s">
        <v>890</v>
      </c>
    </row>
    <row r="47" spans="2:26">
      <c r="B47" s="5"/>
      <c r="C47" s="37" t="s">
        <v>847</v>
      </c>
      <c r="D47" s="34">
        <f>D14-D31</f>
        <v>-1657.1012593519501</v>
      </c>
      <c r="E47" s="34">
        <f t="shared" ref="E47:K47" si="8">E14-E31</f>
        <v>-2017.8240715385841</v>
      </c>
      <c r="F47" s="34">
        <f t="shared" si="8"/>
        <v>-2495.9367265656601</v>
      </c>
      <c r="G47" s="34">
        <f t="shared" si="8"/>
        <v>-3075.1141530642508</v>
      </c>
      <c r="H47" s="34">
        <f t="shared" si="8"/>
        <v>-3718.7070121939587</v>
      </c>
      <c r="I47" s="34">
        <f t="shared" si="8"/>
        <v>-4182.9607045372777</v>
      </c>
      <c r="J47" s="34">
        <f t="shared" si="8"/>
        <v>-4449.8837404117967</v>
      </c>
      <c r="K47" s="34">
        <f t="shared" si="8"/>
        <v>-4560.923485307997</v>
      </c>
      <c r="L47" s="773">
        <f>L14-L31</f>
        <v>-4487.2148831550876</v>
      </c>
      <c r="M47" s="278"/>
      <c r="N47" s="201" t="s">
        <v>891</v>
      </c>
    </row>
    <row r="48" spans="2:26">
      <c r="B48" s="5"/>
      <c r="C48" s="220"/>
      <c r="D48" s="39"/>
      <c r="E48" s="39"/>
      <c r="F48" s="39"/>
      <c r="G48" s="39"/>
      <c r="H48" s="39"/>
      <c r="I48" s="39"/>
      <c r="J48" s="39"/>
      <c r="K48" s="34" t="s">
        <v>410</v>
      </c>
      <c r="L48" s="39"/>
      <c r="M48" s="509"/>
      <c r="N48" s="201"/>
    </row>
    <row r="49" spans="2:28">
      <c r="B49" s="5"/>
      <c r="C49" s="104" t="s">
        <v>875</v>
      </c>
      <c r="D49" s="39"/>
      <c r="E49" s="39"/>
      <c r="F49" s="39"/>
      <c r="G49" s="39"/>
      <c r="H49" s="39"/>
      <c r="I49" s="39"/>
      <c r="J49" s="39"/>
      <c r="K49" s="34"/>
      <c r="L49" s="39"/>
      <c r="M49" s="509"/>
      <c r="N49" s="201"/>
    </row>
    <row r="50" spans="2:28">
      <c r="B50" s="5"/>
      <c r="C50" s="36" t="s">
        <v>671</v>
      </c>
      <c r="D50" s="34">
        <v>4979.7274290017176</v>
      </c>
      <c r="E50" s="34">
        <v>5861.4209804658167</v>
      </c>
      <c r="F50" s="34">
        <v>7255.4944372643895</v>
      </c>
      <c r="G50" s="34">
        <v>8111.1078514297096</v>
      </c>
      <c r="H50" s="34">
        <v>8095.9240593900104</v>
      </c>
      <c r="I50" s="34">
        <v>8469.8645012230008</v>
      </c>
      <c r="J50" s="34">
        <v>9050.9280270526415</v>
      </c>
      <c r="K50" s="34">
        <v>8673.4739751331817</v>
      </c>
      <c r="L50" s="34">
        <f>L19</f>
        <v>9384.5009180814413</v>
      </c>
      <c r="M50" s="56"/>
      <c r="N50" s="581" t="s">
        <v>892</v>
      </c>
    </row>
    <row r="51" spans="2:28">
      <c r="B51" s="5"/>
      <c r="C51" s="36" t="s">
        <v>893</v>
      </c>
      <c r="D51" s="34">
        <f t="shared" ref="D51:K51" si="9">D41+D40-D50</f>
        <v>-706.04609912234719</v>
      </c>
      <c r="E51" s="34">
        <f t="shared" si="9"/>
        <v>-757.54673161899427</v>
      </c>
      <c r="F51" s="34">
        <f t="shared" si="9"/>
        <v>-543.2613900686647</v>
      </c>
      <c r="G51" s="34">
        <f t="shared" si="9"/>
        <v>-629.49546361485773</v>
      </c>
      <c r="H51" s="34">
        <f t="shared" si="9"/>
        <v>-584.87372937304099</v>
      </c>
      <c r="I51" s="34">
        <f t="shared" si="9"/>
        <v>-658.25402495201706</v>
      </c>
      <c r="J51" s="34">
        <f t="shared" si="9"/>
        <v>-525.92633266298253</v>
      </c>
      <c r="K51" s="34">
        <f t="shared" si="9"/>
        <v>997.98288580313238</v>
      </c>
      <c r="L51" s="34">
        <f>L28</f>
        <v>1563.7073323120167</v>
      </c>
      <c r="M51" s="56"/>
      <c r="N51" s="581" t="s">
        <v>894</v>
      </c>
    </row>
    <row r="52" spans="2:28" ht="15.75" thickBot="1">
      <c r="B52" s="10"/>
      <c r="C52" s="17"/>
      <c r="D52" s="11"/>
      <c r="E52" s="11"/>
      <c r="F52" s="11"/>
      <c r="G52" s="11"/>
      <c r="H52" s="11"/>
      <c r="I52" s="11"/>
      <c r="J52" s="11"/>
      <c r="K52" s="11"/>
      <c r="L52" s="11"/>
      <c r="M52" s="12"/>
      <c r="AA52" s="250"/>
    </row>
    <row r="53" spans="2:28">
      <c r="AA53" s="250"/>
    </row>
    <row r="54" spans="2:28">
      <c r="D54" s="765"/>
      <c r="E54" s="765"/>
      <c r="F54" s="765"/>
      <c r="G54" s="765"/>
      <c r="H54" s="765"/>
      <c r="I54" s="765"/>
      <c r="J54" s="765"/>
      <c r="K54" s="765"/>
      <c r="L54" s="765"/>
      <c r="M54" s="765"/>
      <c r="Z54" s="250"/>
    </row>
    <row r="55" spans="2:28">
      <c r="Z55" s="250"/>
    </row>
    <row r="56" spans="2:28">
      <c r="D56" s="765"/>
      <c r="E56" s="765"/>
      <c r="F56" s="765"/>
      <c r="G56" s="765"/>
      <c r="H56" s="765"/>
      <c r="I56" s="765"/>
      <c r="J56" s="765"/>
      <c r="K56" s="765"/>
      <c r="L56" s="765"/>
      <c r="M56" s="765"/>
      <c r="Z56" s="250"/>
    </row>
    <row r="57" spans="2:28">
      <c r="D57" s="765"/>
      <c r="E57" s="765"/>
      <c r="F57" s="765"/>
      <c r="G57" s="765"/>
      <c r="H57" s="765"/>
      <c r="I57" s="765"/>
      <c r="J57" s="765"/>
      <c r="K57" s="765"/>
      <c r="L57" s="765"/>
      <c r="M57" s="765"/>
      <c r="Z57" s="250"/>
    </row>
    <row r="58" spans="2:28">
      <c r="Z58" s="250"/>
    </row>
    <row r="59" spans="2:28">
      <c r="AA59" s="250"/>
    </row>
    <row r="60" spans="2:28">
      <c r="AA60" s="250"/>
    </row>
    <row r="61" spans="2:28">
      <c r="D61" s="765"/>
      <c r="E61" s="765"/>
      <c r="F61" s="765"/>
      <c r="G61" s="765"/>
      <c r="H61" s="765"/>
      <c r="I61" s="765"/>
      <c r="J61" s="765"/>
      <c r="K61" s="765"/>
      <c r="L61" s="765"/>
      <c r="M61" s="765"/>
      <c r="AA61" s="250"/>
    </row>
    <row r="62" spans="2:28">
      <c r="D62" s="765"/>
      <c r="E62" s="765"/>
      <c r="F62" s="765"/>
      <c r="G62" s="765"/>
      <c r="H62" s="765"/>
      <c r="I62" s="765"/>
      <c r="J62" s="765"/>
      <c r="K62" s="765"/>
      <c r="L62" s="765"/>
      <c r="M62" s="765"/>
      <c r="AA62" s="250"/>
    </row>
    <row r="63" spans="2:28">
      <c r="AB63" s="250"/>
    </row>
    <row r="64" spans="2:28">
      <c r="AB64" s="250"/>
    </row>
    <row r="65" spans="4:29">
      <c r="D65" s="765"/>
      <c r="E65" s="765"/>
      <c r="F65" s="765"/>
      <c r="G65" s="765"/>
      <c r="H65" s="765"/>
      <c r="I65" s="765"/>
      <c r="J65" s="765"/>
      <c r="K65" s="765"/>
      <c r="L65" s="765"/>
      <c r="M65" s="765"/>
      <c r="AB65" s="250"/>
    </row>
    <row r="66" spans="4:29">
      <c r="D66" s="765"/>
      <c r="E66" s="765"/>
      <c r="F66" s="765"/>
      <c r="G66" s="765"/>
      <c r="H66" s="765"/>
      <c r="I66" s="765"/>
      <c r="J66" s="765"/>
      <c r="K66" s="765"/>
      <c r="L66" s="765"/>
      <c r="M66" s="765"/>
      <c r="AB66" s="250"/>
    </row>
    <row r="67" spans="4:29">
      <c r="D67" s="765"/>
      <c r="E67" s="765"/>
      <c r="F67" s="765"/>
      <c r="G67" s="765"/>
      <c r="H67" s="765"/>
      <c r="I67" s="765"/>
      <c r="J67" s="765"/>
      <c r="K67" s="765"/>
      <c r="L67" s="765"/>
      <c r="M67" s="765"/>
      <c r="AB67" s="250"/>
    </row>
    <row r="68" spans="4:29">
      <c r="AB68" s="250"/>
    </row>
    <row r="69" spans="4:29">
      <c r="AB69" s="250"/>
    </row>
    <row r="70" spans="4:29">
      <c r="D70" s="765"/>
      <c r="E70" s="765"/>
      <c r="F70" s="765"/>
      <c r="G70" s="765"/>
      <c r="H70" s="765"/>
      <c r="I70" s="765"/>
      <c r="J70" s="765"/>
      <c r="K70" s="765"/>
      <c r="L70" s="765"/>
      <c r="M70" s="765"/>
      <c r="AB70" s="250"/>
    </row>
    <row r="71" spans="4:29">
      <c r="D71" s="765"/>
      <c r="E71" s="765"/>
      <c r="F71" s="765"/>
      <c r="G71" s="765"/>
      <c r="H71" s="765"/>
      <c r="I71" s="765"/>
      <c r="J71" s="765"/>
      <c r="K71" s="765"/>
      <c r="L71" s="765"/>
      <c r="M71" s="765"/>
      <c r="AB71" s="250"/>
    </row>
    <row r="72" spans="4:29">
      <c r="AB72" s="250"/>
    </row>
    <row r="73" spans="4:29">
      <c r="AC73" s="250"/>
    </row>
    <row r="74" spans="4:29">
      <c r="AC74" s="250"/>
    </row>
    <row r="75" spans="4:29">
      <c r="AC75" s="250"/>
    </row>
    <row r="76" spans="4:29">
      <c r="AC76" s="250"/>
    </row>
    <row r="77" spans="4:29">
      <c r="AC77" s="250"/>
    </row>
    <row r="78" spans="4:29">
      <c r="AC78" s="250"/>
    </row>
    <row r="79" spans="4:29">
      <c r="AC79" s="250"/>
    </row>
    <row r="80" spans="4:29">
      <c r="AC80" s="250"/>
    </row>
    <row r="81" spans="29:30">
      <c r="AC81" s="250"/>
    </row>
    <row r="82" spans="29:30">
      <c r="AC82" s="250"/>
    </row>
    <row r="83" spans="29:30">
      <c r="AC83" s="250"/>
    </row>
    <row r="84" spans="29:30">
      <c r="AC84" s="250"/>
    </row>
    <row r="85" spans="29:30">
      <c r="AC85" s="250"/>
    </row>
    <row r="86" spans="29:30">
      <c r="AD86" s="250"/>
    </row>
    <row r="87" spans="29:30">
      <c r="AD87" s="250"/>
    </row>
    <row r="88" spans="29:30">
      <c r="AD88" s="250"/>
    </row>
    <row r="89" spans="29:30">
      <c r="AD89" s="250"/>
    </row>
    <row r="90" spans="29:30">
      <c r="AD90" s="250"/>
    </row>
    <row r="91" spans="29:30">
      <c r="AD91" s="250"/>
    </row>
    <row r="92" spans="29:30">
      <c r="AD92" s="250"/>
    </row>
    <row r="93" spans="29:30">
      <c r="AD93" s="250"/>
    </row>
    <row r="94" spans="29:30">
      <c r="AD94" s="250"/>
    </row>
    <row r="95" spans="29:30">
      <c r="AD95" s="250"/>
    </row>
    <row r="96" spans="29:30">
      <c r="AD96" s="250"/>
    </row>
    <row r="97" spans="30:32">
      <c r="AD97" s="250"/>
    </row>
    <row r="98" spans="30:32">
      <c r="AD98" s="250"/>
    </row>
    <row r="99" spans="30:32">
      <c r="AE99" s="250"/>
    </row>
    <row r="100" spans="30:32">
      <c r="AE100" s="250"/>
    </row>
    <row r="101" spans="30:32">
      <c r="AE101" s="250"/>
    </row>
    <row r="102" spans="30:32">
      <c r="AE102" s="250"/>
    </row>
    <row r="103" spans="30:32">
      <c r="AE103" s="250"/>
    </row>
    <row r="104" spans="30:32">
      <c r="AE104" s="250"/>
    </row>
    <row r="105" spans="30:32">
      <c r="AE105" s="250"/>
    </row>
    <row r="106" spans="30:32">
      <c r="AE106" s="250"/>
    </row>
    <row r="107" spans="30:32">
      <c r="AE107" s="250"/>
    </row>
    <row r="108" spans="30:32">
      <c r="AE108" s="250"/>
    </row>
    <row r="109" spans="30:32">
      <c r="AE109" s="250"/>
    </row>
    <row r="110" spans="30:32">
      <c r="AE110" s="250"/>
    </row>
    <row r="111" spans="30:32">
      <c r="AE111" s="250"/>
    </row>
    <row r="112" spans="30:32">
      <c r="AF112" s="250"/>
    </row>
    <row r="113" spans="32:33">
      <c r="AF113" s="250"/>
    </row>
    <row r="114" spans="32:33">
      <c r="AF114" s="250"/>
    </row>
    <row r="115" spans="32:33">
      <c r="AF115" s="250"/>
    </row>
    <row r="116" spans="32:33">
      <c r="AF116" s="250"/>
    </row>
    <row r="117" spans="32:33">
      <c r="AF117" s="250"/>
    </row>
    <row r="118" spans="32:33">
      <c r="AF118" s="250"/>
    </row>
    <row r="119" spans="32:33">
      <c r="AF119" s="250"/>
    </row>
    <row r="120" spans="32:33">
      <c r="AF120" s="250"/>
    </row>
    <row r="121" spans="32:33">
      <c r="AF121" s="250"/>
    </row>
    <row r="122" spans="32:33">
      <c r="AF122" s="250"/>
    </row>
    <row r="123" spans="32:33">
      <c r="AF123" s="250"/>
    </row>
    <row r="124" spans="32:33">
      <c r="AF124" s="250"/>
    </row>
    <row r="125" spans="32:33">
      <c r="AG125" s="250"/>
    </row>
    <row r="126" spans="32:33">
      <c r="AG126" s="250"/>
    </row>
    <row r="127" spans="32:33">
      <c r="AG127" s="250"/>
    </row>
    <row r="128" spans="32:33">
      <c r="AG128" s="250"/>
    </row>
    <row r="129" spans="33:34">
      <c r="AG129" s="250"/>
    </row>
    <row r="130" spans="33:34">
      <c r="AG130" s="250"/>
    </row>
    <row r="131" spans="33:34">
      <c r="AG131" s="250"/>
    </row>
    <row r="132" spans="33:34">
      <c r="AG132" s="250"/>
    </row>
    <row r="133" spans="33:34">
      <c r="AG133" s="250"/>
    </row>
    <row r="134" spans="33:34">
      <c r="AG134" s="250"/>
    </row>
    <row r="135" spans="33:34">
      <c r="AG135" s="250"/>
    </row>
    <row r="136" spans="33:34">
      <c r="AG136" s="250"/>
    </row>
    <row r="137" spans="33:34">
      <c r="AG137" s="250"/>
    </row>
    <row r="138" spans="33:34">
      <c r="AH138" s="250"/>
    </row>
    <row r="139" spans="33:34">
      <c r="AH139" s="250"/>
    </row>
    <row r="140" spans="33:34">
      <c r="AH140" s="250"/>
    </row>
    <row r="141" spans="33:34">
      <c r="AH141" s="250"/>
    </row>
    <row r="142" spans="33:34">
      <c r="AH142" s="250"/>
    </row>
    <row r="143" spans="33:34">
      <c r="AH143" s="250"/>
    </row>
    <row r="144" spans="33:34">
      <c r="AH144" s="250"/>
    </row>
    <row r="145" spans="34:35">
      <c r="AH145" s="250"/>
    </row>
    <row r="146" spans="34:35">
      <c r="AH146" s="250"/>
    </row>
    <row r="147" spans="34:35">
      <c r="AH147" s="250"/>
    </row>
    <row r="148" spans="34:35">
      <c r="AH148" s="250"/>
    </row>
    <row r="149" spans="34:35">
      <c r="AH149" s="250"/>
    </row>
    <row r="150" spans="34:35">
      <c r="AH150" s="250"/>
    </row>
    <row r="151" spans="34:35">
      <c r="AI151" s="250"/>
    </row>
    <row r="152" spans="34:35">
      <c r="AI152" s="250"/>
    </row>
    <row r="153" spans="34:35">
      <c r="AI153" s="250"/>
    </row>
    <row r="154" spans="34:35">
      <c r="AI154" s="250"/>
    </row>
    <row r="155" spans="34:35">
      <c r="AI155" s="250"/>
    </row>
    <row r="156" spans="34:35">
      <c r="AI156" s="250"/>
    </row>
    <row r="157" spans="34:35">
      <c r="AI157" s="250"/>
    </row>
    <row r="158" spans="34:35">
      <c r="AI158" s="250"/>
    </row>
    <row r="159" spans="34:35">
      <c r="AI159" s="250"/>
    </row>
    <row r="160" spans="34:35">
      <c r="AI160" s="250"/>
    </row>
    <row r="161" spans="35:36">
      <c r="AI161" s="250"/>
    </row>
    <row r="162" spans="35:36">
      <c r="AI162" s="250"/>
    </row>
    <row r="163" spans="35:36">
      <c r="AI163" s="250"/>
    </row>
    <row r="164" spans="35:36">
      <c r="AJ164" s="250"/>
    </row>
    <row r="165" spans="35:36">
      <c r="AJ165" s="250"/>
    </row>
    <row r="166" spans="35:36">
      <c r="AJ166" s="250"/>
    </row>
    <row r="167" spans="35:36">
      <c r="AJ167" s="250"/>
    </row>
    <row r="168" spans="35:36">
      <c r="AJ168" s="250"/>
    </row>
    <row r="169" spans="35:36">
      <c r="AJ169" s="250"/>
    </row>
    <row r="170" spans="35:36">
      <c r="AJ170" s="250"/>
    </row>
    <row r="171" spans="35:36">
      <c r="AJ171" s="250"/>
    </row>
    <row r="172" spans="35:36">
      <c r="AJ172" s="250"/>
    </row>
    <row r="173" spans="35:36">
      <c r="AJ173" s="250"/>
    </row>
    <row r="174" spans="35:36">
      <c r="AJ174" s="250"/>
    </row>
    <row r="175" spans="35:36">
      <c r="AJ175" s="250"/>
    </row>
    <row r="176" spans="35:36">
      <c r="AJ176" s="250"/>
    </row>
    <row r="177" spans="37:38">
      <c r="AK177" s="250"/>
    </row>
    <row r="178" spans="37:38">
      <c r="AK178" s="250"/>
    </row>
    <row r="179" spans="37:38">
      <c r="AK179" s="250"/>
    </row>
    <row r="180" spans="37:38">
      <c r="AK180" s="250"/>
    </row>
    <row r="181" spans="37:38">
      <c r="AK181" s="250"/>
    </row>
    <row r="182" spans="37:38">
      <c r="AK182" s="250"/>
    </row>
    <row r="183" spans="37:38">
      <c r="AK183" s="250"/>
    </row>
    <row r="184" spans="37:38">
      <c r="AK184" s="250"/>
    </row>
    <row r="185" spans="37:38">
      <c r="AK185" s="250"/>
    </row>
    <row r="186" spans="37:38">
      <c r="AK186" s="250"/>
    </row>
    <row r="187" spans="37:38">
      <c r="AK187" s="250"/>
    </row>
    <row r="188" spans="37:38">
      <c r="AK188" s="250"/>
    </row>
    <row r="189" spans="37:38">
      <c r="AK189" s="250"/>
    </row>
    <row r="190" spans="37:38">
      <c r="AL190" s="250"/>
    </row>
    <row r="191" spans="37:38">
      <c r="AL191" s="250"/>
    </row>
    <row r="192" spans="37:38">
      <c r="AL192" s="250"/>
    </row>
    <row r="193" spans="38:39">
      <c r="AL193" s="250"/>
    </row>
    <row r="194" spans="38:39">
      <c r="AL194" s="250"/>
    </row>
    <row r="195" spans="38:39">
      <c r="AL195" s="250"/>
    </row>
    <row r="196" spans="38:39">
      <c r="AL196" s="250"/>
    </row>
    <row r="197" spans="38:39">
      <c r="AL197" s="250"/>
    </row>
    <row r="198" spans="38:39">
      <c r="AL198" s="250"/>
    </row>
    <row r="199" spans="38:39">
      <c r="AL199" s="250"/>
    </row>
    <row r="200" spans="38:39">
      <c r="AL200" s="250"/>
    </row>
    <row r="201" spans="38:39">
      <c r="AL201" s="250"/>
    </row>
    <row r="202" spans="38:39">
      <c r="AL202" s="250"/>
    </row>
    <row r="203" spans="38:39">
      <c r="AM203" s="250"/>
    </row>
    <row r="204" spans="38:39">
      <c r="AM204" s="250"/>
    </row>
    <row r="205" spans="38:39">
      <c r="AM205" s="250"/>
    </row>
    <row r="206" spans="38:39">
      <c r="AM206" s="250"/>
    </row>
    <row r="207" spans="38:39">
      <c r="AM207" s="250"/>
    </row>
    <row r="208" spans="38:39">
      <c r="AM208" s="250"/>
    </row>
    <row r="209" spans="39:39">
      <c r="AM209" s="250"/>
    </row>
    <row r="210" spans="39:39">
      <c r="AM210" s="250"/>
    </row>
    <row r="211" spans="39:39">
      <c r="AM211" s="250"/>
    </row>
    <row r="212" spans="39:39">
      <c r="AM212" s="250"/>
    </row>
    <row r="213" spans="39:39">
      <c r="AM213" s="250"/>
    </row>
    <row r="214" spans="39:39">
      <c r="AM214" s="250"/>
    </row>
    <row r="215" spans="39:39">
      <c r="AM215" s="250"/>
    </row>
  </sheetData>
  <pageMargins left="0.7" right="0.7" top="0.75" bottom="0.75" header="0.3" footer="0.3"/>
  <pageSetup scale="68"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499984740745262"/>
    <pageSetUpPr fitToPage="1"/>
  </sheetPr>
  <dimension ref="B1:AE24"/>
  <sheetViews>
    <sheetView topLeftCell="B1" workbookViewId="0">
      <selection activeCell="L7" sqref="L7"/>
    </sheetView>
  </sheetViews>
  <sheetFormatPr baseColWidth="10" defaultColWidth="9.42578125" defaultRowHeight="15"/>
  <cols>
    <col min="1" max="1" width="5.42578125" style="781" customWidth="1"/>
    <col min="2" max="2" width="5" style="781" customWidth="1"/>
    <col min="3" max="3" width="61.7109375" style="781" customWidth="1"/>
    <col min="4" max="4" width="15.85546875" style="781" customWidth="1"/>
    <col min="5" max="5" width="10.5703125" style="781" customWidth="1"/>
    <col min="6" max="6" width="10.42578125" style="781" customWidth="1"/>
    <col min="7" max="7" width="9.5703125" style="781" customWidth="1"/>
    <col min="8" max="8" width="10.42578125" style="781" customWidth="1"/>
    <col min="9" max="9" width="11.28515625" style="781" customWidth="1"/>
    <col min="10" max="10" width="14.85546875" style="781" customWidth="1"/>
    <col min="11" max="11" width="12.7109375" style="781" customWidth="1"/>
    <col min="12" max="12" width="11.5703125" style="781" customWidth="1"/>
    <col min="13" max="13" width="5" style="781" customWidth="1"/>
    <col min="14" max="14" width="10.5703125" style="784" bestFit="1" customWidth="1"/>
    <col min="15" max="15" width="8.5703125" style="785" customWidth="1"/>
    <col min="16" max="18" width="9.42578125" style="781"/>
    <col min="19" max="19" width="3" style="781" customWidth="1"/>
    <col min="20" max="16384" width="9.42578125" style="781"/>
  </cols>
  <sheetData>
    <row r="1" spans="2:31" ht="18.75" customHeight="1" thickBot="1">
      <c r="AC1" s="786"/>
      <c r="AE1" s="787"/>
    </row>
    <row r="2" spans="2:31" s="794" customFormat="1" ht="35.1" customHeight="1">
      <c r="B2" s="788"/>
      <c r="C2" s="789" t="s">
        <v>895</v>
      </c>
      <c r="D2" s="789"/>
      <c r="E2" s="789"/>
      <c r="F2" s="790"/>
      <c r="G2" s="790"/>
      <c r="H2" s="790"/>
      <c r="I2" s="790"/>
      <c r="J2" s="790"/>
      <c r="K2" s="790"/>
      <c r="L2" s="790"/>
      <c r="M2" s="791"/>
      <c r="N2" s="792"/>
      <c r="O2" s="793"/>
    </row>
    <row r="3" spans="2:31" s="802" customFormat="1" ht="35.1" customHeight="1">
      <c r="B3" s="795"/>
      <c r="C3" s="796"/>
      <c r="D3" s="797">
        <v>2006</v>
      </c>
      <c r="E3" s="797">
        <f t="shared" ref="E3:J3" si="0">1+D3</f>
        <v>2007</v>
      </c>
      <c r="F3" s="797">
        <f t="shared" si="0"/>
        <v>2008</v>
      </c>
      <c r="G3" s="797">
        <f t="shared" si="0"/>
        <v>2009</v>
      </c>
      <c r="H3" s="797">
        <f t="shared" si="0"/>
        <v>2010</v>
      </c>
      <c r="I3" s="797">
        <f t="shared" si="0"/>
        <v>2011</v>
      </c>
      <c r="J3" s="797">
        <f t="shared" si="0"/>
        <v>2012</v>
      </c>
      <c r="K3" s="798">
        <v>2013</v>
      </c>
      <c r="L3" s="799" t="s">
        <v>896</v>
      </c>
      <c r="M3" s="800"/>
      <c r="N3" s="801" t="s">
        <v>427</v>
      </c>
      <c r="R3" s="803"/>
    </row>
    <row r="4" spans="2:31" s="802" customFormat="1" ht="8.1" customHeight="1">
      <c r="B4" s="795"/>
      <c r="C4" s="796"/>
      <c r="D4" s="796"/>
      <c r="E4" s="796"/>
      <c r="F4" s="796"/>
      <c r="G4" s="796"/>
      <c r="H4" s="796"/>
      <c r="I4" s="796"/>
      <c r="J4" s="796"/>
      <c r="K4" s="796"/>
      <c r="L4" s="796"/>
      <c r="M4" s="804"/>
      <c r="N4" s="805"/>
      <c r="R4" s="803"/>
    </row>
    <row r="5" spans="2:31">
      <c r="B5" s="774"/>
      <c r="C5" s="806" t="s">
        <v>225</v>
      </c>
      <c r="D5" s="806"/>
      <c r="E5" s="806"/>
      <c r="F5" s="807"/>
      <c r="G5" s="806"/>
      <c r="H5" s="806"/>
      <c r="I5" s="806"/>
      <c r="J5" s="808"/>
      <c r="K5" s="808"/>
      <c r="L5" s="808"/>
      <c r="M5" s="809"/>
      <c r="N5" s="810"/>
      <c r="O5" s="811"/>
      <c r="P5" s="811"/>
    </row>
    <row r="6" spans="2:31" ht="18" customHeight="1">
      <c r="B6" s="774"/>
      <c r="C6" s="501"/>
      <c r="D6" s="501"/>
      <c r="E6" s="501"/>
      <c r="F6" s="501"/>
      <c r="G6" s="501"/>
      <c r="H6" s="812"/>
      <c r="I6" s="501"/>
      <c r="J6" s="813"/>
      <c r="K6" s="813"/>
      <c r="L6" s="813"/>
      <c r="M6" s="814"/>
      <c r="N6" s="810"/>
      <c r="O6" s="811"/>
      <c r="P6" s="811"/>
    </row>
    <row r="7" spans="2:31">
      <c r="B7" s="774"/>
      <c r="C7" s="501" t="s">
        <v>897</v>
      </c>
      <c r="D7" s="500">
        <f>MON_PSD!D17</f>
        <v>6222.0821585733402</v>
      </c>
      <c r="E7" s="500">
        <f>MON_PSD!E17</f>
        <v>7495.512678755912</v>
      </c>
      <c r="F7" s="500">
        <f>MON_PSD!F17</f>
        <v>8799.8494445103861</v>
      </c>
      <c r="G7" s="500">
        <f>MON_PSD!G17</f>
        <v>9506.7643985704053</v>
      </c>
      <c r="H7" s="500">
        <f>MON_PSD!H17</f>
        <v>9582.3437941461598</v>
      </c>
      <c r="I7" s="500">
        <f>MON_PSD!I17</f>
        <v>10283.775182903284</v>
      </c>
      <c r="J7" s="500">
        <f>MON_PSD!J17</f>
        <v>11219.598724547501</v>
      </c>
      <c r="K7" s="500">
        <f>MON_PSD!K17</f>
        <v>12229.434343904</v>
      </c>
      <c r="L7" s="884">
        <f>DD!E33/1000</f>
        <v>13231.968892397759</v>
      </c>
      <c r="M7" s="775"/>
      <c r="N7" s="815" t="s">
        <v>898</v>
      </c>
      <c r="O7" s="816"/>
      <c r="P7" s="816"/>
    </row>
    <row r="8" spans="2:31" ht="8.1" customHeight="1">
      <c r="B8" s="774"/>
      <c r="C8" s="501"/>
      <c r="D8" s="501"/>
      <c r="E8" s="501"/>
      <c r="F8" s="502"/>
      <c r="G8" s="502"/>
      <c r="H8" s="502"/>
      <c r="I8" s="502"/>
      <c r="J8" s="502"/>
      <c r="K8" s="502"/>
      <c r="L8" s="503"/>
      <c r="M8" s="776"/>
      <c r="N8" s="815"/>
      <c r="O8" s="816"/>
      <c r="P8" s="816"/>
    </row>
    <row r="9" spans="2:31">
      <c r="B9" s="774"/>
      <c r="C9" s="501" t="s">
        <v>899</v>
      </c>
      <c r="D9" s="500">
        <f>D7</f>
        <v>6222.0821585733402</v>
      </c>
      <c r="E9" s="502">
        <f t="shared" ref="E9:K9" si="1">AVERAGE(D7:E7)</f>
        <v>6858.7974186646261</v>
      </c>
      <c r="F9" s="502">
        <f t="shared" si="1"/>
        <v>8147.6810616331495</v>
      </c>
      <c r="G9" s="502">
        <f t="shared" si="1"/>
        <v>9153.3069215403957</v>
      </c>
      <c r="H9" s="502">
        <f t="shared" si="1"/>
        <v>9544.5540963582825</v>
      </c>
      <c r="I9" s="502">
        <f t="shared" si="1"/>
        <v>9933.0594885247228</v>
      </c>
      <c r="J9" s="502">
        <f t="shared" si="1"/>
        <v>10751.686953725392</v>
      </c>
      <c r="K9" s="502">
        <f t="shared" si="1"/>
        <v>11724.51653422575</v>
      </c>
      <c r="L9" s="503">
        <f>AVERAGE(K7:L7)</f>
        <v>12730.701618150881</v>
      </c>
      <c r="M9" s="776"/>
      <c r="N9" s="815" t="s">
        <v>900</v>
      </c>
      <c r="O9" s="816"/>
      <c r="P9" s="816"/>
    </row>
    <row r="10" spans="2:31" ht="8.1" customHeight="1">
      <c r="B10" s="774"/>
      <c r="C10" s="501"/>
      <c r="D10" s="501"/>
      <c r="E10" s="501"/>
      <c r="F10" s="503"/>
      <c r="G10" s="502"/>
      <c r="H10" s="502"/>
      <c r="I10" s="502"/>
      <c r="J10" s="502"/>
      <c r="K10" s="502"/>
      <c r="L10" s="503"/>
      <c r="M10" s="776"/>
      <c r="N10" s="815"/>
      <c r="O10" s="816"/>
      <c r="P10" s="816"/>
    </row>
    <row r="11" spans="2:31">
      <c r="B11" s="774"/>
      <c r="C11" s="501" t="s">
        <v>717</v>
      </c>
      <c r="D11" s="503">
        <f>PIB_Nominal!D6</f>
        <v>10964.620135876014</v>
      </c>
      <c r="E11" s="503">
        <f>PIB_Nominal!E6</f>
        <v>12956.322039467186</v>
      </c>
      <c r="F11" s="503">
        <f>PIB_Nominal!F6</f>
        <v>14737.185928738949</v>
      </c>
      <c r="G11" s="503">
        <f>PIB_Nominal!G6</f>
        <v>15747.009032492888</v>
      </c>
      <c r="H11" s="503">
        <f>PIB_Nominal!H6</f>
        <v>17629.077878645952</v>
      </c>
      <c r="I11" s="503">
        <f>PIB_Nominal!I6</f>
        <v>19427.849144138439</v>
      </c>
      <c r="J11" s="503">
        <f>PIB_Nominal!J6</f>
        <v>21157.293165921488</v>
      </c>
      <c r="K11" s="503">
        <f>PIB_Nominal!K6</f>
        <v>23646.185911788263</v>
      </c>
      <c r="L11" s="503">
        <f>PIB_Nominal!L6</f>
        <v>26705.762973114495</v>
      </c>
      <c r="M11" s="777"/>
      <c r="N11" s="815" t="s">
        <v>901</v>
      </c>
      <c r="O11" s="816"/>
      <c r="P11" s="816"/>
    </row>
    <row r="12" spans="2:31" ht="8.1" customHeight="1">
      <c r="B12" s="774"/>
      <c r="C12" s="501"/>
      <c r="D12" s="501"/>
      <c r="E12" s="501"/>
      <c r="F12" s="502"/>
      <c r="G12" s="502"/>
      <c r="H12" s="502"/>
      <c r="I12" s="502"/>
      <c r="J12" s="502"/>
      <c r="K12" s="502"/>
      <c r="L12" s="503"/>
      <c r="M12" s="776"/>
      <c r="N12" s="817"/>
      <c r="O12" s="811"/>
      <c r="P12" s="811"/>
    </row>
    <row r="13" spans="2:31">
      <c r="B13" s="774"/>
      <c r="C13" s="501" t="s">
        <v>902</v>
      </c>
      <c r="D13" s="503">
        <f t="shared" ref="D13:I13" si="2">D11/D9</f>
        <v>1.7622107610340665</v>
      </c>
      <c r="E13" s="503">
        <f t="shared" si="2"/>
        <v>1.8890078316367183</v>
      </c>
      <c r="F13" s="503">
        <f t="shared" si="2"/>
        <v>1.8087583224305759</v>
      </c>
      <c r="G13" s="503">
        <f t="shared" si="2"/>
        <v>1.7203628336154217</v>
      </c>
      <c r="H13" s="503">
        <f t="shared" si="2"/>
        <v>1.8470300132064119</v>
      </c>
      <c r="I13" s="503">
        <f t="shared" si="2"/>
        <v>1.9558776595048764</v>
      </c>
      <c r="J13" s="503">
        <f>J11/J9</f>
        <v>1.9678114938596329</v>
      </c>
      <c r="K13" s="503">
        <f>K11/K9</f>
        <v>2.0168154347994856</v>
      </c>
      <c r="L13" s="1121">
        <f>L11/L9</f>
        <v>2.097744788475647</v>
      </c>
      <c r="M13" s="782"/>
      <c r="N13" s="818"/>
      <c r="O13" s="811"/>
      <c r="P13" s="811"/>
    </row>
    <row r="14" spans="2:31" ht="15.75" thickBot="1">
      <c r="B14" s="778"/>
      <c r="C14" s="783"/>
      <c r="D14" s="779"/>
      <c r="E14" s="779"/>
      <c r="F14" s="779"/>
      <c r="G14" s="779"/>
      <c r="H14" s="779"/>
      <c r="I14" s="779"/>
      <c r="J14" s="779"/>
      <c r="K14" s="779"/>
      <c r="L14" s="779"/>
      <c r="M14" s="780"/>
      <c r="N14" s="818"/>
      <c r="O14" s="811"/>
      <c r="P14" s="811"/>
    </row>
    <row r="15" spans="2:31">
      <c r="E15" s="819"/>
      <c r="F15" s="819"/>
      <c r="G15" s="819"/>
      <c r="H15" s="819"/>
      <c r="I15" s="819"/>
    </row>
    <row r="16" spans="2:31">
      <c r="E16" s="819"/>
      <c r="F16" s="819"/>
      <c r="G16" s="819"/>
      <c r="H16" s="819"/>
      <c r="I16" s="819"/>
    </row>
    <row r="17" spans="6:8">
      <c r="F17" s="810"/>
      <c r="G17" s="810"/>
      <c r="H17" s="810"/>
    </row>
    <row r="18" spans="6:8">
      <c r="F18" s="810"/>
    </row>
    <row r="20" spans="6:8">
      <c r="F20" s="820"/>
      <c r="G20" s="820"/>
      <c r="H20" s="820"/>
    </row>
    <row r="22" spans="6:8">
      <c r="F22" s="810"/>
      <c r="G22" s="810"/>
    </row>
    <row r="23" spans="6:8">
      <c r="G23" s="810"/>
    </row>
    <row r="24" spans="6:8">
      <c r="F24" s="810"/>
      <c r="G24" s="810"/>
      <c r="H24" s="810"/>
    </row>
  </sheetData>
  <pageMargins left="0.75" right="0.75" top="1" bottom="1" header="0.5" footer="0.5"/>
  <pageSetup scale="57" orientation="landscape"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tint="-0.499984740745262"/>
  </sheetPr>
  <dimension ref="B1:AI70"/>
  <sheetViews>
    <sheetView workbookViewId="0">
      <selection activeCell="N16" sqref="N16"/>
    </sheetView>
  </sheetViews>
  <sheetFormatPr baseColWidth="10" defaultColWidth="9.42578125" defaultRowHeight="15" outlineLevelRow="1"/>
  <cols>
    <col min="1" max="1" width="9.42578125" style="2"/>
    <col min="2" max="2" width="9.5703125" style="2" bestFit="1" customWidth="1"/>
    <col min="3" max="3" width="12.42578125" style="2" bestFit="1" customWidth="1"/>
    <col min="4" max="4" width="12" style="2" customWidth="1"/>
    <col min="5" max="5" width="15" style="2" customWidth="1"/>
    <col min="6" max="6" width="15.85546875" style="2" bestFit="1" customWidth="1"/>
    <col min="7" max="7" width="12.42578125" style="2" bestFit="1" customWidth="1"/>
    <col min="8" max="8" width="11.42578125" style="2" bestFit="1" customWidth="1"/>
    <col min="9" max="9" width="13" style="2" customWidth="1"/>
    <col min="10" max="10" width="13.5703125" style="2" bestFit="1" customWidth="1"/>
    <col min="11" max="11" width="16.5703125" style="2" customWidth="1"/>
    <col min="12" max="12" width="14.140625" style="2" customWidth="1"/>
    <col min="13" max="13" width="16.42578125" style="2" customWidth="1"/>
    <col min="14" max="14" width="18.42578125" style="2" customWidth="1"/>
    <col min="15" max="15" width="11" style="2" customWidth="1"/>
    <col min="16" max="17" width="13.5703125" style="2" customWidth="1"/>
    <col min="18" max="18" width="12.5703125" style="2" customWidth="1"/>
    <col min="19" max="19" width="15.5703125" style="2" customWidth="1"/>
    <col min="20" max="16384" width="9.42578125" style="2"/>
  </cols>
  <sheetData>
    <row r="1" spans="2:14">
      <c r="B1" s="310"/>
      <c r="C1" s="201"/>
      <c r="D1" s="201"/>
      <c r="E1" s="201"/>
      <c r="F1" s="201"/>
      <c r="G1" s="201"/>
      <c r="H1" s="201"/>
      <c r="I1" s="201"/>
    </row>
    <row r="2" spans="2:14" ht="15.75" thickBot="1">
      <c r="B2" s="201"/>
      <c r="C2" s="821"/>
      <c r="D2" s="821"/>
      <c r="E2" s="821"/>
      <c r="F2" s="821"/>
      <c r="G2" s="821"/>
      <c r="H2" s="821"/>
      <c r="I2" s="821"/>
      <c r="J2" s="504"/>
    </row>
    <row r="3" spans="2:14">
      <c r="B3" s="822"/>
      <c r="C3" s="1145" t="s">
        <v>903</v>
      </c>
      <c r="D3" s="1145"/>
      <c r="E3" s="1145"/>
      <c r="F3" s="1145"/>
      <c r="G3" s="1145"/>
      <c r="H3" s="1145"/>
      <c r="I3" s="1145"/>
      <c r="J3" s="1146"/>
      <c r="L3" s="691"/>
      <c r="M3" s="849"/>
      <c r="N3" s="689"/>
    </row>
    <row r="4" spans="2:14">
      <c r="B4" s="823"/>
      <c r="C4" s="1165" t="s">
        <v>904</v>
      </c>
      <c r="D4" s="1165"/>
      <c r="E4" s="824"/>
      <c r="F4" s="824"/>
      <c r="G4" s="824"/>
      <c r="H4" s="825"/>
      <c r="I4" s="825"/>
      <c r="J4" s="505"/>
      <c r="L4" s="189"/>
      <c r="M4" s="1166" t="s">
        <v>905</v>
      </c>
      <c r="N4" s="1167"/>
    </row>
    <row r="5" spans="2:14">
      <c r="B5" s="826"/>
      <c r="C5" s="827" t="s">
        <v>906</v>
      </c>
      <c r="D5" s="827" t="s">
        <v>907</v>
      </c>
      <c r="E5" s="827" t="s">
        <v>908</v>
      </c>
      <c r="F5" s="827" t="s">
        <v>909</v>
      </c>
      <c r="G5" s="827" t="s">
        <v>276</v>
      </c>
      <c r="H5" s="827" t="s">
        <v>910</v>
      </c>
      <c r="I5" s="827" t="s">
        <v>277</v>
      </c>
      <c r="J5" s="828" t="s">
        <v>911</v>
      </c>
      <c r="L5" s="850"/>
      <c r="M5" s="851"/>
      <c r="N5" s="171"/>
    </row>
    <row r="6" spans="2:14" outlineLevel="1">
      <c r="B6" s="154">
        <v>1987</v>
      </c>
      <c r="C6" s="829">
        <v>9.7509979322454559</v>
      </c>
      <c r="D6" s="186"/>
      <c r="E6" s="525">
        <v>138167</v>
      </c>
      <c r="F6" s="185">
        <v>8.0463650686473116</v>
      </c>
      <c r="G6" s="830">
        <v>4154.2</v>
      </c>
      <c r="H6" s="186">
        <v>22</v>
      </c>
      <c r="I6" s="185">
        <f>LN(G6)</f>
        <v>8.3318751496420074</v>
      </c>
      <c r="J6" s="831">
        <f>LN(H6)</f>
        <v>3.0910424533583161</v>
      </c>
      <c r="L6" s="308" t="s">
        <v>912</v>
      </c>
      <c r="M6" s="115"/>
      <c r="N6" s="354"/>
    </row>
    <row r="7" spans="2:14" outlineLevel="1">
      <c r="B7" s="154">
        <v>1988</v>
      </c>
      <c r="C7" s="829">
        <v>9.8292300080953261</v>
      </c>
      <c r="D7" s="371">
        <f>$M$8+I7*$M$9+J7*$M$10</f>
        <v>9.8086847959664016</v>
      </c>
      <c r="E7" s="506">
        <v>180337</v>
      </c>
      <c r="F7" s="832">
        <v>9.7119063695701122</v>
      </c>
      <c r="G7" s="830">
        <v>4296.8</v>
      </c>
      <c r="H7" s="185">
        <v>23.5</v>
      </c>
      <c r="I7" s="185">
        <f>LN(G7)</f>
        <v>8.3656258385912494</v>
      </c>
      <c r="J7" s="571">
        <f>LN(H7)</f>
        <v>3.1570004211501135</v>
      </c>
      <c r="L7" s="189"/>
      <c r="M7" s="29"/>
      <c r="N7" s="171"/>
    </row>
    <row r="8" spans="2:14" outlineLevel="1">
      <c r="B8" s="154">
        <v>1989</v>
      </c>
      <c r="C8" s="829">
        <v>9.8638809939003735</v>
      </c>
      <c r="D8" s="371">
        <f t="shared" ref="D8:D31" si="0">$M$8+I8*$M$9+J8*$M$10</f>
        <v>9.8675481180676048</v>
      </c>
      <c r="E8" s="506">
        <v>217631</v>
      </c>
      <c r="F8" s="832">
        <v>11.321179383299572</v>
      </c>
      <c r="G8" s="830">
        <v>4540.2</v>
      </c>
      <c r="H8" s="185">
        <v>23.5</v>
      </c>
      <c r="I8" s="185">
        <f t="shared" ref="I8:I30" si="1">LN(G8)</f>
        <v>8.4207263429285302</v>
      </c>
      <c r="J8" s="571">
        <f t="shared" ref="J8:J30" si="2">LN(H8)</f>
        <v>3.1570004211501135</v>
      </c>
      <c r="L8" s="852" t="s">
        <v>913</v>
      </c>
      <c r="M8" s="853">
        <v>1.4898166736108616</v>
      </c>
      <c r="N8" s="171"/>
    </row>
    <row r="9" spans="2:14" outlineLevel="1">
      <c r="B9" s="154">
        <v>1990</v>
      </c>
      <c r="C9" s="829">
        <v>9.9912324888694073</v>
      </c>
      <c r="D9" s="371">
        <f t="shared" si="0"/>
        <v>9.833032735656122</v>
      </c>
      <c r="E9" s="506">
        <v>294366</v>
      </c>
      <c r="F9" s="832">
        <v>13.481881611523747</v>
      </c>
      <c r="G9" s="830">
        <v>4703.7</v>
      </c>
      <c r="H9" s="185">
        <v>34</v>
      </c>
      <c r="I9" s="185">
        <f t="shared" si="1"/>
        <v>8.4561047120345147</v>
      </c>
      <c r="J9" s="571">
        <f t="shared" si="2"/>
        <v>3.5263605246161616</v>
      </c>
      <c r="L9" s="308" t="s">
        <v>914</v>
      </c>
      <c r="M9" s="309">
        <v>1.0682900784517135</v>
      </c>
      <c r="N9" s="32"/>
    </row>
    <row r="10" spans="2:14" ht="15.75" outlineLevel="1" thickBot="1">
      <c r="B10" s="154">
        <v>1991</v>
      </c>
      <c r="C10" s="829">
        <v>10.034016294339688</v>
      </c>
      <c r="D10" s="371">
        <f t="shared" si="0"/>
        <v>9.8781960001793241</v>
      </c>
      <c r="E10" s="506">
        <v>395454</v>
      </c>
      <c r="F10" s="832">
        <v>17.35313977042539</v>
      </c>
      <c r="G10" s="830">
        <v>4810.1000000000004</v>
      </c>
      <c r="H10" s="185">
        <v>30.5</v>
      </c>
      <c r="I10" s="185">
        <f t="shared" si="1"/>
        <v>8.4784731529044883</v>
      </c>
      <c r="J10" s="571">
        <f t="shared" si="2"/>
        <v>3.417726683613366</v>
      </c>
      <c r="L10" s="854" t="s">
        <v>915</v>
      </c>
      <c r="M10" s="855">
        <v>-0.19577031314605609</v>
      </c>
      <c r="N10" s="124"/>
    </row>
    <row r="11" spans="2:14" outlineLevel="1">
      <c r="B11" s="154">
        <v>1992</v>
      </c>
      <c r="C11" s="829">
        <v>10.049289600789944</v>
      </c>
      <c r="D11" s="371">
        <f t="shared" si="0"/>
        <v>10.06441935400392</v>
      </c>
      <c r="E11" s="506">
        <v>488775</v>
      </c>
      <c r="F11" s="832">
        <v>21.123115012379024</v>
      </c>
      <c r="G11" s="830">
        <v>5250.4</v>
      </c>
      <c r="H11" s="185">
        <v>19</v>
      </c>
      <c r="I11" s="185">
        <f t="shared" si="1"/>
        <v>8.566059543159513</v>
      </c>
      <c r="J11" s="571">
        <f t="shared" si="2"/>
        <v>2.9444389791664403</v>
      </c>
    </row>
    <row r="12" spans="2:14" outlineLevel="1">
      <c r="B12" s="154">
        <v>1993</v>
      </c>
      <c r="C12" s="829">
        <v>10.108771798399285</v>
      </c>
      <c r="D12" s="371">
        <f t="shared" si="0"/>
        <v>10.087084990422593</v>
      </c>
      <c r="E12" s="506">
        <v>569581</v>
      </c>
      <c r="F12" s="832">
        <v>23.193787981093855</v>
      </c>
      <c r="G12" s="830">
        <v>5639.6</v>
      </c>
      <c r="H12" s="185">
        <v>25</v>
      </c>
      <c r="I12" s="185">
        <f t="shared" si="1"/>
        <v>8.6375684199912062</v>
      </c>
      <c r="J12" s="571">
        <f t="shared" si="2"/>
        <v>3.2188758248682006</v>
      </c>
    </row>
    <row r="13" spans="2:14" outlineLevel="1">
      <c r="B13" s="154">
        <v>1994</v>
      </c>
      <c r="C13" s="829">
        <v>10.180302014697176</v>
      </c>
      <c r="D13" s="371">
        <f t="shared" si="0"/>
        <v>10.116016275561766</v>
      </c>
      <c r="E13" s="506">
        <v>694638</v>
      </c>
      <c r="F13" s="832">
        <v>26.333558406482105</v>
      </c>
      <c r="G13" s="830">
        <v>5906.3</v>
      </c>
      <c r="H13" s="185">
        <v>27.75</v>
      </c>
      <c r="I13" s="185">
        <f t="shared" si="1"/>
        <v>8.6837748568146846</v>
      </c>
      <c r="J13" s="571">
        <f t="shared" si="2"/>
        <v>3.3232358401924436</v>
      </c>
    </row>
    <row r="14" spans="2:14" outlineLevel="1">
      <c r="B14" s="154">
        <v>1995</v>
      </c>
      <c r="C14" s="829">
        <v>10.039142043589468</v>
      </c>
      <c r="D14" s="371">
        <f t="shared" si="0"/>
        <v>10.151885157939532</v>
      </c>
      <c r="E14" s="506">
        <v>743160</v>
      </c>
      <c r="F14" s="832">
        <v>32.44429439567859</v>
      </c>
      <c r="G14" s="830">
        <v>6137.9</v>
      </c>
      <c r="H14" s="185">
        <v>28.5</v>
      </c>
      <c r="I14" s="185">
        <f t="shared" si="1"/>
        <v>8.7222379430951911</v>
      </c>
      <c r="J14" s="571">
        <f t="shared" si="2"/>
        <v>3.3499040872746049</v>
      </c>
      <c r="K14" s="833"/>
    </row>
    <row r="15" spans="2:14" outlineLevel="1">
      <c r="B15" s="154">
        <v>1996</v>
      </c>
      <c r="C15" s="829">
        <v>10.134964249474963</v>
      </c>
      <c r="D15" s="371">
        <f t="shared" si="0"/>
        <v>10.190120762897138</v>
      </c>
      <c r="E15" s="506">
        <v>961161</v>
      </c>
      <c r="F15" s="832">
        <v>38.127391402205717</v>
      </c>
      <c r="G15" s="830">
        <v>6192.3</v>
      </c>
      <c r="H15" s="185">
        <v>24.6</v>
      </c>
      <c r="I15" s="185">
        <f t="shared" si="1"/>
        <v>8.7310618637083213</v>
      </c>
      <c r="J15" s="571">
        <f t="shared" si="2"/>
        <v>3.202746442938317</v>
      </c>
      <c r="K15" s="833"/>
    </row>
    <row r="16" spans="2:14" outlineLevel="1">
      <c r="B16" s="154">
        <v>1997</v>
      </c>
      <c r="C16" s="829">
        <v>10.152119460893022</v>
      </c>
      <c r="D16" s="371">
        <f t="shared" si="0"/>
        <v>10.303912430345836</v>
      </c>
      <c r="E16" s="506">
        <v>1107087</v>
      </c>
      <c r="F16" s="832">
        <v>43.169029934728783</v>
      </c>
      <c r="G16" s="830">
        <v>6537.8</v>
      </c>
      <c r="H16" s="185">
        <v>18.5</v>
      </c>
      <c r="I16" s="185">
        <f t="shared" si="1"/>
        <v>8.7853559964216448</v>
      </c>
      <c r="J16" s="571">
        <f t="shared" si="2"/>
        <v>2.917770732084279</v>
      </c>
      <c r="K16" s="833"/>
    </row>
    <row r="17" spans="2:11" outlineLevel="1">
      <c r="B17" s="154">
        <v>1998</v>
      </c>
      <c r="C17" s="829">
        <v>10.266679632363171</v>
      </c>
      <c r="D17" s="371">
        <f t="shared" si="0"/>
        <v>10.335059709961346</v>
      </c>
      <c r="E17" s="506">
        <v>1386454</v>
      </c>
      <c r="F17" s="832">
        <v>48.210668467251864</v>
      </c>
      <c r="G17" s="830">
        <v>7086.8</v>
      </c>
      <c r="H17" s="185">
        <v>24.5</v>
      </c>
      <c r="I17" s="185">
        <f t="shared" si="1"/>
        <v>8.8659891777262825</v>
      </c>
      <c r="J17" s="571">
        <f t="shared" si="2"/>
        <v>3.1986731175506815</v>
      </c>
      <c r="K17" s="833"/>
    </row>
    <row r="18" spans="2:11" outlineLevel="1">
      <c r="B18" s="154">
        <v>1999</v>
      </c>
      <c r="C18" s="829">
        <v>10.340205936180373</v>
      </c>
      <c r="D18" s="371">
        <f t="shared" si="0"/>
        <v>10.477129279165828</v>
      </c>
      <c r="E18" s="506">
        <v>1642017</v>
      </c>
      <c r="F18" s="832">
        <v>53.049741165878913</v>
      </c>
      <c r="G18" s="830">
        <v>7669.5</v>
      </c>
      <c r="H18" s="185">
        <v>18.25</v>
      </c>
      <c r="I18" s="185">
        <f t="shared" si="1"/>
        <v>8.945006703188163</v>
      </c>
      <c r="J18" s="571">
        <f t="shared" si="2"/>
        <v>2.9041650800285006</v>
      </c>
      <c r="K18" s="833"/>
    </row>
    <row r="19" spans="2:11" outlineLevel="1">
      <c r="B19" s="154">
        <v>2000</v>
      </c>
      <c r="C19" s="829">
        <v>10.41654393682094</v>
      </c>
      <c r="D19" s="371">
        <f t="shared" si="0"/>
        <v>10.528154705839727</v>
      </c>
      <c r="E19" s="506">
        <v>1966269</v>
      </c>
      <c r="F19" s="832">
        <v>58.856628404231373</v>
      </c>
      <c r="G19" s="830">
        <v>7807.5</v>
      </c>
      <c r="H19" s="185">
        <v>15.5</v>
      </c>
      <c r="I19" s="185">
        <f t="shared" si="1"/>
        <v>8.9628400891572344</v>
      </c>
      <c r="J19" s="571">
        <f t="shared" si="2"/>
        <v>2.7408400239252009</v>
      </c>
      <c r="K19" s="833"/>
    </row>
    <row r="20" spans="2:11" outlineLevel="1">
      <c r="B20" s="154">
        <v>2001</v>
      </c>
      <c r="C20" s="829">
        <v>10.416822163022937</v>
      </c>
      <c r="D20" s="371">
        <f t="shared" si="0"/>
        <v>10.533371474768341</v>
      </c>
      <c r="E20" s="506">
        <v>2188318</v>
      </c>
      <c r="F20" s="185">
        <v>65.485032635606572</v>
      </c>
      <c r="G20" s="830">
        <v>7891.5</v>
      </c>
      <c r="H20" s="185">
        <v>16</v>
      </c>
      <c r="I20" s="185">
        <f t="shared" si="1"/>
        <v>8.9735415098389719</v>
      </c>
      <c r="J20" s="571">
        <f t="shared" si="2"/>
        <v>2.7725887222397811</v>
      </c>
      <c r="K20" s="833"/>
    </row>
    <row r="21" spans="2:11" outlineLevel="1">
      <c r="B21" s="154">
        <v>2002</v>
      </c>
      <c r="C21" s="829">
        <v>10.521641474573695</v>
      </c>
      <c r="D21" s="371">
        <f t="shared" si="0"/>
        <v>10.54640019925359</v>
      </c>
      <c r="E21" s="506">
        <v>2652742</v>
      </c>
      <c r="F21" s="367">
        <v>71.48323205041639</v>
      </c>
      <c r="G21" s="506">
        <v>8120.6</v>
      </c>
      <c r="H21" s="367">
        <v>17.5</v>
      </c>
      <c r="I21" s="185">
        <f t="shared" si="1"/>
        <v>9.0021593220514884</v>
      </c>
      <c r="J21" s="571">
        <f t="shared" si="2"/>
        <v>2.8622008809294686</v>
      </c>
      <c r="K21" s="833"/>
    </row>
    <row r="22" spans="2:11" outlineLevel="1">
      <c r="B22" s="154">
        <v>2003</v>
      </c>
      <c r="C22" s="829">
        <v>10.596499855257658</v>
      </c>
      <c r="D22" s="371">
        <f t="shared" si="0"/>
        <v>10.659919179760573</v>
      </c>
      <c r="E22" s="506">
        <v>3128995</v>
      </c>
      <c r="F22" s="367">
        <v>78.235426513616929</v>
      </c>
      <c r="G22" s="506">
        <v>8640.6</v>
      </c>
      <c r="H22" s="367">
        <v>13.75</v>
      </c>
      <c r="I22" s="185">
        <f t="shared" si="1"/>
        <v>9.0642273038313927</v>
      </c>
      <c r="J22" s="571">
        <f t="shared" si="2"/>
        <v>2.6210388241125804</v>
      </c>
      <c r="K22" s="833"/>
    </row>
    <row r="23" spans="2:11" outlineLevel="1">
      <c r="B23" s="154">
        <v>2004</v>
      </c>
      <c r="C23" s="829">
        <v>10.775622912326035</v>
      </c>
      <c r="D23" s="371">
        <f t="shared" si="0"/>
        <v>10.697494368639726</v>
      </c>
      <c r="E23" s="506">
        <v>4203655</v>
      </c>
      <c r="F23" s="367">
        <v>87.868557281116367</v>
      </c>
      <c r="G23" s="506">
        <v>9008.7000000000007</v>
      </c>
      <c r="H23" s="367">
        <v>14.25</v>
      </c>
      <c r="I23" s="185">
        <f t="shared" si="1"/>
        <v>9.1059460560636811</v>
      </c>
      <c r="J23" s="571">
        <f t="shared" si="2"/>
        <v>2.6567569067146595</v>
      </c>
      <c r="K23" s="833"/>
    </row>
    <row r="24" spans="2:11" outlineLevel="1">
      <c r="B24" s="154">
        <v>2005</v>
      </c>
      <c r="C24" s="829">
        <v>10.840833264440215</v>
      </c>
      <c r="D24" s="371">
        <f t="shared" si="0"/>
        <v>10.690601152340484</v>
      </c>
      <c r="E24" s="506">
        <v>5106391</v>
      </c>
      <c r="F24" s="367">
        <v>100</v>
      </c>
      <c r="G24" s="506">
        <v>9062.7000000000007</v>
      </c>
      <c r="H24" s="367">
        <v>15.25</v>
      </c>
      <c r="I24" s="185">
        <f t="shared" si="1"/>
        <v>9.1119223678849313</v>
      </c>
      <c r="J24" s="571">
        <f t="shared" si="2"/>
        <v>2.7245795030534206</v>
      </c>
      <c r="K24" s="833"/>
    </row>
    <row r="25" spans="2:11" outlineLevel="1">
      <c r="B25" s="154">
        <v>2006</v>
      </c>
      <c r="C25" s="829">
        <v>10.929852795788266</v>
      </c>
      <c r="D25" s="371">
        <f t="shared" si="0"/>
        <v>10.840678070302033</v>
      </c>
      <c r="E25" s="506">
        <v>6222082</v>
      </c>
      <c r="F25" s="367">
        <v>111.47076281469224</v>
      </c>
      <c r="G25" s="506">
        <v>9864.1</v>
      </c>
      <c r="H25" s="367">
        <v>11.25</v>
      </c>
      <c r="I25" s="185">
        <f t="shared" si="1"/>
        <v>9.1966571826678933</v>
      </c>
      <c r="J25" s="571">
        <f t="shared" si="2"/>
        <v>2.4203681286504293</v>
      </c>
      <c r="K25" s="833"/>
    </row>
    <row r="26" spans="2:11" outlineLevel="1">
      <c r="B26" s="154">
        <v>2007</v>
      </c>
      <c r="C26" s="829">
        <v>11.026604945449419</v>
      </c>
      <c r="D26" s="371">
        <f t="shared" si="0"/>
        <v>11.001116146614557</v>
      </c>
      <c r="E26" s="506">
        <v>7495513</v>
      </c>
      <c r="F26" s="367">
        <v>121.90111549619533</v>
      </c>
      <c r="G26" s="506">
        <v>10508</v>
      </c>
      <c r="H26" s="367">
        <v>7</v>
      </c>
      <c r="I26" s="185">
        <f t="shared" si="1"/>
        <v>9.259892150805431</v>
      </c>
      <c r="J26" s="571">
        <f t="shared" si="2"/>
        <v>1.9459101490553132</v>
      </c>
      <c r="K26" s="833"/>
    </row>
    <row r="27" spans="2:11" outlineLevel="1">
      <c r="B27" s="154">
        <v>2008</v>
      </c>
      <c r="C27" s="829">
        <v>11.061066373466984</v>
      </c>
      <c r="D27" s="371">
        <f t="shared" si="0"/>
        <v>10.929275394373276</v>
      </c>
      <c r="E27" s="506">
        <v>8799849</v>
      </c>
      <c r="F27" s="367">
        <v>138.26591436753131</v>
      </c>
      <c r="G27" s="506">
        <v>10760.3</v>
      </c>
      <c r="H27" s="367">
        <v>11.5</v>
      </c>
      <c r="I27" s="185">
        <f t="shared" si="1"/>
        <v>9.2836187143679982</v>
      </c>
      <c r="J27" s="571">
        <f t="shared" si="2"/>
        <v>2.4423470353692043</v>
      </c>
      <c r="K27" s="833"/>
    </row>
    <row r="28" spans="2:11" outlineLevel="1">
      <c r="B28" s="154">
        <v>2009</v>
      </c>
      <c r="C28" s="829">
        <v>11.062831342459882</v>
      </c>
      <c r="D28" s="371">
        <f t="shared" si="0"/>
        <v>10.976740015138358</v>
      </c>
      <c r="E28" s="506">
        <v>9506764</v>
      </c>
      <c r="F28" s="367">
        <v>149.10977218340307</v>
      </c>
      <c r="G28" s="506">
        <v>10584.9</v>
      </c>
      <c r="H28" s="367">
        <v>8.25</v>
      </c>
      <c r="I28" s="185">
        <f t="shared" si="1"/>
        <v>9.2671837361932106</v>
      </c>
      <c r="J28" s="571">
        <f t="shared" si="2"/>
        <v>2.1102132003465894</v>
      </c>
      <c r="K28" s="833"/>
    </row>
    <row r="29" spans="2:11" outlineLevel="1">
      <c r="B29" s="154">
        <v>2010</v>
      </c>
      <c r="C29" s="829">
        <v>11.015668719399621</v>
      </c>
      <c r="D29" s="371">
        <f t="shared" si="0"/>
        <v>11.033448762676443</v>
      </c>
      <c r="E29" s="506">
        <v>9582344</v>
      </c>
      <c r="F29" s="367">
        <v>157.55334148580278</v>
      </c>
      <c r="G29" s="506">
        <v>11099.2</v>
      </c>
      <c r="H29" s="367">
        <v>8</v>
      </c>
      <c r="I29" s="185">
        <f t="shared" si="1"/>
        <v>9.3146283126310365</v>
      </c>
      <c r="J29" s="571">
        <f t="shared" si="2"/>
        <v>2.0794415416798357</v>
      </c>
      <c r="K29" s="833"/>
    </row>
    <row r="30" spans="2:11">
      <c r="B30" s="154">
        <v>2011</v>
      </c>
      <c r="C30" s="829">
        <v>11.03868488509211</v>
      </c>
      <c r="D30" s="371">
        <f t="shared" si="0"/>
        <v>11.092226982111523</v>
      </c>
      <c r="E30" s="506">
        <v>10283775</v>
      </c>
      <c r="F30" s="367">
        <v>165.23902853400347</v>
      </c>
      <c r="G30" s="506">
        <v>11727</v>
      </c>
      <c r="H30" s="367">
        <v>8</v>
      </c>
      <c r="I30" s="185">
        <f t="shared" si="1"/>
        <v>9.3696491544610652</v>
      </c>
      <c r="J30" s="571">
        <f t="shared" si="2"/>
        <v>2.0794415416798357</v>
      </c>
      <c r="K30" s="833"/>
    </row>
    <row r="31" spans="2:11">
      <c r="B31" s="154">
        <v>2012</v>
      </c>
      <c r="C31" s="829">
        <v>11.07698944555923</v>
      </c>
      <c r="D31" s="371">
        <f t="shared" si="0"/>
        <v>11.095036160375594</v>
      </c>
      <c r="E31" s="506">
        <f>11219598.7245475</f>
        <v>11219598.7245475</v>
      </c>
      <c r="F31" s="367">
        <v>173.50097996070366</v>
      </c>
      <c r="G31" s="506">
        <v>12074.9</v>
      </c>
      <c r="H31" s="367">
        <v>9.25</v>
      </c>
      <c r="I31" s="185">
        <f t="shared" ref="I31:J32" si="3">LN(G31)</f>
        <v>9.3988841969129826</v>
      </c>
      <c r="J31" s="571">
        <f t="shared" si="3"/>
        <v>2.224623551524334</v>
      </c>
      <c r="K31" s="833"/>
    </row>
    <row r="32" spans="2:11" ht="15.75" thickBot="1">
      <c r="B32" s="154">
        <v>2013</v>
      </c>
      <c r="C32" s="829">
        <v>11.103623303703102</v>
      </c>
      <c r="D32" s="371">
        <f>$M$8+I32*$M$9+J32*$M$10</f>
        <v>11.101023767006087</v>
      </c>
      <c r="E32" s="506">
        <v>12229434.343904</v>
      </c>
      <c r="F32" s="367">
        <v>184.14674213523</v>
      </c>
      <c r="G32" s="506">
        <f>PIB_real!K6</f>
        <v>12774.630811636434</v>
      </c>
      <c r="H32" s="367">
        <v>12.2</v>
      </c>
      <c r="I32" s="185">
        <f t="shared" si="3"/>
        <v>9.4552165153694929</v>
      </c>
      <c r="J32" s="571">
        <f>LN(H32)</f>
        <v>2.5014359517392109</v>
      </c>
      <c r="K32" s="833"/>
    </row>
    <row r="33" spans="2:24" ht="15.75" thickBot="1">
      <c r="B33" s="206">
        <v>2014</v>
      </c>
      <c r="C33" s="834">
        <f>D33</f>
        <v>11.111436246590539</v>
      </c>
      <c r="D33" s="1121">
        <f>$M$8+I33*$M$9+J33*$M$10</f>
        <v>11.111436246590539</v>
      </c>
      <c r="E33" s="1120">
        <f>EXP(D33)*F33</f>
        <v>13231968.892397759</v>
      </c>
      <c r="F33" s="508">
        <f>F32*(1+Inflación!O31/100)</f>
        <v>197.69196732324122</v>
      </c>
      <c r="G33" s="507">
        <f>PIB_real!L6</f>
        <v>13343.319319456346</v>
      </c>
      <c r="H33" s="1011">
        <f>'Regla de Taylor '!F32</f>
        <v>14.67169051571234</v>
      </c>
      <c r="I33" s="835">
        <f>LN(G33)</f>
        <v>9.4987711130648744</v>
      </c>
      <c r="J33" s="836">
        <f>LN(H33)</f>
        <v>2.6859198217605811</v>
      </c>
    </row>
    <row r="34" spans="2:24" ht="15.75" thickBot="1">
      <c r="D34" s="338"/>
      <c r="H34" s="1069" t="s">
        <v>916</v>
      </c>
      <c r="L34" s="495"/>
      <c r="M34" s="495"/>
      <c r="N34" s="495"/>
      <c r="O34" s="495"/>
      <c r="P34" s="495"/>
      <c r="Q34" s="495"/>
      <c r="R34" s="495"/>
      <c r="S34" s="495"/>
      <c r="T34" s="495"/>
    </row>
    <row r="35" spans="2:24">
      <c r="B35" s="837" t="s">
        <v>275</v>
      </c>
      <c r="C35" s="838"/>
      <c r="D35" s="838"/>
      <c r="E35" s="839"/>
      <c r="F35" s="839"/>
      <c r="G35" s="839"/>
      <c r="H35" s="839"/>
      <c r="I35" s="839"/>
      <c r="J35" s="840"/>
      <c r="L35" s="495"/>
      <c r="M35" s="495"/>
      <c r="N35" s="495"/>
      <c r="O35" s="495"/>
      <c r="P35" s="495"/>
      <c r="Q35" s="495"/>
      <c r="R35" s="495"/>
      <c r="S35" s="495"/>
      <c r="T35" s="495"/>
    </row>
    <row r="36" spans="2:24">
      <c r="B36" s="841" t="s">
        <v>276</v>
      </c>
      <c r="C36" s="842" t="s">
        <v>28</v>
      </c>
      <c r="D36" s="842"/>
      <c r="E36" s="843"/>
      <c r="F36" s="843"/>
      <c r="G36" s="843"/>
      <c r="H36" s="843"/>
      <c r="I36" s="843"/>
      <c r="J36" s="844"/>
    </row>
    <row r="37" spans="2:24">
      <c r="B37" s="841" t="s">
        <v>277</v>
      </c>
      <c r="C37" s="842" t="s">
        <v>278</v>
      </c>
      <c r="D37" s="842"/>
      <c r="E37" s="843"/>
      <c r="F37" s="843"/>
      <c r="G37" s="843"/>
      <c r="H37" s="843"/>
      <c r="I37" s="843"/>
      <c r="J37" s="844"/>
    </row>
    <row r="38" spans="2:24">
      <c r="B38" s="845" t="s">
        <v>917</v>
      </c>
      <c r="C38" s="842" t="s">
        <v>918</v>
      </c>
      <c r="D38" s="842"/>
      <c r="E38" s="843"/>
      <c r="F38" s="843"/>
      <c r="G38" s="843"/>
      <c r="H38" s="843"/>
      <c r="I38" s="843"/>
      <c r="J38" s="844"/>
    </row>
    <row r="39" spans="2:24">
      <c r="B39" s="198" t="s">
        <v>909</v>
      </c>
      <c r="C39" s="181" t="s">
        <v>919</v>
      </c>
      <c r="D39" s="181"/>
      <c r="E39" s="843"/>
      <c r="F39" s="843"/>
      <c r="G39" s="843"/>
      <c r="H39" s="843"/>
      <c r="I39" s="843"/>
      <c r="J39" s="844"/>
    </row>
    <row r="40" spans="2:24" ht="15.75" thickBot="1">
      <c r="B40" s="206" t="s">
        <v>910</v>
      </c>
      <c r="C40" s="207" t="s">
        <v>920</v>
      </c>
      <c r="D40" s="846"/>
      <c r="E40" s="847"/>
      <c r="F40" s="847"/>
      <c r="G40" s="847"/>
      <c r="H40" s="847"/>
      <c r="I40" s="847"/>
      <c r="J40" s="848"/>
    </row>
    <row r="41" spans="2:24">
      <c r="U41" s="250"/>
    </row>
    <row r="42" spans="2:24">
      <c r="H42" s="190"/>
      <c r="U42" s="250"/>
    </row>
    <row r="43" spans="2:24">
      <c r="V43" s="250"/>
    </row>
    <row r="44" spans="2:24">
      <c r="V44" s="250"/>
    </row>
    <row r="45" spans="2:24">
      <c r="W45" s="250"/>
    </row>
    <row r="46" spans="2:24">
      <c r="B46" s="267"/>
      <c r="C46" s="267"/>
      <c r="D46" s="267"/>
      <c r="E46" s="267"/>
      <c r="F46" s="267"/>
      <c r="G46" s="267"/>
      <c r="H46" s="267"/>
      <c r="I46" s="267"/>
      <c r="J46" s="267"/>
      <c r="W46" s="250"/>
    </row>
    <row r="47" spans="2:24">
      <c r="B47" s="267"/>
      <c r="C47" s="267"/>
      <c r="D47" s="267"/>
      <c r="E47" s="267"/>
      <c r="F47" s="267"/>
      <c r="G47" s="267"/>
      <c r="H47" s="267"/>
      <c r="I47" s="267"/>
      <c r="J47" s="267"/>
      <c r="X47" s="250"/>
    </row>
    <row r="48" spans="2:24">
      <c r="B48" s="497"/>
      <c r="C48" s="497"/>
      <c r="D48" s="267"/>
      <c r="E48" s="267"/>
      <c r="F48" s="267"/>
      <c r="G48" s="267"/>
      <c r="H48" s="267"/>
      <c r="I48" s="267"/>
      <c r="J48" s="267"/>
      <c r="X48" s="250"/>
    </row>
    <row r="49" spans="2:32">
      <c r="B49" s="267"/>
      <c r="C49" s="267"/>
      <c r="D49" s="267"/>
      <c r="E49" s="267"/>
      <c r="F49" s="267"/>
      <c r="G49" s="267"/>
      <c r="H49" s="267"/>
      <c r="I49" s="267"/>
      <c r="J49" s="267"/>
      <c r="Y49" s="250"/>
    </row>
    <row r="50" spans="2:32">
      <c r="B50" s="267"/>
      <c r="C50" s="267"/>
      <c r="D50" s="267"/>
      <c r="E50" s="267"/>
      <c r="F50" s="267"/>
      <c r="G50" s="267"/>
      <c r="H50" s="267"/>
      <c r="I50" s="267"/>
      <c r="J50" s="267"/>
      <c r="Y50" s="250"/>
    </row>
    <row r="51" spans="2:32">
      <c r="B51" s="267"/>
      <c r="C51" s="267"/>
      <c r="D51" s="267"/>
      <c r="E51" s="267"/>
      <c r="F51" s="267"/>
      <c r="G51" s="267"/>
      <c r="H51" s="267"/>
      <c r="I51" s="267"/>
      <c r="J51" s="267"/>
      <c r="Z51" s="250"/>
    </row>
    <row r="52" spans="2:32">
      <c r="B52" s="267"/>
      <c r="C52" s="267"/>
      <c r="D52" s="267"/>
      <c r="E52" s="267"/>
      <c r="F52" s="267"/>
      <c r="G52" s="267"/>
      <c r="H52" s="267"/>
      <c r="I52" s="267"/>
      <c r="J52" s="267"/>
      <c r="Z52" s="250"/>
    </row>
    <row r="53" spans="2:32">
      <c r="B53" s="267"/>
      <c r="C53" s="267"/>
      <c r="D53" s="267"/>
      <c r="E53" s="267"/>
      <c r="F53" s="267"/>
      <c r="G53" s="267"/>
      <c r="H53" s="267"/>
      <c r="I53" s="267"/>
      <c r="J53" s="267"/>
      <c r="AA53" s="250"/>
    </row>
    <row r="54" spans="2:32">
      <c r="B54" s="267"/>
      <c r="C54" s="267"/>
      <c r="D54" s="267"/>
      <c r="E54" s="267"/>
      <c r="F54" s="267"/>
      <c r="G54" s="267"/>
      <c r="H54" s="267"/>
      <c r="I54" s="267"/>
      <c r="J54" s="267"/>
      <c r="AA54" s="250"/>
    </row>
    <row r="55" spans="2:32">
      <c r="B55" s="267"/>
      <c r="C55" s="267"/>
      <c r="D55" s="267"/>
      <c r="E55" s="267"/>
      <c r="F55" s="267"/>
      <c r="G55" s="267"/>
      <c r="H55" s="267"/>
      <c r="I55" s="267"/>
      <c r="J55" s="267"/>
      <c r="AB55" s="250"/>
    </row>
    <row r="56" spans="2:32">
      <c r="B56" s="498"/>
      <c r="C56" s="498"/>
      <c r="D56" s="498"/>
      <c r="E56" s="498"/>
      <c r="F56" s="498"/>
      <c r="G56" s="498"/>
      <c r="H56" s="267"/>
      <c r="I56" s="267"/>
      <c r="J56" s="267"/>
      <c r="AB56" s="250"/>
    </row>
    <row r="57" spans="2:32">
      <c r="B57" s="267"/>
      <c r="C57" s="267"/>
      <c r="D57" s="267"/>
      <c r="E57" s="267"/>
      <c r="F57" s="267"/>
      <c r="G57" s="267"/>
      <c r="H57" s="267"/>
      <c r="I57" s="267"/>
      <c r="J57" s="267"/>
      <c r="AC57" s="250"/>
    </row>
    <row r="58" spans="2:32">
      <c r="B58" s="267"/>
      <c r="C58" s="267"/>
      <c r="D58" s="267"/>
      <c r="E58" s="267"/>
      <c r="F58" s="267"/>
      <c r="G58" s="267"/>
      <c r="H58" s="267"/>
      <c r="I58" s="267"/>
      <c r="J58" s="267"/>
      <c r="AC58" s="250"/>
    </row>
    <row r="59" spans="2:32">
      <c r="B59" s="267"/>
      <c r="C59" s="267"/>
      <c r="D59" s="267"/>
      <c r="E59" s="267"/>
      <c r="F59" s="267"/>
      <c r="G59" s="267"/>
      <c r="H59" s="267"/>
      <c r="I59" s="267"/>
      <c r="J59" s="267"/>
      <c r="AD59" s="250"/>
    </row>
    <row r="60" spans="2:32">
      <c r="B60" s="267"/>
      <c r="C60" s="267"/>
      <c r="D60" s="267"/>
      <c r="E60" s="267"/>
      <c r="F60" s="267"/>
      <c r="G60" s="267"/>
      <c r="H60" s="267"/>
      <c r="I60" s="267"/>
      <c r="J60" s="267"/>
      <c r="AD60" s="250"/>
    </row>
    <row r="61" spans="2:32">
      <c r="B61" s="498"/>
      <c r="C61" s="498"/>
      <c r="D61" s="498"/>
      <c r="E61" s="498"/>
      <c r="F61" s="498"/>
      <c r="G61" s="498"/>
      <c r="H61" s="498"/>
      <c r="I61" s="498"/>
      <c r="J61" s="498"/>
      <c r="AE61" s="250"/>
    </row>
    <row r="62" spans="2:32">
      <c r="B62" s="267"/>
      <c r="C62" s="267"/>
      <c r="D62" s="267"/>
      <c r="E62" s="267"/>
      <c r="F62" s="267"/>
      <c r="G62" s="267"/>
      <c r="H62" s="267"/>
      <c r="I62" s="267"/>
      <c r="J62" s="267"/>
      <c r="AE62" s="250"/>
    </row>
    <row r="63" spans="2:32">
      <c r="B63" s="267"/>
      <c r="C63" s="267"/>
      <c r="D63" s="267"/>
      <c r="E63" s="267"/>
      <c r="F63" s="267"/>
      <c r="G63" s="267"/>
      <c r="H63" s="267"/>
      <c r="I63" s="267"/>
      <c r="J63" s="267"/>
      <c r="AF63" s="250"/>
    </row>
    <row r="64" spans="2:32">
      <c r="B64" s="267"/>
      <c r="C64" s="267"/>
      <c r="D64" s="267"/>
      <c r="E64" s="267"/>
      <c r="F64" s="267"/>
      <c r="G64" s="267"/>
      <c r="H64" s="267"/>
      <c r="I64" s="267"/>
      <c r="J64" s="267"/>
      <c r="AF64" s="250"/>
    </row>
    <row r="65" spans="2:35">
      <c r="B65" s="267"/>
      <c r="C65" s="267"/>
      <c r="D65" s="267"/>
      <c r="E65" s="267"/>
      <c r="F65" s="267"/>
      <c r="G65" s="267"/>
      <c r="H65" s="267"/>
      <c r="I65" s="267"/>
      <c r="J65" s="267"/>
      <c r="AG65" s="250"/>
    </row>
    <row r="66" spans="2:35">
      <c r="B66" s="267"/>
      <c r="C66" s="267"/>
      <c r="D66" s="267"/>
      <c r="E66" s="267"/>
      <c r="F66" s="267"/>
      <c r="G66" s="267"/>
      <c r="H66" s="267"/>
      <c r="I66" s="267"/>
      <c r="J66" s="267"/>
      <c r="AG66" s="250"/>
    </row>
    <row r="67" spans="2:35">
      <c r="B67" s="267"/>
      <c r="C67" s="267"/>
      <c r="D67" s="267"/>
      <c r="E67" s="267"/>
      <c r="F67" s="267"/>
      <c r="G67" s="267"/>
      <c r="H67" s="267"/>
      <c r="I67" s="267"/>
      <c r="J67" s="267"/>
      <c r="AH67" s="250"/>
    </row>
    <row r="68" spans="2:35">
      <c r="AH68" s="250"/>
    </row>
    <row r="69" spans="2:35">
      <c r="AI69" s="250"/>
    </row>
    <row r="70" spans="2:35">
      <c r="AI70" s="250"/>
    </row>
  </sheetData>
  <mergeCells count="3">
    <mergeCell ref="C4:D4"/>
    <mergeCell ref="M4:N4"/>
    <mergeCell ref="C3:J3"/>
  </mergeCells>
  <pageMargins left="0.7" right="0.7" top="0.75" bottom="0.75" header="0.3" footer="0.3"/>
  <pageSetup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8" tint="-0.499984740745262"/>
  </sheetPr>
  <dimension ref="B1:AH70"/>
  <sheetViews>
    <sheetView zoomScaleNormal="100" workbookViewId="0">
      <selection activeCell="E9" sqref="E9"/>
    </sheetView>
  </sheetViews>
  <sheetFormatPr baseColWidth="10" defaultColWidth="9.42578125" defaultRowHeight="15"/>
  <cols>
    <col min="1" max="1" width="14.42578125" style="2" customWidth="1"/>
    <col min="2" max="2" width="5.85546875" style="2" customWidth="1"/>
    <col min="3" max="3" width="11.42578125" style="2" customWidth="1"/>
    <col min="4" max="4" width="13.42578125" style="2" customWidth="1"/>
    <col min="5" max="5" width="20.28515625" style="2" customWidth="1"/>
    <col min="6" max="6" width="15.42578125" style="2" bestFit="1" customWidth="1"/>
    <col min="7" max="7" width="12.42578125" style="2" bestFit="1" customWidth="1"/>
    <col min="8" max="8" width="12.42578125" style="2" customWidth="1"/>
    <col min="9" max="9" width="12.42578125" style="2" bestFit="1" customWidth="1"/>
    <col min="10" max="10" width="15" style="2" bestFit="1" customWidth="1"/>
    <col min="11" max="11" width="15" style="2" customWidth="1"/>
    <col min="12" max="12" width="14.42578125" style="2" bestFit="1" customWidth="1"/>
    <col min="13" max="13" width="14.5703125" style="2" bestFit="1" customWidth="1"/>
    <col min="14" max="14" width="17.5703125" style="2" customWidth="1"/>
    <col min="15" max="15" width="11.42578125" style="2" bestFit="1" customWidth="1"/>
    <col min="16" max="16" width="4" style="2" customWidth="1"/>
    <col min="17" max="18" width="11.42578125" style="2" customWidth="1"/>
    <col min="19" max="19" width="19.5703125" style="2" customWidth="1"/>
    <col min="20" max="20" width="14.5703125" style="2" customWidth="1"/>
    <col min="21" max="23" width="13.5703125" style="2" customWidth="1"/>
    <col min="24" max="24" width="15.5703125" style="2" customWidth="1"/>
    <col min="25" max="27" width="11.5703125" style="2" customWidth="1"/>
    <col min="28" max="16384" width="9.42578125" style="2"/>
  </cols>
  <sheetData>
    <row r="1" spans="2:27" ht="15.75" thickBot="1">
      <c r="C1" s="201"/>
      <c r="D1" s="201"/>
      <c r="E1" s="201"/>
      <c r="F1" s="201"/>
      <c r="G1" s="310"/>
      <c r="H1" s="310"/>
      <c r="J1" s="201"/>
      <c r="K1" s="201"/>
    </row>
    <row r="2" spans="2:27" ht="24.75" customHeight="1">
      <c r="B2" s="311"/>
      <c r="C2" s="312" t="s">
        <v>921</v>
      </c>
      <c r="D2" s="312"/>
      <c r="E2" s="312"/>
      <c r="F2" s="312"/>
      <c r="G2" s="312"/>
      <c r="H2" s="312"/>
      <c r="I2" s="312"/>
      <c r="J2" s="312"/>
      <c r="K2" s="312"/>
      <c r="L2" s="312"/>
      <c r="M2" s="312"/>
      <c r="N2" s="312"/>
      <c r="O2" s="312"/>
      <c r="P2" s="313"/>
      <c r="Q2" s="314"/>
      <c r="R2" s="314"/>
    </row>
    <row r="3" spans="2:27" s="1" customFormat="1" ht="33" customHeight="1">
      <c r="B3" s="30"/>
      <c r="C3" s="143"/>
      <c r="D3" s="856"/>
      <c r="E3" s="107"/>
      <c r="F3" s="107"/>
      <c r="G3" s="107"/>
      <c r="H3" s="107"/>
      <c r="I3" s="107"/>
      <c r="J3" s="107"/>
      <c r="K3" s="107"/>
      <c r="L3" s="107"/>
      <c r="M3" s="107"/>
      <c r="N3" s="107"/>
      <c r="O3" s="107"/>
      <c r="P3" s="108"/>
      <c r="S3" s="2"/>
      <c r="T3" s="2"/>
      <c r="U3" s="2"/>
      <c r="V3" s="2"/>
      <c r="W3" s="2"/>
      <c r="X3" s="2"/>
      <c r="Y3" s="2"/>
      <c r="Z3" s="2"/>
      <c r="AA3" s="2"/>
    </row>
    <row r="4" spans="2:27" s="333" customFormat="1" ht="64.5" customHeight="1">
      <c r="B4" s="326"/>
      <c r="C4" s="327"/>
      <c r="D4" s="328" t="s">
        <v>922</v>
      </c>
      <c r="E4" s="328"/>
      <c r="F4" s="329" t="s">
        <v>513</v>
      </c>
      <c r="G4" s="329" t="s">
        <v>923</v>
      </c>
      <c r="H4" s="329" t="s">
        <v>923</v>
      </c>
      <c r="I4" s="330" t="s">
        <v>924</v>
      </c>
      <c r="J4" s="331" t="s">
        <v>925</v>
      </c>
      <c r="K4" s="331" t="s">
        <v>926</v>
      </c>
      <c r="L4" s="315" t="s">
        <v>927</v>
      </c>
      <c r="M4" s="499" t="s">
        <v>28</v>
      </c>
      <c r="N4" s="315" t="s">
        <v>928</v>
      </c>
      <c r="O4" s="499" t="s">
        <v>29</v>
      </c>
      <c r="P4" s="316"/>
      <c r="Q4" s="332"/>
      <c r="R4" s="332"/>
    </row>
    <row r="5" spans="2:27" s="333" customFormat="1" ht="45">
      <c r="B5" s="326"/>
      <c r="C5" s="327"/>
      <c r="D5" s="334" t="s">
        <v>906</v>
      </c>
      <c r="E5" s="334" t="s">
        <v>907</v>
      </c>
      <c r="F5" s="334" t="s">
        <v>929</v>
      </c>
      <c r="G5" s="334" t="s">
        <v>930</v>
      </c>
      <c r="H5" s="334" t="s">
        <v>931</v>
      </c>
      <c r="I5" s="334" t="s">
        <v>932</v>
      </c>
      <c r="J5" s="334"/>
      <c r="K5" s="334" t="s">
        <v>933</v>
      </c>
      <c r="L5" s="335" t="s">
        <v>906</v>
      </c>
      <c r="M5" s="479" t="s">
        <v>934</v>
      </c>
      <c r="N5" s="479" t="s">
        <v>934</v>
      </c>
      <c r="O5" s="336" t="s">
        <v>932</v>
      </c>
      <c r="P5" s="337"/>
      <c r="Q5" s="332"/>
      <c r="R5" s="332"/>
    </row>
    <row r="6" spans="2:27">
      <c r="B6" s="189"/>
      <c r="C6" s="180">
        <v>2011</v>
      </c>
      <c r="D6" s="254">
        <v>5</v>
      </c>
      <c r="E6" s="254">
        <f>+$C$24*J6+(1-$C$24)*(K6+H6+$C$22*(H6-G6)+$C$23*O6)</f>
        <v>8.1846798970432602</v>
      </c>
      <c r="F6" s="254">
        <v>4.8781491879010819</v>
      </c>
      <c r="G6" s="254">
        <v>5</v>
      </c>
      <c r="H6" s="254">
        <v>6.5</v>
      </c>
      <c r="I6" s="254">
        <f>F6-G6</f>
        <v>-0.12185081209891813</v>
      </c>
      <c r="J6" s="254">
        <v>10.4</v>
      </c>
      <c r="K6" s="254">
        <v>2</v>
      </c>
      <c r="L6" s="477">
        <v>8</v>
      </c>
      <c r="M6" s="345">
        <f>'PIB real y brecha del producto'!C11</f>
        <v>11726.952807166241</v>
      </c>
      <c r="N6" s="345">
        <f>'PIB real y brecha del producto'!F11</f>
        <v>11888.174551436117</v>
      </c>
      <c r="O6" s="477">
        <f>'PIB real y brecha del producto'!G11</f>
        <v>-1.3561522298677944</v>
      </c>
      <c r="P6" s="317"/>
      <c r="Q6" s="338"/>
      <c r="R6" s="338"/>
    </row>
    <row r="7" spans="2:27">
      <c r="B7" s="189"/>
      <c r="C7" s="180">
        <v>2012</v>
      </c>
      <c r="D7" s="254">
        <v>7</v>
      </c>
      <c r="E7" s="254">
        <f>+$C$24*J7+(1-$C$24)*(K7+H7+$C$22*(H7-G7)+$C$23*O7)</f>
        <v>6.6000000000001107</v>
      </c>
      <c r="F7" s="254">
        <v>5</v>
      </c>
      <c r="G7" s="254">
        <v>5</v>
      </c>
      <c r="H7" s="254">
        <v>5</v>
      </c>
      <c r="I7" s="254">
        <f>F7-G7</f>
        <v>0</v>
      </c>
      <c r="J7" s="254">
        <f>D6</f>
        <v>5</v>
      </c>
      <c r="K7" s="254">
        <v>2</v>
      </c>
      <c r="L7" s="477">
        <v>9.25</v>
      </c>
      <c r="M7" s="345">
        <f>'PIB real y brecha del producto'!C12</f>
        <v>12184.443739182007</v>
      </c>
      <c r="N7" s="345">
        <f>'PIB real y brecha del producto'!F12</f>
        <v>12184.443739181999</v>
      </c>
      <c r="O7" s="477">
        <f>'PIB real y brecha del producto'!G12</f>
        <v>5.971513981213472E-14</v>
      </c>
      <c r="P7" s="317"/>
      <c r="Q7" s="338"/>
      <c r="R7" s="338"/>
    </row>
    <row r="8" spans="2:27">
      <c r="B8" s="189"/>
      <c r="C8" s="180">
        <v>2013</v>
      </c>
      <c r="D8" s="254">
        <v>8.8660414593936352</v>
      </c>
      <c r="E8" s="254">
        <f>+$C$24*J8+(1-$C$24)*(K8+H8+$C$22*(H8-G8)+$C$23*O8)</f>
        <v>8.4928331675148865</v>
      </c>
      <c r="F8" s="254">
        <v>6.1358513231091649</v>
      </c>
      <c r="G8" s="254">
        <v>5</v>
      </c>
      <c r="H8" s="254">
        <v>5</v>
      </c>
      <c r="I8" s="254">
        <f>F8-G8</f>
        <v>1.1358513231091649</v>
      </c>
      <c r="J8" s="254">
        <f>D7</f>
        <v>7</v>
      </c>
      <c r="K8" s="254">
        <v>2</v>
      </c>
      <c r="L8" s="477">
        <v>12.2</v>
      </c>
      <c r="M8" s="345">
        <f>'PIB real y brecha del producto'!C13</f>
        <v>12774.630811636434</v>
      </c>
      <c r="N8" s="345">
        <f>'PIB real y brecha del producto'!F13</f>
        <v>12671.8214887493</v>
      </c>
      <c r="O8" s="477">
        <f>'PIB real y brecha del producto'!G13</f>
        <v>0.8113223736493943</v>
      </c>
      <c r="P8" s="317"/>
      <c r="Q8" s="338"/>
      <c r="R8" s="338"/>
    </row>
    <row r="9" spans="2:27">
      <c r="B9" s="189"/>
      <c r="C9" s="180">
        <v>2014</v>
      </c>
      <c r="D9" s="1119">
        <f>E9</f>
        <v>9.6716905157123403</v>
      </c>
      <c r="E9" s="1118">
        <f>$C$24*D8+(1-$C$24)*(K9+H9+$C$22*(H9-G9)+$C$23*O9)</f>
        <v>9.6716905157123403</v>
      </c>
      <c r="F9" s="254">
        <f>Inflación!O31</f>
        <v>7.3556691967236247</v>
      </c>
      <c r="G9" s="1031">
        <v>5</v>
      </c>
      <c r="H9" s="254">
        <v>5</v>
      </c>
      <c r="I9" s="254">
        <f>F9-G9</f>
        <v>2.3556691967236247</v>
      </c>
      <c r="J9" s="254">
        <f>D8</f>
        <v>8.8660414593936352</v>
      </c>
      <c r="K9" s="254">
        <v>2</v>
      </c>
      <c r="L9" s="254">
        <f>F32</f>
        <v>14.67169051571234</v>
      </c>
      <c r="M9" s="345">
        <f>'PIB real y brecha del producto'!G30</f>
        <v>13343.31931945635</v>
      </c>
      <c r="N9" s="345">
        <f>'PIB real y brecha del producto'!F14</f>
        <v>13178.694348299272</v>
      </c>
      <c r="O9" s="477">
        <f>'PIB real y brecha del producto'!G32</f>
        <v>1.2491751216487026</v>
      </c>
      <c r="P9" s="317"/>
      <c r="Q9" s="338"/>
      <c r="R9" s="338"/>
    </row>
    <row r="10" spans="2:27" ht="15.75" thickBot="1">
      <c r="B10" s="137"/>
      <c r="C10" s="324"/>
      <c r="D10" s="324"/>
      <c r="E10" s="324"/>
      <c r="F10" s="324"/>
      <c r="G10" s="324"/>
      <c r="H10" s="324"/>
      <c r="I10" s="324"/>
      <c r="J10" s="324"/>
      <c r="K10" s="324"/>
      <c r="L10" s="324"/>
      <c r="M10" s="324"/>
      <c r="N10" s="324"/>
      <c r="O10" s="324"/>
      <c r="P10" s="478"/>
      <c r="Q10" s="338"/>
      <c r="R10" s="338"/>
    </row>
    <row r="11" spans="2:27">
      <c r="C11" s="323"/>
      <c r="D11" s="323"/>
      <c r="E11" s="1062"/>
      <c r="F11" s="323"/>
      <c r="G11" s="323"/>
      <c r="H11" s="323"/>
      <c r="I11" s="323"/>
      <c r="J11" s="323"/>
      <c r="K11" s="323"/>
      <c r="L11" s="323"/>
      <c r="M11" s="323"/>
      <c r="N11" s="323"/>
      <c r="O11" s="323"/>
      <c r="P11" s="323"/>
      <c r="Q11" s="338"/>
      <c r="R11" s="338"/>
    </row>
    <row r="12" spans="2:27">
      <c r="F12" s="1022"/>
      <c r="Q12" s="338"/>
      <c r="R12" s="338"/>
    </row>
    <row r="13" spans="2:27">
      <c r="F13" s="1022"/>
      <c r="Q13" s="338"/>
      <c r="R13" s="338"/>
    </row>
    <row r="14" spans="2:27">
      <c r="B14" s="1168" t="s">
        <v>935</v>
      </c>
      <c r="C14" s="1168"/>
      <c r="D14" s="701"/>
      <c r="E14" s="701"/>
      <c r="Q14" s="338"/>
      <c r="R14" s="338"/>
    </row>
    <row r="15" spans="2:27">
      <c r="P15" s="323"/>
      <c r="Q15" s="338"/>
      <c r="R15" s="338"/>
      <c r="U15" s="325"/>
      <c r="V15" s="325"/>
      <c r="W15" s="325"/>
      <c r="X15" s="325"/>
      <c r="Y15" s="325"/>
    </row>
    <row r="16" spans="2:27">
      <c r="Q16" s="338"/>
      <c r="R16" s="338"/>
      <c r="S16" s="49"/>
    </row>
    <row r="17" spans="2:27">
      <c r="Q17" s="338"/>
      <c r="R17" s="338"/>
      <c r="S17" s="49"/>
    </row>
    <row r="18" spans="2:27">
      <c r="Q18" s="338"/>
      <c r="R18" s="338"/>
      <c r="S18" s="49"/>
      <c r="T18" s="49"/>
    </row>
    <row r="19" spans="2:27">
      <c r="Q19" s="338"/>
      <c r="R19" s="338"/>
      <c r="S19" s="49"/>
      <c r="T19" s="325"/>
      <c r="V19" s="49"/>
    </row>
    <row r="20" spans="2:27" ht="15.75" thickBot="1">
      <c r="Q20" s="338"/>
      <c r="R20" s="338"/>
      <c r="S20" s="49"/>
      <c r="T20" s="325"/>
      <c r="V20" s="49"/>
    </row>
    <row r="21" spans="2:27" ht="15.75" thickBot="1">
      <c r="B21" s="339" t="s">
        <v>936</v>
      </c>
      <c r="C21" s="340"/>
      <c r="Q21" s="338"/>
      <c r="R21" s="343"/>
      <c r="S21" s="49"/>
      <c r="T21" s="325"/>
      <c r="V21" s="49"/>
    </row>
    <row r="22" spans="2:27" ht="16.5" thickTop="1" thickBot="1">
      <c r="B22" s="341" t="s">
        <v>937</v>
      </c>
      <c r="C22" s="514">
        <v>1.5</v>
      </c>
      <c r="G22" s="267"/>
      <c r="Q22" s="338"/>
      <c r="R22" s="343"/>
      <c r="S22" s="49"/>
      <c r="T22" s="325"/>
      <c r="V22" s="49"/>
    </row>
    <row r="23" spans="2:27" ht="16.5" thickTop="1" thickBot="1">
      <c r="B23" s="318" t="s">
        <v>938</v>
      </c>
      <c r="C23" s="514">
        <v>2.2999999999999998</v>
      </c>
      <c r="L23" s="267"/>
      <c r="Q23" s="338"/>
      <c r="R23" s="343"/>
      <c r="S23" s="314"/>
      <c r="T23" s="314"/>
      <c r="U23" s="314"/>
      <c r="V23" s="314"/>
      <c r="W23" s="314"/>
      <c r="X23" s="314"/>
      <c r="Y23" s="314"/>
      <c r="Z23" s="314"/>
      <c r="AA23" s="314"/>
    </row>
    <row r="24" spans="2:27" ht="16.5" thickTop="1" thickBot="1">
      <c r="B24" s="342" t="s">
        <v>939</v>
      </c>
      <c r="C24" s="514">
        <v>0.2</v>
      </c>
      <c r="Q24" s="338"/>
      <c r="R24" s="343"/>
      <c r="S24" s="344"/>
      <c r="T24" s="314"/>
      <c r="U24" s="314"/>
      <c r="V24" s="314"/>
      <c r="W24" s="314"/>
      <c r="X24" s="314"/>
      <c r="Y24" s="314"/>
      <c r="Z24" s="314"/>
      <c r="AA24" s="314"/>
    </row>
    <row r="25" spans="2:27">
      <c r="Q25" s="338"/>
      <c r="R25" s="343"/>
      <c r="Y25" s="314"/>
      <c r="Z25" s="314"/>
      <c r="AA25" s="314"/>
    </row>
    <row r="26" spans="2:27">
      <c r="Q26" s="338"/>
      <c r="R26" s="343"/>
      <c r="Y26" s="314"/>
      <c r="Z26" s="314"/>
      <c r="AA26" s="314"/>
    </row>
    <row r="27" spans="2:27">
      <c r="Q27" s="338"/>
      <c r="R27" s="343"/>
      <c r="Y27" s="314"/>
      <c r="Z27" s="314"/>
      <c r="AA27" s="314"/>
    </row>
    <row r="28" spans="2:27">
      <c r="B28" s="319" t="s">
        <v>940</v>
      </c>
      <c r="C28" s="320"/>
      <c r="D28" s="320"/>
      <c r="E28" s="320"/>
      <c r="F28" s="320"/>
      <c r="G28" s="314"/>
      <c r="Q28" s="338"/>
      <c r="R28" s="343"/>
      <c r="Y28" s="314"/>
      <c r="Z28" s="314"/>
      <c r="AA28" s="314"/>
    </row>
    <row r="29" spans="2:27">
      <c r="B29" s="321"/>
      <c r="C29" s="320"/>
      <c r="D29" s="320"/>
      <c r="E29" s="320"/>
      <c r="F29" s="320"/>
      <c r="G29" s="314"/>
      <c r="Q29" s="338"/>
      <c r="R29" s="343"/>
      <c r="Y29" s="314"/>
      <c r="Z29" s="314"/>
      <c r="AA29" s="314"/>
    </row>
    <row r="30" spans="2:27">
      <c r="B30" s="321" t="s">
        <v>941</v>
      </c>
      <c r="C30" s="320"/>
      <c r="D30" s="320"/>
      <c r="E30" s="320"/>
      <c r="F30" s="527">
        <f>E9</f>
        <v>9.6716905157123403</v>
      </c>
      <c r="G30" s="257"/>
      <c r="Q30" s="338"/>
      <c r="R30" s="343"/>
      <c r="Y30" s="314"/>
      <c r="Z30" s="314"/>
      <c r="AA30" s="314"/>
    </row>
    <row r="31" spans="2:27">
      <c r="B31" s="321" t="s">
        <v>942</v>
      </c>
      <c r="C31" s="320"/>
      <c r="D31" s="320"/>
      <c r="E31" s="320"/>
      <c r="F31" s="322">
        <v>5</v>
      </c>
      <c r="G31" s="257"/>
      <c r="Q31" s="267"/>
      <c r="R31" s="338"/>
      <c r="S31" s="267"/>
      <c r="T31" s="314"/>
      <c r="U31" s="314"/>
      <c r="V31" s="314"/>
      <c r="W31" s="314"/>
      <c r="X31" s="314"/>
      <c r="Y31" s="314"/>
      <c r="Z31" s="314"/>
      <c r="AA31" s="314"/>
    </row>
    <row r="32" spans="2:27">
      <c r="B32" s="321" t="s">
        <v>943</v>
      </c>
      <c r="C32" s="320"/>
      <c r="D32" s="320"/>
      <c r="E32" s="320"/>
      <c r="F32" s="527">
        <f>(F30+F31)</f>
        <v>14.67169051571234</v>
      </c>
      <c r="G32" s="257" t="s">
        <v>944</v>
      </c>
      <c r="Q32" s="323"/>
      <c r="R32" s="323"/>
    </row>
    <row r="33" spans="17:32">
      <c r="Q33" s="323"/>
      <c r="R33" s="323"/>
    </row>
    <row r="34" spans="17:32">
      <c r="AE34" s="250"/>
    </row>
    <row r="35" spans="17:32">
      <c r="AE35" s="250"/>
    </row>
    <row r="36" spans="17:32">
      <c r="AE36" s="250"/>
    </row>
    <row r="37" spans="17:32">
      <c r="AE37" s="250"/>
    </row>
    <row r="38" spans="17:32">
      <c r="AE38" s="250"/>
    </row>
    <row r="39" spans="17:32">
      <c r="AE39" s="250"/>
    </row>
    <row r="40" spans="17:32">
      <c r="AE40" s="250"/>
    </row>
    <row r="41" spans="17:32">
      <c r="AF41" s="250"/>
    </row>
    <row r="42" spans="17:32">
      <c r="AF42" s="250"/>
    </row>
    <row r="43" spans="17:32">
      <c r="AF43" s="250"/>
    </row>
    <row r="44" spans="17:32">
      <c r="AF44" s="250"/>
    </row>
    <row r="45" spans="17:32">
      <c r="AF45" s="250"/>
    </row>
    <row r="46" spans="17:32">
      <c r="AF46" s="250"/>
    </row>
    <row r="47" spans="17:32">
      <c r="AF47" s="250"/>
    </row>
    <row r="48" spans="17:32">
      <c r="AF48" s="250"/>
    </row>
    <row r="49" spans="32:34">
      <c r="AF49" s="250"/>
    </row>
    <row r="50" spans="32:34">
      <c r="AF50" s="250"/>
    </row>
    <row r="51" spans="32:34">
      <c r="AG51" s="250"/>
    </row>
    <row r="52" spans="32:34">
      <c r="AG52" s="250"/>
    </row>
    <row r="53" spans="32:34">
      <c r="AG53" s="250"/>
    </row>
    <row r="54" spans="32:34">
      <c r="AG54" s="250"/>
    </row>
    <row r="55" spans="32:34">
      <c r="AG55" s="250"/>
    </row>
    <row r="56" spans="32:34">
      <c r="AG56" s="250"/>
    </row>
    <row r="57" spans="32:34">
      <c r="AG57" s="250"/>
    </row>
    <row r="58" spans="32:34">
      <c r="AG58" s="250"/>
    </row>
    <row r="59" spans="32:34">
      <c r="AG59" s="250"/>
    </row>
    <row r="60" spans="32:34">
      <c r="AG60" s="250"/>
    </row>
    <row r="61" spans="32:34">
      <c r="AH61" s="250"/>
    </row>
    <row r="62" spans="32:34">
      <c r="AH62" s="250"/>
    </row>
    <row r="63" spans="32:34">
      <c r="AH63" s="250"/>
    </row>
    <row r="64" spans="32:34">
      <c r="AH64" s="250"/>
    </row>
    <row r="65" spans="34:34">
      <c r="AH65" s="250"/>
    </row>
    <row r="66" spans="34:34">
      <c r="AH66" s="250"/>
    </row>
    <row r="67" spans="34:34">
      <c r="AH67" s="250"/>
    </row>
    <row r="68" spans="34:34">
      <c r="AH68" s="250"/>
    </row>
    <row r="69" spans="34:34">
      <c r="AH69" s="250"/>
    </row>
    <row r="70" spans="34:34">
      <c r="AH70" s="250"/>
    </row>
  </sheetData>
  <mergeCells count="1">
    <mergeCell ref="B14:C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386049" r:id="rId4">
          <objectPr defaultSize="0" autoPict="0" r:id="rId5">
            <anchor moveWithCells="1" sizeWithCells="1">
              <from>
                <xdr:col>1</xdr:col>
                <xdr:colOff>104775</xdr:colOff>
                <xdr:row>15</xdr:row>
                <xdr:rowOff>66675</xdr:rowOff>
              </from>
              <to>
                <xdr:col>7</xdr:col>
                <xdr:colOff>371475</xdr:colOff>
                <xdr:row>17</xdr:row>
                <xdr:rowOff>123825</xdr:rowOff>
              </to>
            </anchor>
          </objectPr>
        </oleObject>
      </mc:Choice>
      <mc:Fallback>
        <oleObject progId="Equation.DSMT4" shapeId="386049" r:id="rId4"/>
      </mc:Fallback>
    </mc:AlternateContent>
  </oleObjec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8" tint="-0.499984740745262"/>
    <pageSetUpPr fitToPage="1"/>
  </sheetPr>
  <dimension ref="B1:Z39"/>
  <sheetViews>
    <sheetView workbookViewId="0">
      <selection activeCell="C33" sqref="C33"/>
    </sheetView>
  </sheetViews>
  <sheetFormatPr baseColWidth="10" defaultColWidth="9.140625" defaultRowHeight="15"/>
  <cols>
    <col min="1" max="1" width="9.42578125" style="893"/>
    <col min="2" max="2" width="111.7109375" style="893" customWidth="1"/>
    <col min="3" max="3" width="12.5703125" style="893" customWidth="1"/>
    <col min="4" max="4" width="13.5703125" style="894" customWidth="1"/>
    <col min="5" max="5" width="41.5703125" style="893" customWidth="1"/>
    <col min="6" max="256" width="9.42578125" style="893"/>
    <col min="257" max="257" width="5.42578125" style="893" customWidth="1"/>
    <col min="258" max="258" width="57.5703125" style="893" customWidth="1"/>
    <col min="259" max="259" width="12.5703125" style="893" customWidth="1"/>
    <col min="260" max="260" width="9" style="893" customWidth="1"/>
    <col min="261" max="261" width="41.5703125" style="893" customWidth="1"/>
    <col min="262" max="512" width="9.42578125" style="893"/>
    <col min="513" max="513" width="5.42578125" style="893" customWidth="1"/>
    <col min="514" max="514" width="57.5703125" style="893" customWidth="1"/>
    <col min="515" max="515" width="12.5703125" style="893" customWidth="1"/>
    <col min="516" max="516" width="9" style="893" customWidth="1"/>
    <col min="517" max="517" width="41.5703125" style="893" customWidth="1"/>
    <col min="518" max="768" width="9.42578125" style="893"/>
    <col min="769" max="769" width="5.42578125" style="893" customWidth="1"/>
    <col min="770" max="770" width="57.5703125" style="893" customWidth="1"/>
    <col min="771" max="771" width="12.5703125" style="893" customWidth="1"/>
    <col min="772" max="772" width="9" style="893" customWidth="1"/>
    <col min="773" max="773" width="41.5703125" style="893" customWidth="1"/>
    <col min="774" max="1024" width="9.42578125" style="893"/>
    <col min="1025" max="1025" width="5.42578125" style="893" customWidth="1"/>
    <col min="1026" max="1026" width="57.5703125" style="893" customWidth="1"/>
    <col min="1027" max="1027" width="12.5703125" style="893" customWidth="1"/>
    <col min="1028" max="1028" width="9" style="893" customWidth="1"/>
    <col min="1029" max="1029" width="41.5703125" style="893" customWidth="1"/>
    <col min="1030" max="1280" width="9.42578125" style="893"/>
    <col min="1281" max="1281" width="5.42578125" style="893" customWidth="1"/>
    <col min="1282" max="1282" width="57.5703125" style="893" customWidth="1"/>
    <col min="1283" max="1283" width="12.5703125" style="893" customWidth="1"/>
    <col min="1284" max="1284" width="9" style="893" customWidth="1"/>
    <col min="1285" max="1285" width="41.5703125" style="893" customWidth="1"/>
    <col min="1286" max="1536" width="9.42578125" style="893"/>
    <col min="1537" max="1537" width="5.42578125" style="893" customWidth="1"/>
    <col min="1538" max="1538" width="57.5703125" style="893" customWidth="1"/>
    <col min="1539" max="1539" width="12.5703125" style="893" customWidth="1"/>
    <col min="1540" max="1540" width="9" style="893" customWidth="1"/>
    <col min="1541" max="1541" width="41.5703125" style="893" customWidth="1"/>
    <col min="1542" max="1792" width="9.42578125" style="893"/>
    <col min="1793" max="1793" width="5.42578125" style="893" customWidth="1"/>
    <col min="1794" max="1794" width="57.5703125" style="893" customWidth="1"/>
    <col min="1795" max="1795" width="12.5703125" style="893" customWidth="1"/>
    <col min="1796" max="1796" width="9" style="893" customWidth="1"/>
    <col min="1797" max="1797" width="41.5703125" style="893" customWidth="1"/>
    <col min="1798" max="2048" width="9.42578125" style="893"/>
    <col min="2049" max="2049" width="5.42578125" style="893" customWidth="1"/>
    <col min="2050" max="2050" width="57.5703125" style="893" customWidth="1"/>
    <col min="2051" max="2051" width="12.5703125" style="893" customWidth="1"/>
    <col min="2052" max="2052" width="9" style="893" customWidth="1"/>
    <col min="2053" max="2053" width="41.5703125" style="893" customWidth="1"/>
    <col min="2054" max="2304" width="9.42578125" style="893"/>
    <col min="2305" max="2305" width="5.42578125" style="893" customWidth="1"/>
    <col min="2306" max="2306" width="57.5703125" style="893" customWidth="1"/>
    <col min="2307" max="2307" width="12.5703125" style="893" customWidth="1"/>
    <col min="2308" max="2308" width="9" style="893" customWidth="1"/>
    <col min="2309" max="2309" width="41.5703125" style="893" customWidth="1"/>
    <col min="2310" max="2560" width="9.42578125" style="893"/>
    <col min="2561" max="2561" width="5.42578125" style="893" customWidth="1"/>
    <col min="2562" max="2562" width="57.5703125" style="893" customWidth="1"/>
    <col min="2563" max="2563" width="12.5703125" style="893" customWidth="1"/>
    <col min="2564" max="2564" width="9" style="893" customWidth="1"/>
    <col min="2565" max="2565" width="41.5703125" style="893" customWidth="1"/>
    <col min="2566" max="2816" width="9.42578125" style="893"/>
    <col min="2817" max="2817" width="5.42578125" style="893" customWidth="1"/>
    <col min="2818" max="2818" width="57.5703125" style="893" customWidth="1"/>
    <col min="2819" max="2819" width="12.5703125" style="893" customWidth="1"/>
    <col min="2820" max="2820" width="9" style="893" customWidth="1"/>
    <col min="2821" max="2821" width="41.5703125" style="893" customWidth="1"/>
    <col min="2822" max="3072" width="9.42578125" style="893"/>
    <col min="3073" max="3073" width="5.42578125" style="893" customWidth="1"/>
    <col min="3074" max="3074" width="57.5703125" style="893" customWidth="1"/>
    <col min="3075" max="3075" width="12.5703125" style="893" customWidth="1"/>
    <col min="3076" max="3076" width="9" style="893" customWidth="1"/>
    <col min="3077" max="3077" width="41.5703125" style="893" customWidth="1"/>
    <col min="3078" max="3328" width="9.42578125" style="893"/>
    <col min="3329" max="3329" width="5.42578125" style="893" customWidth="1"/>
    <col min="3330" max="3330" width="57.5703125" style="893" customWidth="1"/>
    <col min="3331" max="3331" width="12.5703125" style="893" customWidth="1"/>
    <col min="3332" max="3332" width="9" style="893" customWidth="1"/>
    <col min="3333" max="3333" width="41.5703125" style="893" customWidth="1"/>
    <col min="3334" max="3584" width="9.42578125" style="893"/>
    <col min="3585" max="3585" width="5.42578125" style="893" customWidth="1"/>
    <col min="3586" max="3586" width="57.5703125" style="893" customWidth="1"/>
    <col min="3587" max="3587" width="12.5703125" style="893" customWidth="1"/>
    <col min="3588" max="3588" width="9" style="893" customWidth="1"/>
    <col min="3589" max="3589" width="41.5703125" style="893" customWidth="1"/>
    <col min="3590" max="3840" width="9.42578125" style="893"/>
    <col min="3841" max="3841" width="5.42578125" style="893" customWidth="1"/>
    <col min="3842" max="3842" width="57.5703125" style="893" customWidth="1"/>
    <col min="3843" max="3843" width="12.5703125" style="893" customWidth="1"/>
    <col min="3844" max="3844" width="9" style="893" customWidth="1"/>
    <col min="3845" max="3845" width="41.5703125" style="893" customWidth="1"/>
    <col min="3846" max="4096" width="9.42578125" style="893"/>
    <col min="4097" max="4097" width="5.42578125" style="893" customWidth="1"/>
    <col min="4098" max="4098" width="57.5703125" style="893" customWidth="1"/>
    <col min="4099" max="4099" width="12.5703125" style="893" customWidth="1"/>
    <col min="4100" max="4100" width="9" style="893" customWidth="1"/>
    <col min="4101" max="4101" width="41.5703125" style="893" customWidth="1"/>
    <col min="4102" max="4352" width="9.42578125" style="893"/>
    <col min="4353" max="4353" width="5.42578125" style="893" customWidth="1"/>
    <col min="4354" max="4354" width="57.5703125" style="893" customWidth="1"/>
    <col min="4355" max="4355" width="12.5703125" style="893" customWidth="1"/>
    <col min="4356" max="4356" width="9" style="893" customWidth="1"/>
    <col min="4357" max="4357" width="41.5703125" style="893" customWidth="1"/>
    <col min="4358" max="4608" width="9.42578125" style="893"/>
    <col min="4609" max="4609" width="5.42578125" style="893" customWidth="1"/>
    <col min="4610" max="4610" width="57.5703125" style="893" customWidth="1"/>
    <col min="4611" max="4611" width="12.5703125" style="893" customWidth="1"/>
    <col min="4612" max="4612" width="9" style="893" customWidth="1"/>
    <col min="4613" max="4613" width="41.5703125" style="893" customWidth="1"/>
    <col min="4614" max="4864" width="9.42578125" style="893"/>
    <col min="4865" max="4865" width="5.42578125" style="893" customWidth="1"/>
    <col min="4866" max="4866" width="57.5703125" style="893" customWidth="1"/>
    <col min="4867" max="4867" width="12.5703125" style="893" customWidth="1"/>
    <col min="4868" max="4868" width="9" style="893" customWidth="1"/>
    <col min="4869" max="4869" width="41.5703125" style="893" customWidth="1"/>
    <col min="4870" max="5120" width="9.42578125" style="893"/>
    <col min="5121" max="5121" width="5.42578125" style="893" customWidth="1"/>
    <col min="5122" max="5122" width="57.5703125" style="893" customWidth="1"/>
    <col min="5123" max="5123" width="12.5703125" style="893" customWidth="1"/>
    <col min="5124" max="5124" width="9" style="893" customWidth="1"/>
    <col min="5125" max="5125" width="41.5703125" style="893" customWidth="1"/>
    <col min="5126" max="5376" width="9.42578125" style="893"/>
    <col min="5377" max="5377" width="5.42578125" style="893" customWidth="1"/>
    <col min="5378" max="5378" width="57.5703125" style="893" customWidth="1"/>
    <col min="5379" max="5379" width="12.5703125" style="893" customWidth="1"/>
    <col min="5380" max="5380" width="9" style="893" customWidth="1"/>
    <col min="5381" max="5381" width="41.5703125" style="893" customWidth="1"/>
    <col min="5382" max="5632" width="9.42578125" style="893"/>
    <col min="5633" max="5633" width="5.42578125" style="893" customWidth="1"/>
    <col min="5634" max="5634" width="57.5703125" style="893" customWidth="1"/>
    <col min="5635" max="5635" width="12.5703125" style="893" customWidth="1"/>
    <col min="5636" max="5636" width="9" style="893" customWidth="1"/>
    <col min="5637" max="5637" width="41.5703125" style="893" customWidth="1"/>
    <col min="5638" max="5888" width="9.42578125" style="893"/>
    <col min="5889" max="5889" width="5.42578125" style="893" customWidth="1"/>
    <col min="5890" max="5890" width="57.5703125" style="893" customWidth="1"/>
    <col min="5891" max="5891" width="12.5703125" style="893" customWidth="1"/>
    <col min="5892" max="5892" width="9" style="893" customWidth="1"/>
    <col min="5893" max="5893" width="41.5703125" style="893" customWidth="1"/>
    <col min="5894" max="6144" width="9.42578125" style="893"/>
    <col min="6145" max="6145" width="5.42578125" style="893" customWidth="1"/>
    <col min="6146" max="6146" width="57.5703125" style="893" customWidth="1"/>
    <col min="6147" max="6147" width="12.5703125" style="893" customWidth="1"/>
    <col min="6148" max="6148" width="9" style="893" customWidth="1"/>
    <col min="6149" max="6149" width="41.5703125" style="893" customWidth="1"/>
    <col min="6150" max="6400" width="9.42578125" style="893"/>
    <col min="6401" max="6401" width="5.42578125" style="893" customWidth="1"/>
    <col min="6402" max="6402" width="57.5703125" style="893" customWidth="1"/>
    <col min="6403" max="6403" width="12.5703125" style="893" customWidth="1"/>
    <col min="6404" max="6404" width="9" style="893" customWidth="1"/>
    <col min="6405" max="6405" width="41.5703125" style="893" customWidth="1"/>
    <col min="6406" max="6656" width="9.42578125" style="893"/>
    <col min="6657" max="6657" width="5.42578125" style="893" customWidth="1"/>
    <col min="6658" max="6658" width="57.5703125" style="893" customWidth="1"/>
    <col min="6659" max="6659" width="12.5703125" style="893" customWidth="1"/>
    <col min="6660" max="6660" width="9" style="893" customWidth="1"/>
    <col min="6661" max="6661" width="41.5703125" style="893" customWidth="1"/>
    <col min="6662" max="6912" width="9.42578125" style="893"/>
    <col min="6913" max="6913" width="5.42578125" style="893" customWidth="1"/>
    <col min="6914" max="6914" width="57.5703125" style="893" customWidth="1"/>
    <col min="6915" max="6915" width="12.5703125" style="893" customWidth="1"/>
    <col min="6916" max="6916" width="9" style="893" customWidth="1"/>
    <col min="6917" max="6917" width="41.5703125" style="893" customWidth="1"/>
    <col min="6918" max="7168" width="9.42578125" style="893"/>
    <col min="7169" max="7169" width="5.42578125" style="893" customWidth="1"/>
    <col min="7170" max="7170" width="57.5703125" style="893" customWidth="1"/>
    <col min="7171" max="7171" width="12.5703125" style="893" customWidth="1"/>
    <col min="7172" max="7172" width="9" style="893" customWidth="1"/>
    <col min="7173" max="7173" width="41.5703125" style="893" customWidth="1"/>
    <col min="7174" max="7424" width="9.42578125" style="893"/>
    <col min="7425" max="7425" width="5.42578125" style="893" customWidth="1"/>
    <col min="7426" max="7426" width="57.5703125" style="893" customWidth="1"/>
    <col min="7427" max="7427" width="12.5703125" style="893" customWidth="1"/>
    <col min="7428" max="7428" width="9" style="893" customWidth="1"/>
    <col min="7429" max="7429" width="41.5703125" style="893" customWidth="1"/>
    <col min="7430" max="7680" width="9.42578125" style="893"/>
    <col min="7681" max="7681" width="5.42578125" style="893" customWidth="1"/>
    <col min="7682" max="7682" width="57.5703125" style="893" customWidth="1"/>
    <col min="7683" max="7683" width="12.5703125" style="893" customWidth="1"/>
    <col min="7684" max="7684" width="9" style="893" customWidth="1"/>
    <col min="7685" max="7685" width="41.5703125" style="893" customWidth="1"/>
    <col min="7686" max="7936" width="9.42578125" style="893"/>
    <col min="7937" max="7937" width="5.42578125" style="893" customWidth="1"/>
    <col min="7938" max="7938" width="57.5703125" style="893" customWidth="1"/>
    <col min="7939" max="7939" width="12.5703125" style="893" customWidth="1"/>
    <col min="7940" max="7940" width="9" style="893" customWidth="1"/>
    <col min="7941" max="7941" width="41.5703125" style="893" customWidth="1"/>
    <col min="7942" max="8192" width="9.42578125" style="893"/>
    <col min="8193" max="8193" width="5.42578125" style="893" customWidth="1"/>
    <col min="8194" max="8194" width="57.5703125" style="893" customWidth="1"/>
    <col min="8195" max="8195" width="12.5703125" style="893" customWidth="1"/>
    <col min="8196" max="8196" width="9" style="893" customWidth="1"/>
    <col min="8197" max="8197" width="41.5703125" style="893" customWidth="1"/>
    <col min="8198" max="8448" width="9.42578125" style="893"/>
    <col min="8449" max="8449" width="5.42578125" style="893" customWidth="1"/>
    <col min="8450" max="8450" width="57.5703125" style="893" customWidth="1"/>
    <col min="8451" max="8451" width="12.5703125" style="893" customWidth="1"/>
    <col min="8452" max="8452" width="9" style="893" customWidth="1"/>
    <col min="8453" max="8453" width="41.5703125" style="893" customWidth="1"/>
    <col min="8454" max="8704" width="9.42578125" style="893"/>
    <col min="8705" max="8705" width="5.42578125" style="893" customWidth="1"/>
    <col min="8706" max="8706" width="57.5703125" style="893" customWidth="1"/>
    <col min="8707" max="8707" width="12.5703125" style="893" customWidth="1"/>
    <col min="8708" max="8708" width="9" style="893" customWidth="1"/>
    <col min="8709" max="8709" width="41.5703125" style="893" customWidth="1"/>
    <col min="8710" max="8960" width="9.42578125" style="893"/>
    <col min="8961" max="8961" width="5.42578125" style="893" customWidth="1"/>
    <col min="8962" max="8962" width="57.5703125" style="893" customWidth="1"/>
    <col min="8963" max="8963" width="12.5703125" style="893" customWidth="1"/>
    <col min="8964" max="8964" width="9" style="893" customWidth="1"/>
    <col min="8965" max="8965" width="41.5703125" style="893" customWidth="1"/>
    <col min="8966" max="9216" width="9.42578125" style="893"/>
    <col min="9217" max="9217" width="5.42578125" style="893" customWidth="1"/>
    <col min="9218" max="9218" width="57.5703125" style="893" customWidth="1"/>
    <col min="9219" max="9219" width="12.5703125" style="893" customWidth="1"/>
    <col min="9220" max="9220" width="9" style="893" customWidth="1"/>
    <col min="9221" max="9221" width="41.5703125" style="893" customWidth="1"/>
    <col min="9222" max="9472" width="9.42578125" style="893"/>
    <col min="9473" max="9473" width="5.42578125" style="893" customWidth="1"/>
    <col min="9474" max="9474" width="57.5703125" style="893" customWidth="1"/>
    <col min="9475" max="9475" width="12.5703125" style="893" customWidth="1"/>
    <col min="9476" max="9476" width="9" style="893" customWidth="1"/>
    <col min="9477" max="9477" width="41.5703125" style="893" customWidth="1"/>
    <col min="9478" max="9728" width="9.42578125" style="893"/>
    <col min="9729" max="9729" width="5.42578125" style="893" customWidth="1"/>
    <col min="9730" max="9730" width="57.5703125" style="893" customWidth="1"/>
    <col min="9731" max="9731" width="12.5703125" style="893" customWidth="1"/>
    <col min="9732" max="9732" width="9" style="893" customWidth="1"/>
    <col min="9733" max="9733" width="41.5703125" style="893" customWidth="1"/>
    <col min="9734" max="9984" width="9.42578125" style="893"/>
    <col min="9985" max="9985" width="5.42578125" style="893" customWidth="1"/>
    <col min="9986" max="9986" width="57.5703125" style="893" customWidth="1"/>
    <col min="9987" max="9987" width="12.5703125" style="893" customWidth="1"/>
    <col min="9988" max="9988" width="9" style="893" customWidth="1"/>
    <col min="9989" max="9989" width="41.5703125" style="893" customWidth="1"/>
    <col min="9990" max="10240" width="9.42578125" style="893"/>
    <col min="10241" max="10241" width="5.42578125" style="893" customWidth="1"/>
    <col min="10242" max="10242" width="57.5703125" style="893" customWidth="1"/>
    <col min="10243" max="10243" width="12.5703125" style="893" customWidth="1"/>
    <col min="10244" max="10244" width="9" style="893" customWidth="1"/>
    <col min="10245" max="10245" width="41.5703125" style="893" customWidth="1"/>
    <col min="10246" max="10496" width="9.42578125" style="893"/>
    <col min="10497" max="10497" width="5.42578125" style="893" customWidth="1"/>
    <col min="10498" max="10498" width="57.5703125" style="893" customWidth="1"/>
    <col min="10499" max="10499" width="12.5703125" style="893" customWidth="1"/>
    <col min="10500" max="10500" width="9" style="893" customWidth="1"/>
    <col min="10501" max="10501" width="41.5703125" style="893" customWidth="1"/>
    <col min="10502" max="10752" width="9.42578125" style="893"/>
    <col min="10753" max="10753" width="5.42578125" style="893" customWidth="1"/>
    <col min="10754" max="10754" width="57.5703125" style="893" customWidth="1"/>
    <col min="10755" max="10755" width="12.5703125" style="893" customWidth="1"/>
    <col min="10756" max="10756" width="9" style="893" customWidth="1"/>
    <col min="10757" max="10757" width="41.5703125" style="893" customWidth="1"/>
    <col min="10758" max="11008" width="9.42578125" style="893"/>
    <col min="11009" max="11009" width="5.42578125" style="893" customWidth="1"/>
    <col min="11010" max="11010" width="57.5703125" style="893" customWidth="1"/>
    <col min="11011" max="11011" width="12.5703125" style="893" customWidth="1"/>
    <col min="11012" max="11012" width="9" style="893" customWidth="1"/>
    <col min="11013" max="11013" width="41.5703125" style="893" customWidth="1"/>
    <col min="11014" max="11264" width="9.42578125" style="893"/>
    <col min="11265" max="11265" width="5.42578125" style="893" customWidth="1"/>
    <col min="11266" max="11266" width="57.5703125" style="893" customWidth="1"/>
    <col min="11267" max="11267" width="12.5703125" style="893" customWidth="1"/>
    <col min="11268" max="11268" width="9" style="893" customWidth="1"/>
    <col min="11269" max="11269" width="41.5703125" style="893" customWidth="1"/>
    <col min="11270" max="11520" width="9.42578125" style="893"/>
    <col min="11521" max="11521" width="5.42578125" style="893" customWidth="1"/>
    <col min="11522" max="11522" width="57.5703125" style="893" customWidth="1"/>
    <col min="11523" max="11523" width="12.5703125" style="893" customWidth="1"/>
    <col min="11524" max="11524" width="9" style="893" customWidth="1"/>
    <col min="11525" max="11525" width="41.5703125" style="893" customWidth="1"/>
    <col min="11526" max="11776" width="9.42578125" style="893"/>
    <col min="11777" max="11777" width="5.42578125" style="893" customWidth="1"/>
    <col min="11778" max="11778" width="57.5703125" style="893" customWidth="1"/>
    <col min="11779" max="11779" width="12.5703125" style="893" customWidth="1"/>
    <col min="11780" max="11780" width="9" style="893" customWidth="1"/>
    <col min="11781" max="11781" width="41.5703125" style="893" customWidth="1"/>
    <col min="11782" max="12032" width="9.42578125" style="893"/>
    <col min="12033" max="12033" width="5.42578125" style="893" customWidth="1"/>
    <col min="12034" max="12034" width="57.5703125" style="893" customWidth="1"/>
    <col min="12035" max="12035" width="12.5703125" style="893" customWidth="1"/>
    <col min="12036" max="12036" width="9" style="893" customWidth="1"/>
    <col min="12037" max="12037" width="41.5703125" style="893" customWidth="1"/>
    <col min="12038" max="12288" width="9.42578125" style="893"/>
    <col min="12289" max="12289" width="5.42578125" style="893" customWidth="1"/>
    <col min="12290" max="12290" width="57.5703125" style="893" customWidth="1"/>
    <col min="12291" max="12291" width="12.5703125" style="893" customWidth="1"/>
    <col min="12292" max="12292" width="9" style="893" customWidth="1"/>
    <col min="12293" max="12293" width="41.5703125" style="893" customWidth="1"/>
    <col min="12294" max="12544" width="9.42578125" style="893"/>
    <col min="12545" max="12545" width="5.42578125" style="893" customWidth="1"/>
    <col min="12546" max="12546" width="57.5703125" style="893" customWidth="1"/>
    <col min="12547" max="12547" width="12.5703125" style="893" customWidth="1"/>
    <col min="12548" max="12548" width="9" style="893" customWidth="1"/>
    <col min="12549" max="12549" width="41.5703125" style="893" customWidth="1"/>
    <col min="12550" max="12800" width="9.42578125" style="893"/>
    <col min="12801" max="12801" width="5.42578125" style="893" customWidth="1"/>
    <col min="12802" max="12802" width="57.5703125" style="893" customWidth="1"/>
    <col min="12803" max="12803" width="12.5703125" style="893" customWidth="1"/>
    <col min="12804" max="12804" width="9" style="893" customWidth="1"/>
    <col min="12805" max="12805" width="41.5703125" style="893" customWidth="1"/>
    <col min="12806" max="13056" width="9.42578125" style="893"/>
    <col min="13057" max="13057" width="5.42578125" style="893" customWidth="1"/>
    <col min="13058" max="13058" width="57.5703125" style="893" customWidth="1"/>
    <col min="13059" max="13059" width="12.5703125" style="893" customWidth="1"/>
    <col min="13060" max="13060" width="9" style="893" customWidth="1"/>
    <col min="13061" max="13061" width="41.5703125" style="893" customWidth="1"/>
    <col min="13062" max="13312" width="9.42578125" style="893"/>
    <col min="13313" max="13313" width="5.42578125" style="893" customWidth="1"/>
    <col min="13314" max="13314" width="57.5703125" style="893" customWidth="1"/>
    <col min="13315" max="13315" width="12.5703125" style="893" customWidth="1"/>
    <col min="13316" max="13316" width="9" style="893" customWidth="1"/>
    <col min="13317" max="13317" width="41.5703125" style="893" customWidth="1"/>
    <col min="13318" max="13568" width="9.42578125" style="893"/>
    <col min="13569" max="13569" width="5.42578125" style="893" customWidth="1"/>
    <col min="13570" max="13570" width="57.5703125" style="893" customWidth="1"/>
    <col min="13571" max="13571" width="12.5703125" style="893" customWidth="1"/>
    <col min="13572" max="13572" width="9" style="893" customWidth="1"/>
    <col min="13573" max="13573" width="41.5703125" style="893" customWidth="1"/>
    <col min="13574" max="13824" width="9.42578125" style="893"/>
    <col min="13825" max="13825" width="5.42578125" style="893" customWidth="1"/>
    <col min="13826" max="13826" width="57.5703125" style="893" customWidth="1"/>
    <col min="13827" max="13827" width="12.5703125" style="893" customWidth="1"/>
    <col min="13828" max="13828" width="9" style="893" customWidth="1"/>
    <col min="13829" max="13829" width="41.5703125" style="893" customWidth="1"/>
    <col min="13830" max="14080" width="9.42578125" style="893"/>
    <col min="14081" max="14081" width="5.42578125" style="893" customWidth="1"/>
    <col min="14082" max="14082" width="57.5703125" style="893" customWidth="1"/>
    <col min="14083" max="14083" width="12.5703125" style="893" customWidth="1"/>
    <col min="14084" max="14084" width="9" style="893" customWidth="1"/>
    <col min="14085" max="14085" width="41.5703125" style="893" customWidth="1"/>
    <col min="14086" max="14336" width="9.42578125" style="893"/>
    <col min="14337" max="14337" width="5.42578125" style="893" customWidth="1"/>
    <col min="14338" max="14338" width="57.5703125" style="893" customWidth="1"/>
    <col min="14339" max="14339" width="12.5703125" style="893" customWidth="1"/>
    <col min="14340" max="14340" width="9" style="893" customWidth="1"/>
    <col min="14341" max="14341" width="41.5703125" style="893" customWidth="1"/>
    <col min="14342" max="14592" width="9.42578125" style="893"/>
    <col min="14593" max="14593" width="5.42578125" style="893" customWidth="1"/>
    <col min="14594" max="14594" width="57.5703125" style="893" customWidth="1"/>
    <col min="14595" max="14595" width="12.5703125" style="893" customWidth="1"/>
    <col min="14596" max="14596" width="9" style="893" customWidth="1"/>
    <col min="14597" max="14597" width="41.5703125" style="893" customWidth="1"/>
    <col min="14598" max="14848" width="9.42578125" style="893"/>
    <col min="14849" max="14849" width="5.42578125" style="893" customWidth="1"/>
    <col min="14850" max="14850" width="57.5703125" style="893" customWidth="1"/>
    <col min="14851" max="14851" width="12.5703125" style="893" customWidth="1"/>
    <col min="14852" max="14852" width="9" style="893" customWidth="1"/>
    <col min="14853" max="14853" width="41.5703125" style="893" customWidth="1"/>
    <col min="14854" max="15104" width="9.42578125" style="893"/>
    <col min="15105" max="15105" width="5.42578125" style="893" customWidth="1"/>
    <col min="15106" max="15106" width="57.5703125" style="893" customWidth="1"/>
    <col min="15107" max="15107" width="12.5703125" style="893" customWidth="1"/>
    <col min="15108" max="15108" width="9" style="893" customWidth="1"/>
    <col min="15109" max="15109" width="41.5703125" style="893" customWidth="1"/>
    <col min="15110" max="15360" width="9.42578125" style="893"/>
    <col min="15361" max="15361" width="5.42578125" style="893" customWidth="1"/>
    <col min="15362" max="15362" width="57.5703125" style="893" customWidth="1"/>
    <col min="15363" max="15363" width="12.5703125" style="893" customWidth="1"/>
    <col min="15364" max="15364" width="9" style="893" customWidth="1"/>
    <col min="15365" max="15365" width="41.5703125" style="893" customWidth="1"/>
    <col min="15366" max="15616" width="9.42578125" style="893"/>
    <col min="15617" max="15617" width="5.42578125" style="893" customWidth="1"/>
    <col min="15618" max="15618" width="57.5703125" style="893" customWidth="1"/>
    <col min="15619" max="15619" width="12.5703125" style="893" customWidth="1"/>
    <col min="15620" max="15620" width="9" style="893" customWidth="1"/>
    <col min="15621" max="15621" width="41.5703125" style="893" customWidth="1"/>
    <col min="15622" max="15872" width="9.42578125" style="893"/>
    <col min="15873" max="15873" width="5.42578125" style="893" customWidth="1"/>
    <col min="15874" max="15874" width="57.5703125" style="893" customWidth="1"/>
    <col min="15875" max="15875" width="12.5703125" style="893" customWidth="1"/>
    <col min="15876" max="15876" width="9" style="893" customWidth="1"/>
    <col min="15877" max="15877" width="41.5703125" style="893" customWidth="1"/>
    <col min="15878" max="16128" width="9.42578125" style="893"/>
    <col min="16129" max="16129" width="5.42578125" style="893" customWidth="1"/>
    <col min="16130" max="16130" width="57.5703125" style="893" customWidth="1"/>
    <col min="16131" max="16131" width="12.5703125" style="893" customWidth="1"/>
    <col min="16132" max="16132" width="9" style="893" customWidth="1"/>
    <col min="16133" max="16133" width="41.5703125" style="893" customWidth="1"/>
    <col min="16134" max="16384" width="9.42578125" style="893"/>
  </cols>
  <sheetData>
    <row r="1" spans="2:25" ht="18" customHeight="1">
      <c r="W1" s="895"/>
      <c r="Y1" s="896"/>
    </row>
    <row r="2" spans="2:25" ht="15" customHeight="1">
      <c r="B2" s="897"/>
      <c r="C2" s="897"/>
    </row>
    <row r="3" spans="2:25" ht="15" customHeight="1">
      <c r="B3" s="898" t="s">
        <v>945</v>
      </c>
      <c r="C3" s="897"/>
    </row>
    <row r="4" spans="2:25" ht="15" customHeight="1">
      <c r="B4" s="899" t="s">
        <v>946</v>
      </c>
      <c r="C4" s="900">
        <v>2014</v>
      </c>
    </row>
    <row r="5" spans="2:25" ht="15" customHeight="1">
      <c r="B5" s="897"/>
      <c r="C5" s="901"/>
      <c r="D5" s="902" t="s">
        <v>427</v>
      </c>
    </row>
    <row r="6" spans="2:25" ht="15" customHeight="1">
      <c r="B6" s="897" t="s">
        <v>947</v>
      </c>
      <c r="C6" s="905">
        <f>MON_PSD!K7</f>
        <v>2552.4001560450224</v>
      </c>
      <c r="D6" s="894" t="s">
        <v>948</v>
      </c>
    </row>
    <row r="7" spans="2:25" ht="15" customHeight="1" thickBot="1">
      <c r="B7" s="897" t="s">
        <v>949</v>
      </c>
      <c r="C7" s="905">
        <f>'TC nominal'!H14</f>
        <v>549.41883867712431</v>
      </c>
      <c r="D7" s="904" t="s">
        <v>950</v>
      </c>
    </row>
    <row r="8" spans="2:25" ht="15" customHeight="1" thickBot="1">
      <c r="B8" s="897" t="s">
        <v>951</v>
      </c>
      <c r="C8" s="911">
        <f>C6/C7*1000</f>
        <v>4645.6364004383649</v>
      </c>
      <c r="D8" s="894" t="s">
        <v>952</v>
      </c>
    </row>
    <row r="9" spans="2:25" ht="15" customHeight="1">
      <c r="B9" s="897"/>
      <c r="C9" s="903"/>
    </row>
    <row r="10" spans="2:25" ht="15" customHeight="1">
      <c r="B10" s="897" t="s">
        <v>953</v>
      </c>
      <c r="C10" s="905">
        <f>BP!L41</f>
        <v>-244.54656207462949</v>
      </c>
      <c r="D10" s="904" t="s">
        <v>954</v>
      </c>
    </row>
    <row r="11" spans="2:25" ht="15" customHeight="1">
      <c r="B11" s="897" t="s">
        <v>955</v>
      </c>
      <c r="C11" s="905">
        <f>-BP!L36</f>
        <v>-208.75157345986091</v>
      </c>
      <c r="D11" s="904" t="s">
        <v>956</v>
      </c>
    </row>
    <row r="12" spans="2:25" ht="15" customHeight="1" thickBot="1">
      <c r="B12" s="897"/>
      <c r="C12" s="903"/>
    </row>
    <row r="13" spans="2:25" ht="15" customHeight="1" thickBot="1">
      <c r="B13" s="897" t="s">
        <v>957</v>
      </c>
      <c r="C13" s="911">
        <f>C8+C10+C11</f>
        <v>4192.3382649038749</v>
      </c>
      <c r="D13" s="894" t="s">
        <v>958</v>
      </c>
    </row>
    <row r="14" spans="2:25" ht="15" customHeight="1">
      <c r="B14" s="897" t="s">
        <v>959</v>
      </c>
      <c r="C14" s="905">
        <f>'TC nominal'!I14</f>
        <v>576.87685307805032</v>
      </c>
      <c r="D14" s="904" t="s">
        <v>950</v>
      </c>
    </row>
    <row r="15" spans="2:25" ht="15" customHeight="1">
      <c r="B15" s="897" t="s">
        <v>960</v>
      </c>
      <c r="C15" s="1122">
        <f>C13/1000*C14</f>
        <v>2418.462905296441</v>
      </c>
      <c r="D15" s="894" t="s">
        <v>961</v>
      </c>
    </row>
    <row r="16" spans="2:25" ht="15" customHeight="1">
      <c r="B16" s="906"/>
      <c r="C16" s="907"/>
    </row>
    <row r="17" spans="2:4" ht="15" customHeight="1"/>
    <row r="18" spans="2:4" ht="15" customHeight="1"/>
    <row r="19" spans="2:4" ht="15" customHeight="1">
      <c r="B19" s="897"/>
      <c r="C19" s="897"/>
    </row>
    <row r="20" spans="2:4" ht="15" customHeight="1">
      <c r="B20" s="898" t="s">
        <v>962</v>
      </c>
      <c r="C20" s="897"/>
    </row>
    <row r="21" spans="2:4" ht="15" customHeight="1">
      <c r="B21" s="899" t="s">
        <v>946</v>
      </c>
      <c r="C21" s="906"/>
    </row>
    <row r="22" spans="2:4" ht="15" customHeight="1">
      <c r="B22" s="897"/>
      <c r="C22" s="897"/>
    </row>
    <row r="23" spans="2:4" ht="15" customHeight="1">
      <c r="B23" s="897"/>
      <c r="C23" s="908"/>
      <c r="D23" s="902" t="s">
        <v>427</v>
      </c>
    </row>
    <row r="24" spans="2:4" ht="15" customHeight="1">
      <c r="B24" s="897"/>
      <c r="C24" s="897"/>
    </row>
    <row r="25" spans="2:4" ht="15" customHeight="1">
      <c r="B25" s="897" t="s">
        <v>963</v>
      </c>
      <c r="C25" s="905">
        <f>MON_PSD!K14</f>
        <v>-3743.4494825571755</v>
      </c>
      <c r="D25" s="894" t="s">
        <v>964</v>
      </c>
    </row>
    <row r="26" spans="2:4" ht="15" customHeight="1" thickBot="1">
      <c r="B26" s="897"/>
      <c r="C26" s="897"/>
    </row>
    <row r="27" spans="2:4" ht="15" customHeight="1" thickBot="1">
      <c r="B27" s="908" t="s">
        <v>965</v>
      </c>
      <c r="C27" s="912">
        <f>C28-C29-C30-C31</f>
        <v>121.33661781799351</v>
      </c>
    </row>
    <row r="28" spans="2:4" ht="15" customHeight="1">
      <c r="B28" s="897" t="s">
        <v>966</v>
      </c>
      <c r="C28" s="905">
        <f>C15</f>
        <v>2418.462905296441</v>
      </c>
      <c r="D28" s="894" t="s">
        <v>967</v>
      </c>
    </row>
    <row r="29" spans="2:4" ht="15" customHeight="1">
      <c r="B29" s="897" t="s">
        <v>968</v>
      </c>
      <c r="C29" s="905">
        <f>MON_PSD!K7</f>
        <v>2552.4001560450224</v>
      </c>
      <c r="D29" s="894" t="s">
        <v>969</v>
      </c>
    </row>
    <row r="30" spans="2:4" ht="15" customHeight="1">
      <c r="B30" s="897" t="s">
        <v>970</v>
      </c>
      <c r="C30" s="905">
        <f>(BP!L41)*'TC nominal'!I13/1000</f>
        <v>-137.7158696490973</v>
      </c>
      <c r="D30" s="894" t="s">
        <v>971</v>
      </c>
    </row>
    <row r="31" spans="2:4" ht="15" customHeight="1">
      <c r="B31" s="897" t="s">
        <v>972</v>
      </c>
      <c r="C31" s="910">
        <f>(-BP!L36)*'TC nominal'!I13/1000</f>
        <v>-117.5579989174776</v>
      </c>
      <c r="D31" s="904" t="s">
        <v>973</v>
      </c>
    </row>
    <row r="32" spans="2:4" ht="15" customHeight="1">
      <c r="B32" s="897"/>
      <c r="C32" s="897"/>
    </row>
    <row r="33" spans="2:26" ht="15" customHeight="1">
      <c r="B33" s="897" t="s">
        <v>974</v>
      </c>
      <c r="C33" s="1122">
        <f>C25-C27</f>
        <v>-3864.7861003751691</v>
      </c>
      <c r="D33" s="894" t="s">
        <v>975</v>
      </c>
      <c r="Y33" s="896"/>
    </row>
    <row r="34" spans="2:26" ht="15" customHeight="1">
      <c r="B34" s="906"/>
      <c r="C34" s="906"/>
    </row>
    <row r="35" spans="2:26">
      <c r="Z35" s="896"/>
    </row>
    <row r="39" spans="2:26">
      <c r="Z39" s="896" t="s">
        <v>976</v>
      </c>
    </row>
  </sheetData>
  <pageMargins left="0.75" right="0.75" top="1" bottom="1" header="0.5" footer="0.5"/>
  <pageSetup scale="71" orientation="landscape" horizontalDpi="300" verticalDpi="300"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8" tint="-0.499984740745262"/>
    <pageSetUpPr fitToPage="1"/>
  </sheetPr>
  <dimension ref="B1:AD37"/>
  <sheetViews>
    <sheetView workbookViewId="0">
      <selection activeCell="K10" sqref="K10"/>
    </sheetView>
  </sheetViews>
  <sheetFormatPr baseColWidth="10" defaultColWidth="9.140625" defaultRowHeight="15"/>
  <cols>
    <col min="1" max="1" width="5.5703125" style="893" customWidth="1"/>
    <col min="2" max="2" width="70.42578125" style="893" customWidth="1"/>
    <col min="3" max="3" width="9.42578125" style="893" customWidth="1"/>
    <col min="4" max="4" width="8.42578125" style="893" customWidth="1"/>
    <col min="5" max="10" width="9.42578125" style="893" customWidth="1"/>
    <col min="11" max="11" width="9.42578125" style="913" customWidth="1"/>
    <col min="12" max="12" width="7" style="894" customWidth="1"/>
    <col min="13" max="13" width="8.7109375" style="893" customWidth="1"/>
    <col min="14" max="14" width="28" style="893" customWidth="1"/>
    <col min="15" max="259" width="9.42578125" style="893"/>
    <col min="260" max="260" width="5.5703125" style="893" customWidth="1"/>
    <col min="261" max="261" width="32" style="893" customWidth="1"/>
    <col min="262" max="267" width="9.42578125" style="893" customWidth="1"/>
    <col min="268" max="268" width="7" style="893" customWidth="1"/>
    <col min="269" max="269" width="24.5703125" style="893" customWidth="1"/>
    <col min="270" max="515" width="9.42578125" style="893"/>
    <col min="516" max="516" width="5.5703125" style="893" customWidth="1"/>
    <col min="517" max="517" width="32" style="893" customWidth="1"/>
    <col min="518" max="523" width="9.42578125" style="893" customWidth="1"/>
    <col min="524" max="524" width="7" style="893" customWidth="1"/>
    <col min="525" max="525" width="24.5703125" style="893" customWidth="1"/>
    <col min="526" max="771" width="9.42578125" style="893"/>
    <col min="772" max="772" width="5.5703125" style="893" customWidth="1"/>
    <col min="773" max="773" width="32" style="893" customWidth="1"/>
    <col min="774" max="779" width="9.42578125" style="893" customWidth="1"/>
    <col min="780" max="780" width="7" style="893" customWidth="1"/>
    <col min="781" max="781" width="24.5703125" style="893" customWidth="1"/>
    <col min="782" max="1027" width="9.42578125" style="893"/>
    <col min="1028" max="1028" width="5.5703125" style="893" customWidth="1"/>
    <col min="1029" max="1029" width="32" style="893" customWidth="1"/>
    <col min="1030" max="1035" width="9.42578125" style="893" customWidth="1"/>
    <col min="1036" max="1036" width="7" style="893" customWidth="1"/>
    <col min="1037" max="1037" width="24.5703125" style="893" customWidth="1"/>
    <col min="1038" max="1283" width="9.42578125" style="893"/>
    <col min="1284" max="1284" width="5.5703125" style="893" customWidth="1"/>
    <col min="1285" max="1285" width="32" style="893" customWidth="1"/>
    <col min="1286" max="1291" width="9.42578125" style="893" customWidth="1"/>
    <col min="1292" max="1292" width="7" style="893" customWidth="1"/>
    <col min="1293" max="1293" width="24.5703125" style="893" customWidth="1"/>
    <col min="1294" max="1539" width="9.42578125" style="893"/>
    <col min="1540" max="1540" width="5.5703125" style="893" customWidth="1"/>
    <col min="1541" max="1541" width="32" style="893" customWidth="1"/>
    <col min="1542" max="1547" width="9.42578125" style="893" customWidth="1"/>
    <col min="1548" max="1548" width="7" style="893" customWidth="1"/>
    <col min="1549" max="1549" width="24.5703125" style="893" customWidth="1"/>
    <col min="1550" max="1795" width="9.42578125" style="893"/>
    <col min="1796" max="1796" width="5.5703125" style="893" customWidth="1"/>
    <col min="1797" max="1797" width="32" style="893" customWidth="1"/>
    <col min="1798" max="1803" width="9.42578125" style="893" customWidth="1"/>
    <col min="1804" max="1804" width="7" style="893" customWidth="1"/>
    <col min="1805" max="1805" width="24.5703125" style="893" customWidth="1"/>
    <col min="1806" max="2051" width="9.42578125" style="893"/>
    <col min="2052" max="2052" width="5.5703125" style="893" customWidth="1"/>
    <col min="2053" max="2053" width="32" style="893" customWidth="1"/>
    <col min="2054" max="2059" width="9.42578125" style="893" customWidth="1"/>
    <col min="2060" max="2060" width="7" style="893" customWidth="1"/>
    <col min="2061" max="2061" width="24.5703125" style="893" customWidth="1"/>
    <col min="2062" max="2307" width="9.42578125" style="893"/>
    <col min="2308" max="2308" width="5.5703125" style="893" customWidth="1"/>
    <col min="2309" max="2309" width="32" style="893" customWidth="1"/>
    <col min="2310" max="2315" width="9.42578125" style="893" customWidth="1"/>
    <col min="2316" max="2316" width="7" style="893" customWidth="1"/>
    <col min="2317" max="2317" width="24.5703125" style="893" customWidth="1"/>
    <col min="2318" max="2563" width="9.42578125" style="893"/>
    <col min="2564" max="2564" width="5.5703125" style="893" customWidth="1"/>
    <col min="2565" max="2565" width="32" style="893" customWidth="1"/>
    <col min="2566" max="2571" width="9.42578125" style="893" customWidth="1"/>
    <col min="2572" max="2572" width="7" style="893" customWidth="1"/>
    <col min="2573" max="2573" width="24.5703125" style="893" customWidth="1"/>
    <col min="2574" max="2819" width="9.42578125" style="893"/>
    <col min="2820" max="2820" width="5.5703125" style="893" customWidth="1"/>
    <col min="2821" max="2821" width="32" style="893" customWidth="1"/>
    <col min="2822" max="2827" width="9.42578125" style="893" customWidth="1"/>
    <col min="2828" max="2828" width="7" style="893" customWidth="1"/>
    <col min="2829" max="2829" width="24.5703125" style="893" customWidth="1"/>
    <col min="2830" max="3075" width="9.42578125" style="893"/>
    <col min="3076" max="3076" width="5.5703125" style="893" customWidth="1"/>
    <col min="3077" max="3077" width="32" style="893" customWidth="1"/>
    <col min="3078" max="3083" width="9.42578125" style="893" customWidth="1"/>
    <col min="3084" max="3084" width="7" style="893" customWidth="1"/>
    <col min="3085" max="3085" width="24.5703125" style="893" customWidth="1"/>
    <col min="3086" max="3331" width="9.42578125" style="893"/>
    <col min="3332" max="3332" width="5.5703125" style="893" customWidth="1"/>
    <col min="3333" max="3333" width="32" style="893" customWidth="1"/>
    <col min="3334" max="3339" width="9.42578125" style="893" customWidth="1"/>
    <col min="3340" max="3340" width="7" style="893" customWidth="1"/>
    <col min="3341" max="3341" width="24.5703125" style="893" customWidth="1"/>
    <col min="3342" max="3587" width="9.42578125" style="893"/>
    <col min="3588" max="3588" width="5.5703125" style="893" customWidth="1"/>
    <col min="3589" max="3589" width="32" style="893" customWidth="1"/>
    <col min="3590" max="3595" width="9.42578125" style="893" customWidth="1"/>
    <col min="3596" max="3596" width="7" style="893" customWidth="1"/>
    <col min="3597" max="3597" width="24.5703125" style="893" customWidth="1"/>
    <col min="3598" max="3843" width="9.42578125" style="893"/>
    <col min="3844" max="3844" width="5.5703125" style="893" customWidth="1"/>
    <col min="3845" max="3845" width="32" style="893" customWidth="1"/>
    <col min="3846" max="3851" width="9.42578125" style="893" customWidth="1"/>
    <col min="3852" max="3852" width="7" style="893" customWidth="1"/>
    <col min="3853" max="3853" width="24.5703125" style="893" customWidth="1"/>
    <col min="3854" max="4099" width="9.42578125" style="893"/>
    <col min="4100" max="4100" width="5.5703125" style="893" customWidth="1"/>
    <col min="4101" max="4101" width="32" style="893" customWidth="1"/>
    <col min="4102" max="4107" width="9.42578125" style="893" customWidth="1"/>
    <col min="4108" max="4108" width="7" style="893" customWidth="1"/>
    <col min="4109" max="4109" width="24.5703125" style="893" customWidth="1"/>
    <col min="4110" max="4355" width="9.42578125" style="893"/>
    <col min="4356" max="4356" width="5.5703125" style="893" customWidth="1"/>
    <col min="4357" max="4357" width="32" style="893" customWidth="1"/>
    <col min="4358" max="4363" width="9.42578125" style="893" customWidth="1"/>
    <col min="4364" max="4364" width="7" style="893" customWidth="1"/>
    <col min="4365" max="4365" width="24.5703125" style="893" customWidth="1"/>
    <col min="4366" max="4611" width="9.42578125" style="893"/>
    <col min="4612" max="4612" width="5.5703125" style="893" customWidth="1"/>
    <col min="4613" max="4613" width="32" style="893" customWidth="1"/>
    <col min="4614" max="4619" width="9.42578125" style="893" customWidth="1"/>
    <col min="4620" max="4620" width="7" style="893" customWidth="1"/>
    <col min="4621" max="4621" width="24.5703125" style="893" customWidth="1"/>
    <col min="4622" max="4867" width="9.42578125" style="893"/>
    <col min="4868" max="4868" width="5.5703125" style="893" customWidth="1"/>
    <col min="4869" max="4869" width="32" style="893" customWidth="1"/>
    <col min="4870" max="4875" width="9.42578125" style="893" customWidth="1"/>
    <col min="4876" max="4876" width="7" style="893" customWidth="1"/>
    <col min="4877" max="4877" width="24.5703125" style="893" customWidth="1"/>
    <col min="4878" max="5123" width="9.42578125" style="893"/>
    <col min="5124" max="5124" width="5.5703125" style="893" customWidth="1"/>
    <col min="5125" max="5125" width="32" style="893" customWidth="1"/>
    <col min="5126" max="5131" width="9.42578125" style="893" customWidth="1"/>
    <col min="5132" max="5132" width="7" style="893" customWidth="1"/>
    <col min="5133" max="5133" width="24.5703125" style="893" customWidth="1"/>
    <col min="5134" max="5379" width="9.42578125" style="893"/>
    <col min="5380" max="5380" width="5.5703125" style="893" customWidth="1"/>
    <col min="5381" max="5381" width="32" style="893" customWidth="1"/>
    <col min="5382" max="5387" width="9.42578125" style="893" customWidth="1"/>
    <col min="5388" max="5388" width="7" style="893" customWidth="1"/>
    <col min="5389" max="5389" width="24.5703125" style="893" customWidth="1"/>
    <col min="5390" max="5635" width="9.42578125" style="893"/>
    <col min="5636" max="5636" width="5.5703125" style="893" customWidth="1"/>
    <col min="5637" max="5637" width="32" style="893" customWidth="1"/>
    <col min="5638" max="5643" width="9.42578125" style="893" customWidth="1"/>
    <col min="5644" max="5644" width="7" style="893" customWidth="1"/>
    <col min="5645" max="5645" width="24.5703125" style="893" customWidth="1"/>
    <col min="5646" max="5891" width="9.42578125" style="893"/>
    <col min="5892" max="5892" width="5.5703125" style="893" customWidth="1"/>
    <col min="5893" max="5893" width="32" style="893" customWidth="1"/>
    <col min="5894" max="5899" width="9.42578125" style="893" customWidth="1"/>
    <col min="5900" max="5900" width="7" style="893" customWidth="1"/>
    <col min="5901" max="5901" width="24.5703125" style="893" customWidth="1"/>
    <col min="5902" max="6147" width="9.42578125" style="893"/>
    <col min="6148" max="6148" width="5.5703125" style="893" customWidth="1"/>
    <col min="6149" max="6149" width="32" style="893" customWidth="1"/>
    <col min="6150" max="6155" width="9.42578125" style="893" customWidth="1"/>
    <col min="6156" max="6156" width="7" style="893" customWidth="1"/>
    <col min="6157" max="6157" width="24.5703125" style="893" customWidth="1"/>
    <col min="6158" max="6403" width="9.42578125" style="893"/>
    <col min="6404" max="6404" width="5.5703125" style="893" customWidth="1"/>
    <col min="6405" max="6405" width="32" style="893" customWidth="1"/>
    <col min="6406" max="6411" width="9.42578125" style="893" customWidth="1"/>
    <col min="6412" max="6412" width="7" style="893" customWidth="1"/>
    <col min="6413" max="6413" width="24.5703125" style="893" customWidth="1"/>
    <col min="6414" max="6659" width="9.42578125" style="893"/>
    <col min="6660" max="6660" width="5.5703125" style="893" customWidth="1"/>
    <col min="6661" max="6661" width="32" style="893" customWidth="1"/>
    <col min="6662" max="6667" width="9.42578125" style="893" customWidth="1"/>
    <col min="6668" max="6668" width="7" style="893" customWidth="1"/>
    <col min="6669" max="6669" width="24.5703125" style="893" customWidth="1"/>
    <col min="6670" max="6915" width="9.42578125" style="893"/>
    <col min="6916" max="6916" width="5.5703125" style="893" customWidth="1"/>
    <col min="6917" max="6917" width="32" style="893" customWidth="1"/>
    <col min="6918" max="6923" width="9.42578125" style="893" customWidth="1"/>
    <col min="6924" max="6924" width="7" style="893" customWidth="1"/>
    <col min="6925" max="6925" width="24.5703125" style="893" customWidth="1"/>
    <col min="6926" max="7171" width="9.42578125" style="893"/>
    <col min="7172" max="7172" width="5.5703125" style="893" customWidth="1"/>
    <col min="7173" max="7173" width="32" style="893" customWidth="1"/>
    <col min="7174" max="7179" width="9.42578125" style="893" customWidth="1"/>
    <col min="7180" max="7180" width="7" style="893" customWidth="1"/>
    <col min="7181" max="7181" width="24.5703125" style="893" customWidth="1"/>
    <col min="7182" max="7427" width="9.42578125" style="893"/>
    <col min="7428" max="7428" width="5.5703125" style="893" customWidth="1"/>
    <col min="7429" max="7429" width="32" style="893" customWidth="1"/>
    <col min="7430" max="7435" width="9.42578125" style="893" customWidth="1"/>
    <col min="7436" max="7436" width="7" style="893" customWidth="1"/>
    <col min="7437" max="7437" width="24.5703125" style="893" customWidth="1"/>
    <col min="7438" max="7683" width="9.42578125" style="893"/>
    <col min="7684" max="7684" width="5.5703125" style="893" customWidth="1"/>
    <col min="7685" max="7685" width="32" style="893" customWidth="1"/>
    <col min="7686" max="7691" width="9.42578125" style="893" customWidth="1"/>
    <col min="7692" max="7692" width="7" style="893" customWidth="1"/>
    <col min="7693" max="7693" width="24.5703125" style="893" customWidth="1"/>
    <col min="7694" max="7939" width="9.42578125" style="893"/>
    <col min="7940" max="7940" width="5.5703125" style="893" customWidth="1"/>
    <col min="7941" max="7941" width="32" style="893" customWidth="1"/>
    <col min="7942" max="7947" width="9.42578125" style="893" customWidth="1"/>
    <col min="7948" max="7948" width="7" style="893" customWidth="1"/>
    <col min="7949" max="7949" width="24.5703125" style="893" customWidth="1"/>
    <col min="7950" max="8195" width="9.42578125" style="893"/>
    <col min="8196" max="8196" width="5.5703125" style="893" customWidth="1"/>
    <col min="8197" max="8197" width="32" style="893" customWidth="1"/>
    <col min="8198" max="8203" width="9.42578125" style="893" customWidth="1"/>
    <col min="8204" max="8204" width="7" style="893" customWidth="1"/>
    <col min="8205" max="8205" width="24.5703125" style="893" customWidth="1"/>
    <col min="8206" max="8451" width="9.42578125" style="893"/>
    <col min="8452" max="8452" width="5.5703125" style="893" customWidth="1"/>
    <col min="8453" max="8453" width="32" style="893" customWidth="1"/>
    <col min="8454" max="8459" width="9.42578125" style="893" customWidth="1"/>
    <col min="8460" max="8460" width="7" style="893" customWidth="1"/>
    <col min="8461" max="8461" width="24.5703125" style="893" customWidth="1"/>
    <col min="8462" max="8707" width="9.42578125" style="893"/>
    <col min="8708" max="8708" width="5.5703125" style="893" customWidth="1"/>
    <col min="8709" max="8709" width="32" style="893" customWidth="1"/>
    <col min="8710" max="8715" width="9.42578125" style="893" customWidth="1"/>
    <col min="8716" max="8716" width="7" style="893" customWidth="1"/>
    <col min="8717" max="8717" width="24.5703125" style="893" customWidth="1"/>
    <col min="8718" max="8963" width="9.42578125" style="893"/>
    <col min="8964" max="8964" width="5.5703125" style="893" customWidth="1"/>
    <col min="8965" max="8965" width="32" style="893" customWidth="1"/>
    <col min="8966" max="8971" width="9.42578125" style="893" customWidth="1"/>
    <col min="8972" max="8972" width="7" style="893" customWidth="1"/>
    <col min="8973" max="8973" width="24.5703125" style="893" customWidth="1"/>
    <col min="8974" max="9219" width="9.42578125" style="893"/>
    <col min="9220" max="9220" width="5.5703125" style="893" customWidth="1"/>
    <col min="9221" max="9221" width="32" style="893" customWidth="1"/>
    <col min="9222" max="9227" width="9.42578125" style="893" customWidth="1"/>
    <col min="9228" max="9228" width="7" style="893" customWidth="1"/>
    <col min="9229" max="9229" width="24.5703125" style="893" customWidth="1"/>
    <col min="9230" max="9475" width="9.42578125" style="893"/>
    <col min="9476" max="9476" width="5.5703125" style="893" customWidth="1"/>
    <col min="9477" max="9477" width="32" style="893" customWidth="1"/>
    <col min="9478" max="9483" width="9.42578125" style="893" customWidth="1"/>
    <col min="9484" max="9484" width="7" style="893" customWidth="1"/>
    <col min="9485" max="9485" width="24.5703125" style="893" customWidth="1"/>
    <col min="9486" max="9731" width="9.42578125" style="893"/>
    <col min="9732" max="9732" width="5.5703125" style="893" customWidth="1"/>
    <col min="9733" max="9733" width="32" style="893" customWidth="1"/>
    <col min="9734" max="9739" width="9.42578125" style="893" customWidth="1"/>
    <col min="9740" max="9740" width="7" style="893" customWidth="1"/>
    <col min="9741" max="9741" width="24.5703125" style="893" customWidth="1"/>
    <col min="9742" max="9987" width="9.42578125" style="893"/>
    <col min="9988" max="9988" width="5.5703125" style="893" customWidth="1"/>
    <col min="9989" max="9989" width="32" style="893" customWidth="1"/>
    <col min="9990" max="9995" width="9.42578125" style="893" customWidth="1"/>
    <col min="9996" max="9996" width="7" style="893" customWidth="1"/>
    <col min="9997" max="9997" width="24.5703125" style="893" customWidth="1"/>
    <col min="9998" max="10243" width="9.42578125" style="893"/>
    <col min="10244" max="10244" width="5.5703125" style="893" customWidth="1"/>
    <col min="10245" max="10245" width="32" style="893" customWidth="1"/>
    <col min="10246" max="10251" width="9.42578125" style="893" customWidth="1"/>
    <col min="10252" max="10252" width="7" style="893" customWidth="1"/>
    <col min="10253" max="10253" width="24.5703125" style="893" customWidth="1"/>
    <col min="10254" max="10499" width="9.42578125" style="893"/>
    <col min="10500" max="10500" width="5.5703125" style="893" customWidth="1"/>
    <col min="10501" max="10501" width="32" style="893" customWidth="1"/>
    <col min="10502" max="10507" width="9.42578125" style="893" customWidth="1"/>
    <col min="10508" max="10508" width="7" style="893" customWidth="1"/>
    <col min="10509" max="10509" width="24.5703125" style="893" customWidth="1"/>
    <col min="10510" max="10755" width="9.42578125" style="893"/>
    <col min="10756" max="10756" width="5.5703125" style="893" customWidth="1"/>
    <col min="10757" max="10757" width="32" style="893" customWidth="1"/>
    <col min="10758" max="10763" width="9.42578125" style="893" customWidth="1"/>
    <col min="10764" max="10764" width="7" style="893" customWidth="1"/>
    <col min="10765" max="10765" width="24.5703125" style="893" customWidth="1"/>
    <col min="10766" max="11011" width="9.42578125" style="893"/>
    <col min="11012" max="11012" width="5.5703125" style="893" customWidth="1"/>
    <col min="11013" max="11013" width="32" style="893" customWidth="1"/>
    <col min="11014" max="11019" width="9.42578125" style="893" customWidth="1"/>
    <col min="11020" max="11020" width="7" style="893" customWidth="1"/>
    <col min="11021" max="11021" width="24.5703125" style="893" customWidth="1"/>
    <col min="11022" max="11267" width="9.42578125" style="893"/>
    <col min="11268" max="11268" width="5.5703125" style="893" customWidth="1"/>
    <col min="11269" max="11269" width="32" style="893" customWidth="1"/>
    <col min="11270" max="11275" width="9.42578125" style="893" customWidth="1"/>
    <col min="11276" max="11276" width="7" style="893" customWidth="1"/>
    <col min="11277" max="11277" width="24.5703125" style="893" customWidth="1"/>
    <col min="11278" max="11523" width="9.42578125" style="893"/>
    <col min="11524" max="11524" width="5.5703125" style="893" customWidth="1"/>
    <col min="11525" max="11525" width="32" style="893" customWidth="1"/>
    <col min="11526" max="11531" width="9.42578125" style="893" customWidth="1"/>
    <col min="11532" max="11532" width="7" style="893" customWidth="1"/>
    <col min="11533" max="11533" width="24.5703125" style="893" customWidth="1"/>
    <col min="11534" max="11779" width="9.42578125" style="893"/>
    <col min="11780" max="11780" width="5.5703125" style="893" customWidth="1"/>
    <col min="11781" max="11781" width="32" style="893" customWidth="1"/>
    <col min="11782" max="11787" width="9.42578125" style="893" customWidth="1"/>
    <col min="11788" max="11788" width="7" style="893" customWidth="1"/>
    <col min="11789" max="11789" width="24.5703125" style="893" customWidth="1"/>
    <col min="11790" max="12035" width="9.42578125" style="893"/>
    <col min="12036" max="12036" width="5.5703125" style="893" customWidth="1"/>
    <col min="12037" max="12037" width="32" style="893" customWidth="1"/>
    <col min="12038" max="12043" width="9.42578125" style="893" customWidth="1"/>
    <col min="12044" max="12044" width="7" style="893" customWidth="1"/>
    <col min="12045" max="12045" width="24.5703125" style="893" customWidth="1"/>
    <col min="12046" max="12291" width="9.42578125" style="893"/>
    <col min="12292" max="12292" width="5.5703125" style="893" customWidth="1"/>
    <col min="12293" max="12293" width="32" style="893" customWidth="1"/>
    <col min="12294" max="12299" width="9.42578125" style="893" customWidth="1"/>
    <col min="12300" max="12300" width="7" style="893" customWidth="1"/>
    <col min="12301" max="12301" width="24.5703125" style="893" customWidth="1"/>
    <col min="12302" max="12547" width="9.42578125" style="893"/>
    <col min="12548" max="12548" width="5.5703125" style="893" customWidth="1"/>
    <col min="12549" max="12549" width="32" style="893" customWidth="1"/>
    <col min="12550" max="12555" width="9.42578125" style="893" customWidth="1"/>
    <col min="12556" max="12556" width="7" style="893" customWidth="1"/>
    <col min="12557" max="12557" width="24.5703125" style="893" customWidth="1"/>
    <col min="12558" max="12803" width="9.42578125" style="893"/>
    <col min="12804" max="12804" width="5.5703125" style="893" customWidth="1"/>
    <col min="12805" max="12805" width="32" style="893" customWidth="1"/>
    <col min="12806" max="12811" width="9.42578125" style="893" customWidth="1"/>
    <col min="12812" max="12812" width="7" style="893" customWidth="1"/>
    <col min="12813" max="12813" width="24.5703125" style="893" customWidth="1"/>
    <col min="12814" max="13059" width="9.42578125" style="893"/>
    <col min="13060" max="13060" width="5.5703125" style="893" customWidth="1"/>
    <col min="13061" max="13061" width="32" style="893" customWidth="1"/>
    <col min="13062" max="13067" width="9.42578125" style="893" customWidth="1"/>
    <col min="13068" max="13068" width="7" style="893" customWidth="1"/>
    <col min="13069" max="13069" width="24.5703125" style="893" customWidth="1"/>
    <col min="13070" max="13315" width="9.42578125" style="893"/>
    <col min="13316" max="13316" width="5.5703125" style="893" customWidth="1"/>
    <col min="13317" max="13317" width="32" style="893" customWidth="1"/>
    <col min="13318" max="13323" width="9.42578125" style="893" customWidth="1"/>
    <col min="13324" max="13324" width="7" style="893" customWidth="1"/>
    <col min="13325" max="13325" width="24.5703125" style="893" customWidth="1"/>
    <col min="13326" max="13571" width="9.42578125" style="893"/>
    <col min="13572" max="13572" width="5.5703125" style="893" customWidth="1"/>
    <col min="13573" max="13573" width="32" style="893" customWidth="1"/>
    <col min="13574" max="13579" width="9.42578125" style="893" customWidth="1"/>
    <col min="13580" max="13580" width="7" style="893" customWidth="1"/>
    <col min="13581" max="13581" width="24.5703125" style="893" customWidth="1"/>
    <col min="13582" max="13827" width="9.42578125" style="893"/>
    <col min="13828" max="13828" width="5.5703125" style="893" customWidth="1"/>
    <col min="13829" max="13829" width="32" style="893" customWidth="1"/>
    <col min="13830" max="13835" width="9.42578125" style="893" customWidth="1"/>
    <col min="13836" max="13836" width="7" style="893" customWidth="1"/>
    <col min="13837" max="13837" width="24.5703125" style="893" customWidth="1"/>
    <col min="13838" max="14083" width="9.42578125" style="893"/>
    <col min="14084" max="14084" width="5.5703125" style="893" customWidth="1"/>
    <col min="14085" max="14085" width="32" style="893" customWidth="1"/>
    <col min="14086" max="14091" width="9.42578125" style="893" customWidth="1"/>
    <col min="14092" max="14092" width="7" style="893" customWidth="1"/>
    <col min="14093" max="14093" width="24.5703125" style="893" customWidth="1"/>
    <col min="14094" max="14339" width="9.42578125" style="893"/>
    <col min="14340" max="14340" width="5.5703125" style="893" customWidth="1"/>
    <col min="14341" max="14341" width="32" style="893" customWidth="1"/>
    <col min="14342" max="14347" width="9.42578125" style="893" customWidth="1"/>
    <col min="14348" max="14348" width="7" style="893" customWidth="1"/>
    <col min="14349" max="14349" width="24.5703125" style="893" customWidth="1"/>
    <col min="14350" max="14595" width="9.42578125" style="893"/>
    <col min="14596" max="14596" width="5.5703125" style="893" customWidth="1"/>
    <col min="14597" max="14597" width="32" style="893" customWidth="1"/>
    <col min="14598" max="14603" width="9.42578125" style="893" customWidth="1"/>
    <col min="14604" max="14604" width="7" style="893" customWidth="1"/>
    <col min="14605" max="14605" width="24.5703125" style="893" customWidth="1"/>
    <col min="14606" max="14851" width="9.42578125" style="893"/>
    <col min="14852" max="14852" width="5.5703125" style="893" customWidth="1"/>
    <col min="14853" max="14853" width="32" style="893" customWidth="1"/>
    <col min="14854" max="14859" width="9.42578125" style="893" customWidth="1"/>
    <col min="14860" max="14860" width="7" style="893" customWidth="1"/>
    <col min="14861" max="14861" width="24.5703125" style="893" customWidth="1"/>
    <col min="14862" max="15107" width="9.42578125" style="893"/>
    <col min="15108" max="15108" width="5.5703125" style="893" customWidth="1"/>
    <col min="15109" max="15109" width="32" style="893" customWidth="1"/>
    <col min="15110" max="15115" width="9.42578125" style="893" customWidth="1"/>
    <col min="15116" max="15116" width="7" style="893" customWidth="1"/>
    <col min="15117" max="15117" width="24.5703125" style="893" customWidth="1"/>
    <col min="15118" max="15363" width="9.42578125" style="893"/>
    <col min="15364" max="15364" width="5.5703125" style="893" customWidth="1"/>
    <col min="15365" max="15365" width="32" style="893" customWidth="1"/>
    <col min="15366" max="15371" width="9.42578125" style="893" customWidth="1"/>
    <col min="15372" max="15372" width="7" style="893" customWidth="1"/>
    <col min="15373" max="15373" width="24.5703125" style="893" customWidth="1"/>
    <col min="15374" max="15619" width="9.42578125" style="893"/>
    <col min="15620" max="15620" width="5.5703125" style="893" customWidth="1"/>
    <col min="15621" max="15621" width="32" style="893" customWidth="1"/>
    <col min="15622" max="15627" width="9.42578125" style="893" customWidth="1"/>
    <col min="15628" max="15628" width="7" style="893" customWidth="1"/>
    <col min="15629" max="15629" width="24.5703125" style="893" customWidth="1"/>
    <col min="15630" max="15875" width="9.42578125" style="893"/>
    <col min="15876" max="15876" width="5.5703125" style="893" customWidth="1"/>
    <col min="15877" max="15877" width="32" style="893" customWidth="1"/>
    <col min="15878" max="15883" width="9.42578125" style="893" customWidth="1"/>
    <col min="15884" max="15884" width="7" style="893" customWidth="1"/>
    <col min="15885" max="15885" width="24.5703125" style="893" customWidth="1"/>
    <col min="15886" max="16131" width="9.42578125" style="893"/>
    <col min="16132" max="16132" width="5.5703125" style="893" customWidth="1"/>
    <col min="16133" max="16133" width="32" style="893" customWidth="1"/>
    <col min="16134" max="16139" width="9.42578125" style="893" customWidth="1"/>
    <col min="16140" max="16140" width="7" style="893" customWidth="1"/>
    <col min="16141" max="16141" width="24.5703125" style="893" customWidth="1"/>
    <col min="16142" max="16384" width="9.42578125" style="893"/>
  </cols>
  <sheetData>
    <row r="1" spans="2:29" ht="18.75" customHeight="1">
      <c r="AA1" s="895"/>
      <c r="AC1" s="896"/>
    </row>
    <row r="2" spans="2:29">
      <c r="B2" s="897"/>
      <c r="C2" s="897"/>
      <c r="D2" s="897"/>
      <c r="E2" s="897"/>
      <c r="F2" s="897"/>
      <c r="G2" s="897"/>
      <c r="H2" s="897"/>
      <c r="I2" s="897"/>
      <c r="J2" s="897"/>
      <c r="K2" s="914"/>
    </row>
    <row r="3" spans="2:29">
      <c r="B3" s="898" t="s">
        <v>977</v>
      </c>
      <c r="C3" s="898"/>
      <c r="D3" s="898"/>
      <c r="E3" s="897"/>
      <c r="F3" s="897"/>
      <c r="G3" s="897"/>
      <c r="H3" s="897"/>
      <c r="I3" s="897"/>
      <c r="J3" s="897"/>
      <c r="K3" s="914"/>
    </row>
    <row r="4" spans="2:29" s="917" customFormat="1">
      <c r="B4" s="915"/>
      <c r="C4" s="915"/>
      <c r="D4" s="915"/>
      <c r="E4" s="915"/>
      <c r="F4" s="915"/>
      <c r="G4" s="915"/>
      <c r="H4" s="915"/>
      <c r="I4" s="915"/>
      <c r="J4" s="915"/>
      <c r="K4" s="915"/>
      <c r="L4" s="916"/>
      <c r="O4" s="916"/>
      <c r="P4" s="916"/>
    </row>
    <row r="5" spans="2:29" s="921" customFormat="1">
      <c r="B5" s="918"/>
      <c r="C5" s="918"/>
      <c r="D5" s="918"/>
      <c r="E5" s="918"/>
      <c r="F5" s="918"/>
      <c r="G5" s="918"/>
      <c r="H5" s="918"/>
      <c r="I5" s="918"/>
      <c r="J5" s="918"/>
      <c r="K5" s="919" t="s">
        <v>580</v>
      </c>
      <c r="L5" s="920"/>
      <c r="P5" s="920"/>
    </row>
    <row r="6" spans="2:29" s="921" customFormat="1">
      <c r="B6" s="922"/>
      <c r="C6" s="923">
        <v>2006</v>
      </c>
      <c r="D6" s="923">
        <f>1+C6</f>
        <v>2007</v>
      </c>
      <c r="E6" s="923">
        <f t="shared" ref="E6:K6" si="0">1+D6</f>
        <v>2008</v>
      </c>
      <c r="F6" s="923">
        <f t="shared" si="0"/>
        <v>2009</v>
      </c>
      <c r="G6" s="923">
        <f t="shared" si="0"/>
        <v>2010</v>
      </c>
      <c r="H6" s="923">
        <f t="shared" si="0"/>
        <v>2011</v>
      </c>
      <c r="I6" s="923">
        <f t="shared" si="0"/>
        <v>2012</v>
      </c>
      <c r="J6" s="923">
        <f t="shared" si="0"/>
        <v>2013</v>
      </c>
      <c r="K6" s="923">
        <f t="shared" si="0"/>
        <v>2014</v>
      </c>
      <c r="L6" s="902" t="s">
        <v>466</v>
      </c>
      <c r="P6" s="920"/>
    </row>
    <row r="7" spans="2:29" s="921" customFormat="1">
      <c r="B7" s="924"/>
      <c r="C7" s="924"/>
      <c r="D7" s="924"/>
      <c r="E7" s="924"/>
      <c r="F7" s="924"/>
      <c r="G7" s="924"/>
      <c r="H7" s="924"/>
      <c r="I7" s="924"/>
      <c r="J7" s="924"/>
      <c r="K7" s="924"/>
      <c r="L7" s="902"/>
      <c r="P7" s="920"/>
    </row>
    <row r="8" spans="2:29">
      <c r="B8" s="897"/>
      <c r="C8" s="897"/>
      <c r="D8" s="897"/>
      <c r="E8" s="925" t="s">
        <v>978</v>
      </c>
      <c r="F8" s="926"/>
      <c r="G8" s="926"/>
      <c r="H8" s="926"/>
      <c r="I8" s="926"/>
      <c r="J8" s="926"/>
      <c r="K8" s="926"/>
    </row>
    <row r="9" spans="2:29" s="921" customFormat="1" ht="8.1" customHeight="1">
      <c r="B9" s="924"/>
      <c r="C9" s="924"/>
      <c r="D9" s="924"/>
      <c r="E9" s="924"/>
      <c r="F9" s="924"/>
      <c r="G9" s="924"/>
      <c r="H9" s="924"/>
      <c r="I9" s="924"/>
      <c r="J9" s="924"/>
      <c r="K9" s="924"/>
      <c r="L9" s="902"/>
      <c r="P9" s="920"/>
    </row>
    <row r="10" spans="2:29">
      <c r="B10" s="897" t="s">
        <v>979</v>
      </c>
      <c r="C10" s="905">
        <f>MON_PSD!D34</f>
        <v>1184.5984289837852</v>
      </c>
      <c r="D10" s="905">
        <f>MON_PSD!E34</f>
        <v>1409.0414375656496</v>
      </c>
      <c r="E10" s="905">
        <f>MON_PSD!F34</f>
        <v>1676.446795636416</v>
      </c>
      <c r="F10" s="905">
        <f>MON_PSD!G34</f>
        <v>1945.4920051091212</v>
      </c>
      <c r="G10" s="905">
        <f>MON_PSD!H34</f>
        <v>2032.0146488841706</v>
      </c>
      <c r="H10" s="905">
        <f>MON_PSD!I34</f>
        <v>2218.2772884901001</v>
      </c>
      <c r="I10" s="905">
        <f>MON_PSD!J34</f>
        <v>2168.6706974948584</v>
      </c>
      <c r="J10" s="905">
        <f>MON_PSD!K34</f>
        <v>2555.96036877082</v>
      </c>
      <c r="K10" s="1125">
        <f>K12/K14</f>
        <v>2765.4907936633576</v>
      </c>
      <c r="L10" s="927" t="s">
        <v>980</v>
      </c>
    </row>
    <row r="11" spans="2:29">
      <c r="B11" s="897"/>
      <c r="C11" s="897"/>
      <c r="D11" s="897"/>
      <c r="E11" s="897"/>
      <c r="F11" s="897"/>
      <c r="G11" s="897"/>
      <c r="H11" s="897"/>
      <c r="I11" s="897"/>
      <c r="J11" s="897"/>
      <c r="K11" s="903"/>
      <c r="L11" s="893"/>
    </row>
    <row r="12" spans="2:29">
      <c r="B12" s="897" t="s">
        <v>979</v>
      </c>
      <c r="C12" s="905">
        <f>MON_PSD!D17</f>
        <v>6222.0821585733402</v>
      </c>
      <c r="D12" s="905">
        <f>MON_PSD!E17</f>
        <v>7495.512678755912</v>
      </c>
      <c r="E12" s="905">
        <f>MON_PSD!F17</f>
        <v>8799.8494445103861</v>
      </c>
      <c r="F12" s="905">
        <f>MON_PSD!G17</f>
        <v>9506.7643985704053</v>
      </c>
      <c r="G12" s="905">
        <f>MON_PSD!H17</f>
        <v>9582.3437941461598</v>
      </c>
      <c r="H12" s="905">
        <f>MON_PSD!I17</f>
        <v>10283.775182903284</v>
      </c>
      <c r="I12" s="905">
        <f>MON_PSD!J17</f>
        <v>11219.598724547501</v>
      </c>
      <c r="J12" s="905">
        <f>MON_PSD!K17</f>
        <v>12229.434343904</v>
      </c>
      <c r="K12" s="905">
        <f>MON_PSD!L17</f>
        <v>13231.968892397759</v>
      </c>
      <c r="L12" s="927" t="s">
        <v>981</v>
      </c>
    </row>
    <row r="13" spans="2:29">
      <c r="B13" s="897"/>
      <c r="C13" s="897"/>
      <c r="D13" s="897"/>
      <c r="E13" s="897"/>
      <c r="F13" s="897"/>
      <c r="G13" s="897"/>
      <c r="H13" s="897"/>
      <c r="I13" s="897"/>
      <c r="J13" s="897"/>
      <c r="K13" s="903"/>
      <c r="L13" s="893"/>
    </row>
    <row r="14" spans="2:29">
      <c r="B14" s="897" t="s">
        <v>982</v>
      </c>
      <c r="C14" s="909">
        <f t="shared" ref="C14:H14" si="1">C12/C10</f>
        <v>5.2524821967820694</v>
      </c>
      <c r="D14" s="909">
        <f t="shared" si="1"/>
        <v>5.3195828589013257</v>
      </c>
      <c r="E14" s="909">
        <f t="shared" si="1"/>
        <v>5.2491074977239407</v>
      </c>
      <c r="F14" s="909">
        <f t="shared" si="1"/>
        <v>4.8865605068560418</v>
      </c>
      <c r="G14" s="909">
        <f t="shared" si="1"/>
        <v>4.7156863752965865</v>
      </c>
      <c r="H14" s="909">
        <f t="shared" si="1"/>
        <v>4.6359286263544952</v>
      </c>
      <c r="I14" s="909">
        <f>I12/I10</f>
        <v>5.173491179415957</v>
      </c>
      <c r="J14" s="909">
        <f>J12/J10</f>
        <v>4.7846729132913843</v>
      </c>
      <c r="K14" s="928">
        <f>L14</f>
        <v>4.7846729132913843</v>
      </c>
      <c r="L14" s="929">
        <f>J14</f>
        <v>4.7846729132913843</v>
      </c>
      <c r="M14" s="930" t="s">
        <v>983</v>
      </c>
    </row>
    <row r="15" spans="2:29" ht="11.25" customHeight="1">
      <c r="B15" s="906"/>
      <c r="C15" s="906"/>
      <c r="D15" s="906"/>
      <c r="E15" s="906"/>
      <c r="F15" s="906"/>
      <c r="G15" s="906"/>
      <c r="H15" s="906"/>
      <c r="I15" s="906"/>
      <c r="J15" s="906"/>
      <c r="K15" s="931"/>
      <c r="L15" s="929">
        <f>AVERAGE(C14:J14)</f>
        <v>5.0021890193277248</v>
      </c>
      <c r="M15" s="930" t="s">
        <v>984</v>
      </c>
    </row>
    <row r="16" spans="2:29">
      <c r="B16" s="913"/>
      <c r="K16" s="893"/>
      <c r="L16" s="929">
        <f>TREND(C14:J14,C6:J6,K6)</f>
        <v>4.6799282624957641</v>
      </c>
      <c r="M16" s="894" t="s">
        <v>985</v>
      </c>
    </row>
    <row r="17" spans="2:30">
      <c r="B17" s="913"/>
      <c r="K17" s="932"/>
      <c r="L17" s="893"/>
    </row>
    <row r="18" spans="2:30">
      <c r="B18" s="913"/>
      <c r="C18" s="913"/>
      <c r="D18" s="913"/>
    </row>
    <row r="31" spans="2:30">
      <c r="AD31" s="896"/>
    </row>
    <row r="33" spans="30:30">
      <c r="AD33" s="896"/>
    </row>
    <row r="37" spans="30:30">
      <c r="AD37" s="896" t="s">
        <v>976</v>
      </c>
    </row>
  </sheetData>
  <pageMargins left="0.75" right="0.75" top="1" bottom="1" header="0.5" footer="0.5"/>
  <pageSetup scale="70" orientation="landscape" horizontalDpi="300" verticalDpi="300"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499984740745262"/>
    <pageSetUpPr fitToPage="1"/>
  </sheetPr>
  <dimension ref="B1:W31"/>
  <sheetViews>
    <sheetView workbookViewId="0"/>
  </sheetViews>
  <sheetFormatPr baseColWidth="10" defaultColWidth="9.140625" defaultRowHeight="15"/>
  <cols>
    <col min="1" max="1" width="5.42578125" style="893" customWidth="1"/>
    <col min="2" max="2" width="74.85546875" style="893" customWidth="1"/>
    <col min="3" max="4" width="12.42578125" style="893" customWidth="1"/>
    <col min="5" max="5" width="11.5703125" style="894" customWidth="1"/>
    <col min="6" max="6" width="25.42578125" style="893" customWidth="1"/>
    <col min="7" max="252" width="9.42578125" style="893"/>
    <col min="253" max="253" width="5.42578125" style="893" customWidth="1"/>
    <col min="254" max="254" width="5.5703125" style="893" customWidth="1"/>
    <col min="255" max="255" width="57.5703125" style="893" customWidth="1"/>
    <col min="256" max="256" width="9.42578125" style="893" customWidth="1"/>
    <col min="257" max="257" width="6.5703125" style="893" customWidth="1"/>
    <col min="258" max="258" width="25.42578125" style="893" customWidth="1"/>
    <col min="259" max="508" width="9.42578125" style="893"/>
    <col min="509" max="509" width="5.42578125" style="893" customWidth="1"/>
    <col min="510" max="510" width="5.5703125" style="893" customWidth="1"/>
    <col min="511" max="511" width="57.5703125" style="893" customWidth="1"/>
    <col min="512" max="512" width="9.42578125" style="893" customWidth="1"/>
    <col min="513" max="513" width="6.5703125" style="893" customWidth="1"/>
    <col min="514" max="514" width="25.42578125" style="893" customWidth="1"/>
    <col min="515" max="764" width="9.42578125" style="893"/>
    <col min="765" max="765" width="5.42578125" style="893" customWidth="1"/>
    <col min="766" max="766" width="5.5703125" style="893" customWidth="1"/>
    <col min="767" max="767" width="57.5703125" style="893" customWidth="1"/>
    <col min="768" max="768" width="9.42578125" style="893" customWidth="1"/>
    <col min="769" max="769" width="6.5703125" style="893" customWidth="1"/>
    <col min="770" max="770" width="25.42578125" style="893" customWidth="1"/>
    <col min="771" max="1020" width="9.42578125" style="893"/>
    <col min="1021" max="1021" width="5.42578125" style="893" customWidth="1"/>
    <col min="1022" max="1022" width="5.5703125" style="893" customWidth="1"/>
    <col min="1023" max="1023" width="57.5703125" style="893" customWidth="1"/>
    <col min="1024" max="1024" width="9.42578125" style="893" customWidth="1"/>
    <col min="1025" max="1025" width="6.5703125" style="893" customWidth="1"/>
    <col min="1026" max="1026" width="25.42578125" style="893" customWidth="1"/>
    <col min="1027" max="1276" width="9.42578125" style="893"/>
    <col min="1277" max="1277" width="5.42578125" style="893" customWidth="1"/>
    <col min="1278" max="1278" width="5.5703125" style="893" customWidth="1"/>
    <col min="1279" max="1279" width="57.5703125" style="893" customWidth="1"/>
    <col min="1280" max="1280" width="9.42578125" style="893" customWidth="1"/>
    <col min="1281" max="1281" width="6.5703125" style="893" customWidth="1"/>
    <col min="1282" max="1282" width="25.42578125" style="893" customWidth="1"/>
    <col min="1283" max="1532" width="9.42578125" style="893"/>
    <col min="1533" max="1533" width="5.42578125" style="893" customWidth="1"/>
    <col min="1534" max="1534" width="5.5703125" style="893" customWidth="1"/>
    <col min="1535" max="1535" width="57.5703125" style="893" customWidth="1"/>
    <col min="1536" max="1536" width="9.42578125" style="893" customWidth="1"/>
    <col min="1537" max="1537" width="6.5703125" style="893" customWidth="1"/>
    <col min="1538" max="1538" width="25.42578125" style="893" customWidth="1"/>
    <col min="1539" max="1788" width="9.42578125" style="893"/>
    <col min="1789" max="1789" width="5.42578125" style="893" customWidth="1"/>
    <col min="1790" max="1790" width="5.5703125" style="893" customWidth="1"/>
    <col min="1791" max="1791" width="57.5703125" style="893" customWidth="1"/>
    <col min="1792" max="1792" width="9.42578125" style="893" customWidth="1"/>
    <col min="1793" max="1793" width="6.5703125" style="893" customWidth="1"/>
    <col min="1794" max="1794" width="25.42578125" style="893" customWidth="1"/>
    <col min="1795" max="2044" width="9.42578125" style="893"/>
    <col min="2045" max="2045" width="5.42578125" style="893" customWidth="1"/>
    <col min="2046" max="2046" width="5.5703125" style="893" customWidth="1"/>
    <col min="2047" max="2047" width="57.5703125" style="893" customWidth="1"/>
    <col min="2048" max="2048" width="9.42578125" style="893" customWidth="1"/>
    <col min="2049" max="2049" width="6.5703125" style="893" customWidth="1"/>
    <col min="2050" max="2050" width="25.42578125" style="893" customWidth="1"/>
    <col min="2051" max="2300" width="9.42578125" style="893"/>
    <col min="2301" max="2301" width="5.42578125" style="893" customWidth="1"/>
    <col min="2302" max="2302" width="5.5703125" style="893" customWidth="1"/>
    <col min="2303" max="2303" width="57.5703125" style="893" customWidth="1"/>
    <col min="2304" max="2304" width="9.42578125" style="893" customWidth="1"/>
    <col min="2305" max="2305" width="6.5703125" style="893" customWidth="1"/>
    <col min="2306" max="2306" width="25.42578125" style="893" customWidth="1"/>
    <col min="2307" max="2556" width="9.42578125" style="893"/>
    <col min="2557" max="2557" width="5.42578125" style="893" customWidth="1"/>
    <col min="2558" max="2558" width="5.5703125" style="893" customWidth="1"/>
    <col min="2559" max="2559" width="57.5703125" style="893" customWidth="1"/>
    <col min="2560" max="2560" width="9.42578125" style="893" customWidth="1"/>
    <col min="2561" max="2561" width="6.5703125" style="893" customWidth="1"/>
    <col min="2562" max="2562" width="25.42578125" style="893" customWidth="1"/>
    <col min="2563" max="2812" width="9.42578125" style="893"/>
    <col min="2813" max="2813" width="5.42578125" style="893" customWidth="1"/>
    <col min="2814" max="2814" width="5.5703125" style="893" customWidth="1"/>
    <col min="2815" max="2815" width="57.5703125" style="893" customWidth="1"/>
    <col min="2816" max="2816" width="9.42578125" style="893" customWidth="1"/>
    <col min="2817" max="2817" width="6.5703125" style="893" customWidth="1"/>
    <col min="2818" max="2818" width="25.42578125" style="893" customWidth="1"/>
    <col min="2819" max="3068" width="9.42578125" style="893"/>
    <col min="3069" max="3069" width="5.42578125" style="893" customWidth="1"/>
    <col min="3070" max="3070" width="5.5703125" style="893" customWidth="1"/>
    <col min="3071" max="3071" width="57.5703125" style="893" customWidth="1"/>
    <col min="3072" max="3072" width="9.42578125" style="893" customWidth="1"/>
    <col min="3073" max="3073" width="6.5703125" style="893" customWidth="1"/>
    <col min="3074" max="3074" width="25.42578125" style="893" customWidth="1"/>
    <col min="3075" max="3324" width="9.42578125" style="893"/>
    <col min="3325" max="3325" width="5.42578125" style="893" customWidth="1"/>
    <col min="3326" max="3326" width="5.5703125" style="893" customWidth="1"/>
    <col min="3327" max="3327" width="57.5703125" style="893" customWidth="1"/>
    <col min="3328" max="3328" width="9.42578125" style="893" customWidth="1"/>
    <col min="3329" max="3329" width="6.5703125" style="893" customWidth="1"/>
    <col min="3330" max="3330" width="25.42578125" style="893" customWidth="1"/>
    <col min="3331" max="3580" width="9.42578125" style="893"/>
    <col min="3581" max="3581" width="5.42578125" style="893" customWidth="1"/>
    <col min="3582" max="3582" width="5.5703125" style="893" customWidth="1"/>
    <col min="3583" max="3583" width="57.5703125" style="893" customWidth="1"/>
    <col min="3584" max="3584" width="9.42578125" style="893" customWidth="1"/>
    <col min="3585" max="3585" width="6.5703125" style="893" customWidth="1"/>
    <col min="3586" max="3586" width="25.42578125" style="893" customWidth="1"/>
    <col min="3587" max="3836" width="9.42578125" style="893"/>
    <col min="3837" max="3837" width="5.42578125" style="893" customWidth="1"/>
    <col min="3838" max="3838" width="5.5703125" style="893" customWidth="1"/>
    <col min="3839" max="3839" width="57.5703125" style="893" customWidth="1"/>
    <col min="3840" max="3840" width="9.42578125" style="893" customWidth="1"/>
    <col min="3841" max="3841" width="6.5703125" style="893" customWidth="1"/>
    <col min="3842" max="3842" width="25.42578125" style="893" customWidth="1"/>
    <col min="3843" max="4092" width="9.42578125" style="893"/>
    <col min="4093" max="4093" width="5.42578125" style="893" customWidth="1"/>
    <col min="4094" max="4094" width="5.5703125" style="893" customWidth="1"/>
    <col min="4095" max="4095" width="57.5703125" style="893" customWidth="1"/>
    <col min="4096" max="4096" width="9.42578125" style="893" customWidth="1"/>
    <col min="4097" max="4097" width="6.5703125" style="893" customWidth="1"/>
    <col min="4098" max="4098" width="25.42578125" style="893" customWidth="1"/>
    <col min="4099" max="4348" width="9.42578125" style="893"/>
    <col min="4349" max="4349" width="5.42578125" style="893" customWidth="1"/>
    <col min="4350" max="4350" width="5.5703125" style="893" customWidth="1"/>
    <col min="4351" max="4351" width="57.5703125" style="893" customWidth="1"/>
    <col min="4352" max="4352" width="9.42578125" style="893" customWidth="1"/>
    <col min="4353" max="4353" width="6.5703125" style="893" customWidth="1"/>
    <col min="4354" max="4354" width="25.42578125" style="893" customWidth="1"/>
    <col min="4355" max="4604" width="9.42578125" style="893"/>
    <col min="4605" max="4605" width="5.42578125" style="893" customWidth="1"/>
    <col min="4606" max="4606" width="5.5703125" style="893" customWidth="1"/>
    <col min="4607" max="4607" width="57.5703125" style="893" customWidth="1"/>
    <col min="4608" max="4608" width="9.42578125" style="893" customWidth="1"/>
    <col min="4609" max="4609" width="6.5703125" style="893" customWidth="1"/>
    <col min="4610" max="4610" width="25.42578125" style="893" customWidth="1"/>
    <col min="4611" max="4860" width="9.42578125" style="893"/>
    <col min="4861" max="4861" width="5.42578125" style="893" customWidth="1"/>
    <col min="4862" max="4862" width="5.5703125" style="893" customWidth="1"/>
    <col min="4863" max="4863" width="57.5703125" style="893" customWidth="1"/>
    <col min="4864" max="4864" width="9.42578125" style="893" customWidth="1"/>
    <col min="4865" max="4865" width="6.5703125" style="893" customWidth="1"/>
    <col min="4866" max="4866" width="25.42578125" style="893" customWidth="1"/>
    <col min="4867" max="5116" width="9.42578125" style="893"/>
    <col min="5117" max="5117" width="5.42578125" style="893" customWidth="1"/>
    <col min="5118" max="5118" width="5.5703125" style="893" customWidth="1"/>
    <col min="5119" max="5119" width="57.5703125" style="893" customWidth="1"/>
    <col min="5120" max="5120" width="9.42578125" style="893" customWidth="1"/>
    <col min="5121" max="5121" width="6.5703125" style="893" customWidth="1"/>
    <col min="5122" max="5122" width="25.42578125" style="893" customWidth="1"/>
    <col min="5123" max="5372" width="9.42578125" style="893"/>
    <col min="5373" max="5373" width="5.42578125" style="893" customWidth="1"/>
    <col min="5374" max="5374" width="5.5703125" style="893" customWidth="1"/>
    <col min="5375" max="5375" width="57.5703125" style="893" customWidth="1"/>
    <col min="5376" max="5376" width="9.42578125" style="893" customWidth="1"/>
    <col min="5377" max="5377" width="6.5703125" style="893" customWidth="1"/>
    <col min="5378" max="5378" width="25.42578125" style="893" customWidth="1"/>
    <col min="5379" max="5628" width="9.42578125" style="893"/>
    <col min="5629" max="5629" width="5.42578125" style="893" customWidth="1"/>
    <col min="5630" max="5630" width="5.5703125" style="893" customWidth="1"/>
    <col min="5631" max="5631" width="57.5703125" style="893" customWidth="1"/>
    <col min="5632" max="5632" width="9.42578125" style="893" customWidth="1"/>
    <col min="5633" max="5633" width="6.5703125" style="893" customWidth="1"/>
    <col min="5634" max="5634" width="25.42578125" style="893" customWidth="1"/>
    <col min="5635" max="5884" width="9.42578125" style="893"/>
    <col min="5885" max="5885" width="5.42578125" style="893" customWidth="1"/>
    <col min="5886" max="5886" width="5.5703125" style="893" customWidth="1"/>
    <col min="5887" max="5887" width="57.5703125" style="893" customWidth="1"/>
    <col min="5888" max="5888" width="9.42578125" style="893" customWidth="1"/>
    <col min="5889" max="5889" width="6.5703125" style="893" customWidth="1"/>
    <col min="5890" max="5890" width="25.42578125" style="893" customWidth="1"/>
    <col min="5891" max="6140" width="9.42578125" style="893"/>
    <col min="6141" max="6141" width="5.42578125" style="893" customWidth="1"/>
    <col min="6142" max="6142" width="5.5703125" style="893" customWidth="1"/>
    <col min="6143" max="6143" width="57.5703125" style="893" customWidth="1"/>
    <col min="6144" max="6144" width="9.42578125" style="893" customWidth="1"/>
    <col min="6145" max="6145" width="6.5703125" style="893" customWidth="1"/>
    <col min="6146" max="6146" width="25.42578125" style="893" customWidth="1"/>
    <col min="6147" max="6396" width="9.42578125" style="893"/>
    <col min="6397" max="6397" width="5.42578125" style="893" customWidth="1"/>
    <col min="6398" max="6398" width="5.5703125" style="893" customWidth="1"/>
    <col min="6399" max="6399" width="57.5703125" style="893" customWidth="1"/>
    <col min="6400" max="6400" width="9.42578125" style="893" customWidth="1"/>
    <col min="6401" max="6401" width="6.5703125" style="893" customWidth="1"/>
    <col min="6402" max="6402" width="25.42578125" style="893" customWidth="1"/>
    <col min="6403" max="6652" width="9.42578125" style="893"/>
    <col min="6653" max="6653" width="5.42578125" style="893" customWidth="1"/>
    <col min="6654" max="6654" width="5.5703125" style="893" customWidth="1"/>
    <col min="6655" max="6655" width="57.5703125" style="893" customWidth="1"/>
    <col min="6656" max="6656" width="9.42578125" style="893" customWidth="1"/>
    <col min="6657" max="6657" width="6.5703125" style="893" customWidth="1"/>
    <col min="6658" max="6658" width="25.42578125" style="893" customWidth="1"/>
    <col min="6659" max="6908" width="9.42578125" style="893"/>
    <col min="6909" max="6909" width="5.42578125" style="893" customWidth="1"/>
    <col min="6910" max="6910" width="5.5703125" style="893" customWidth="1"/>
    <col min="6911" max="6911" width="57.5703125" style="893" customWidth="1"/>
    <col min="6912" max="6912" width="9.42578125" style="893" customWidth="1"/>
    <col min="6913" max="6913" width="6.5703125" style="893" customWidth="1"/>
    <col min="6914" max="6914" width="25.42578125" style="893" customWidth="1"/>
    <col min="6915" max="7164" width="9.42578125" style="893"/>
    <col min="7165" max="7165" width="5.42578125" style="893" customWidth="1"/>
    <col min="7166" max="7166" width="5.5703125" style="893" customWidth="1"/>
    <col min="7167" max="7167" width="57.5703125" style="893" customWidth="1"/>
    <col min="7168" max="7168" width="9.42578125" style="893" customWidth="1"/>
    <col min="7169" max="7169" width="6.5703125" style="893" customWidth="1"/>
    <col min="7170" max="7170" width="25.42578125" style="893" customWidth="1"/>
    <col min="7171" max="7420" width="9.42578125" style="893"/>
    <col min="7421" max="7421" width="5.42578125" style="893" customWidth="1"/>
    <col min="7422" max="7422" width="5.5703125" style="893" customWidth="1"/>
    <col min="7423" max="7423" width="57.5703125" style="893" customWidth="1"/>
    <col min="7424" max="7424" width="9.42578125" style="893" customWidth="1"/>
    <col min="7425" max="7425" width="6.5703125" style="893" customWidth="1"/>
    <col min="7426" max="7426" width="25.42578125" style="893" customWidth="1"/>
    <col min="7427" max="7676" width="9.42578125" style="893"/>
    <col min="7677" max="7677" width="5.42578125" style="893" customWidth="1"/>
    <col min="7678" max="7678" width="5.5703125" style="893" customWidth="1"/>
    <col min="7679" max="7679" width="57.5703125" style="893" customWidth="1"/>
    <col min="7680" max="7680" width="9.42578125" style="893" customWidth="1"/>
    <col min="7681" max="7681" width="6.5703125" style="893" customWidth="1"/>
    <col min="7682" max="7682" width="25.42578125" style="893" customWidth="1"/>
    <col min="7683" max="7932" width="9.42578125" style="893"/>
    <col min="7933" max="7933" width="5.42578125" style="893" customWidth="1"/>
    <col min="7934" max="7934" width="5.5703125" style="893" customWidth="1"/>
    <col min="7935" max="7935" width="57.5703125" style="893" customWidth="1"/>
    <col min="7936" max="7936" width="9.42578125" style="893" customWidth="1"/>
    <col min="7937" max="7937" width="6.5703125" style="893" customWidth="1"/>
    <col min="7938" max="7938" width="25.42578125" style="893" customWidth="1"/>
    <col min="7939" max="8188" width="9.42578125" style="893"/>
    <col min="8189" max="8189" width="5.42578125" style="893" customWidth="1"/>
    <col min="8190" max="8190" width="5.5703125" style="893" customWidth="1"/>
    <col min="8191" max="8191" width="57.5703125" style="893" customWidth="1"/>
    <col min="8192" max="8192" width="9.42578125" style="893" customWidth="1"/>
    <col min="8193" max="8193" width="6.5703125" style="893" customWidth="1"/>
    <col min="8194" max="8194" width="25.42578125" style="893" customWidth="1"/>
    <col min="8195" max="8444" width="9.42578125" style="893"/>
    <col min="8445" max="8445" width="5.42578125" style="893" customWidth="1"/>
    <col min="8446" max="8446" width="5.5703125" style="893" customWidth="1"/>
    <col min="8447" max="8447" width="57.5703125" style="893" customWidth="1"/>
    <col min="8448" max="8448" width="9.42578125" style="893" customWidth="1"/>
    <col min="8449" max="8449" width="6.5703125" style="893" customWidth="1"/>
    <col min="8450" max="8450" width="25.42578125" style="893" customWidth="1"/>
    <col min="8451" max="8700" width="9.42578125" style="893"/>
    <col min="8701" max="8701" width="5.42578125" style="893" customWidth="1"/>
    <col min="8702" max="8702" width="5.5703125" style="893" customWidth="1"/>
    <col min="8703" max="8703" width="57.5703125" style="893" customWidth="1"/>
    <col min="8704" max="8704" width="9.42578125" style="893" customWidth="1"/>
    <col min="8705" max="8705" width="6.5703125" style="893" customWidth="1"/>
    <col min="8706" max="8706" width="25.42578125" style="893" customWidth="1"/>
    <col min="8707" max="8956" width="9.42578125" style="893"/>
    <col min="8957" max="8957" width="5.42578125" style="893" customWidth="1"/>
    <col min="8958" max="8958" width="5.5703125" style="893" customWidth="1"/>
    <col min="8959" max="8959" width="57.5703125" style="893" customWidth="1"/>
    <col min="8960" max="8960" width="9.42578125" style="893" customWidth="1"/>
    <col min="8961" max="8961" width="6.5703125" style="893" customWidth="1"/>
    <col min="8962" max="8962" width="25.42578125" style="893" customWidth="1"/>
    <col min="8963" max="9212" width="9.42578125" style="893"/>
    <col min="9213" max="9213" width="5.42578125" style="893" customWidth="1"/>
    <col min="9214" max="9214" width="5.5703125" style="893" customWidth="1"/>
    <col min="9215" max="9215" width="57.5703125" style="893" customWidth="1"/>
    <col min="9216" max="9216" width="9.42578125" style="893" customWidth="1"/>
    <col min="9217" max="9217" width="6.5703125" style="893" customWidth="1"/>
    <col min="9218" max="9218" width="25.42578125" style="893" customWidth="1"/>
    <col min="9219" max="9468" width="9.42578125" style="893"/>
    <col min="9469" max="9469" width="5.42578125" style="893" customWidth="1"/>
    <col min="9470" max="9470" width="5.5703125" style="893" customWidth="1"/>
    <col min="9471" max="9471" width="57.5703125" style="893" customWidth="1"/>
    <col min="9472" max="9472" width="9.42578125" style="893" customWidth="1"/>
    <col min="9473" max="9473" width="6.5703125" style="893" customWidth="1"/>
    <col min="9474" max="9474" width="25.42578125" style="893" customWidth="1"/>
    <col min="9475" max="9724" width="9.42578125" style="893"/>
    <col min="9725" max="9725" width="5.42578125" style="893" customWidth="1"/>
    <col min="9726" max="9726" width="5.5703125" style="893" customWidth="1"/>
    <col min="9727" max="9727" width="57.5703125" style="893" customWidth="1"/>
    <col min="9728" max="9728" width="9.42578125" style="893" customWidth="1"/>
    <col min="9729" max="9729" width="6.5703125" style="893" customWidth="1"/>
    <col min="9730" max="9730" width="25.42578125" style="893" customWidth="1"/>
    <col min="9731" max="9980" width="9.42578125" style="893"/>
    <col min="9981" max="9981" width="5.42578125" style="893" customWidth="1"/>
    <col min="9982" max="9982" width="5.5703125" style="893" customWidth="1"/>
    <col min="9983" max="9983" width="57.5703125" style="893" customWidth="1"/>
    <col min="9984" max="9984" width="9.42578125" style="893" customWidth="1"/>
    <col min="9985" max="9985" width="6.5703125" style="893" customWidth="1"/>
    <col min="9986" max="9986" width="25.42578125" style="893" customWidth="1"/>
    <col min="9987" max="10236" width="9.42578125" style="893"/>
    <col min="10237" max="10237" width="5.42578125" style="893" customWidth="1"/>
    <col min="10238" max="10238" width="5.5703125" style="893" customWidth="1"/>
    <col min="10239" max="10239" width="57.5703125" style="893" customWidth="1"/>
    <col min="10240" max="10240" width="9.42578125" style="893" customWidth="1"/>
    <col min="10241" max="10241" width="6.5703125" style="893" customWidth="1"/>
    <col min="10242" max="10242" width="25.42578125" style="893" customWidth="1"/>
    <col min="10243" max="10492" width="9.42578125" style="893"/>
    <col min="10493" max="10493" width="5.42578125" style="893" customWidth="1"/>
    <col min="10494" max="10494" width="5.5703125" style="893" customWidth="1"/>
    <col min="10495" max="10495" width="57.5703125" style="893" customWidth="1"/>
    <col min="10496" max="10496" width="9.42578125" style="893" customWidth="1"/>
    <col min="10497" max="10497" width="6.5703125" style="893" customWidth="1"/>
    <col min="10498" max="10498" width="25.42578125" style="893" customWidth="1"/>
    <col min="10499" max="10748" width="9.42578125" style="893"/>
    <col min="10749" max="10749" width="5.42578125" style="893" customWidth="1"/>
    <col min="10750" max="10750" width="5.5703125" style="893" customWidth="1"/>
    <col min="10751" max="10751" width="57.5703125" style="893" customWidth="1"/>
    <col min="10752" max="10752" width="9.42578125" style="893" customWidth="1"/>
    <col min="10753" max="10753" width="6.5703125" style="893" customWidth="1"/>
    <col min="10754" max="10754" width="25.42578125" style="893" customWidth="1"/>
    <col min="10755" max="11004" width="9.42578125" style="893"/>
    <col min="11005" max="11005" width="5.42578125" style="893" customWidth="1"/>
    <col min="11006" max="11006" width="5.5703125" style="893" customWidth="1"/>
    <col min="11007" max="11007" width="57.5703125" style="893" customWidth="1"/>
    <col min="11008" max="11008" width="9.42578125" style="893" customWidth="1"/>
    <col min="11009" max="11009" width="6.5703125" style="893" customWidth="1"/>
    <col min="11010" max="11010" width="25.42578125" style="893" customWidth="1"/>
    <col min="11011" max="11260" width="9.42578125" style="893"/>
    <col min="11261" max="11261" width="5.42578125" style="893" customWidth="1"/>
    <col min="11262" max="11262" width="5.5703125" style="893" customWidth="1"/>
    <col min="11263" max="11263" width="57.5703125" style="893" customWidth="1"/>
    <col min="11264" max="11264" width="9.42578125" style="893" customWidth="1"/>
    <col min="11265" max="11265" width="6.5703125" style="893" customWidth="1"/>
    <col min="11266" max="11266" width="25.42578125" style="893" customWidth="1"/>
    <col min="11267" max="11516" width="9.42578125" style="893"/>
    <col min="11517" max="11517" width="5.42578125" style="893" customWidth="1"/>
    <col min="11518" max="11518" width="5.5703125" style="893" customWidth="1"/>
    <col min="11519" max="11519" width="57.5703125" style="893" customWidth="1"/>
    <col min="11520" max="11520" width="9.42578125" style="893" customWidth="1"/>
    <col min="11521" max="11521" width="6.5703125" style="893" customWidth="1"/>
    <col min="11522" max="11522" width="25.42578125" style="893" customWidth="1"/>
    <col min="11523" max="11772" width="9.42578125" style="893"/>
    <col min="11773" max="11773" width="5.42578125" style="893" customWidth="1"/>
    <col min="11774" max="11774" width="5.5703125" style="893" customWidth="1"/>
    <col min="11775" max="11775" width="57.5703125" style="893" customWidth="1"/>
    <col min="11776" max="11776" width="9.42578125" style="893" customWidth="1"/>
    <col min="11777" max="11777" width="6.5703125" style="893" customWidth="1"/>
    <col min="11778" max="11778" width="25.42578125" style="893" customWidth="1"/>
    <col min="11779" max="12028" width="9.42578125" style="893"/>
    <col min="12029" max="12029" width="5.42578125" style="893" customWidth="1"/>
    <col min="12030" max="12030" width="5.5703125" style="893" customWidth="1"/>
    <col min="12031" max="12031" width="57.5703125" style="893" customWidth="1"/>
    <col min="12032" max="12032" width="9.42578125" style="893" customWidth="1"/>
    <col min="12033" max="12033" width="6.5703125" style="893" customWidth="1"/>
    <col min="12034" max="12034" width="25.42578125" style="893" customWidth="1"/>
    <col min="12035" max="12284" width="9.42578125" style="893"/>
    <col min="12285" max="12285" width="5.42578125" style="893" customWidth="1"/>
    <col min="12286" max="12286" width="5.5703125" style="893" customWidth="1"/>
    <col min="12287" max="12287" width="57.5703125" style="893" customWidth="1"/>
    <col min="12288" max="12288" width="9.42578125" style="893" customWidth="1"/>
    <col min="12289" max="12289" width="6.5703125" style="893" customWidth="1"/>
    <col min="12290" max="12290" width="25.42578125" style="893" customWidth="1"/>
    <col min="12291" max="12540" width="9.42578125" style="893"/>
    <col min="12541" max="12541" width="5.42578125" style="893" customWidth="1"/>
    <col min="12542" max="12542" width="5.5703125" style="893" customWidth="1"/>
    <col min="12543" max="12543" width="57.5703125" style="893" customWidth="1"/>
    <col min="12544" max="12544" width="9.42578125" style="893" customWidth="1"/>
    <col min="12545" max="12545" width="6.5703125" style="893" customWidth="1"/>
    <col min="12546" max="12546" width="25.42578125" style="893" customWidth="1"/>
    <col min="12547" max="12796" width="9.42578125" style="893"/>
    <col min="12797" max="12797" width="5.42578125" style="893" customWidth="1"/>
    <col min="12798" max="12798" width="5.5703125" style="893" customWidth="1"/>
    <col min="12799" max="12799" width="57.5703125" style="893" customWidth="1"/>
    <col min="12800" max="12800" width="9.42578125" style="893" customWidth="1"/>
    <col min="12801" max="12801" width="6.5703125" style="893" customWidth="1"/>
    <col min="12802" max="12802" width="25.42578125" style="893" customWidth="1"/>
    <col min="12803" max="13052" width="9.42578125" style="893"/>
    <col min="13053" max="13053" width="5.42578125" style="893" customWidth="1"/>
    <col min="13054" max="13054" width="5.5703125" style="893" customWidth="1"/>
    <col min="13055" max="13055" width="57.5703125" style="893" customWidth="1"/>
    <col min="13056" max="13056" width="9.42578125" style="893" customWidth="1"/>
    <col min="13057" max="13057" width="6.5703125" style="893" customWidth="1"/>
    <col min="13058" max="13058" width="25.42578125" style="893" customWidth="1"/>
    <col min="13059" max="13308" width="9.42578125" style="893"/>
    <col min="13309" max="13309" width="5.42578125" style="893" customWidth="1"/>
    <col min="13310" max="13310" width="5.5703125" style="893" customWidth="1"/>
    <col min="13311" max="13311" width="57.5703125" style="893" customWidth="1"/>
    <col min="13312" max="13312" width="9.42578125" style="893" customWidth="1"/>
    <col min="13313" max="13313" width="6.5703125" style="893" customWidth="1"/>
    <col min="13314" max="13314" width="25.42578125" style="893" customWidth="1"/>
    <col min="13315" max="13564" width="9.42578125" style="893"/>
    <col min="13565" max="13565" width="5.42578125" style="893" customWidth="1"/>
    <col min="13566" max="13566" width="5.5703125" style="893" customWidth="1"/>
    <col min="13567" max="13567" width="57.5703125" style="893" customWidth="1"/>
    <col min="13568" max="13568" width="9.42578125" style="893" customWidth="1"/>
    <col min="13569" max="13569" width="6.5703125" style="893" customWidth="1"/>
    <col min="13570" max="13570" width="25.42578125" style="893" customWidth="1"/>
    <col min="13571" max="13820" width="9.42578125" style="893"/>
    <col min="13821" max="13821" width="5.42578125" style="893" customWidth="1"/>
    <col min="13822" max="13822" width="5.5703125" style="893" customWidth="1"/>
    <col min="13823" max="13823" width="57.5703125" style="893" customWidth="1"/>
    <col min="13824" max="13824" width="9.42578125" style="893" customWidth="1"/>
    <col min="13825" max="13825" width="6.5703125" style="893" customWidth="1"/>
    <col min="13826" max="13826" width="25.42578125" style="893" customWidth="1"/>
    <col min="13827" max="14076" width="9.42578125" style="893"/>
    <col min="14077" max="14077" width="5.42578125" style="893" customWidth="1"/>
    <col min="14078" max="14078" width="5.5703125" style="893" customWidth="1"/>
    <col min="14079" max="14079" width="57.5703125" style="893" customWidth="1"/>
    <col min="14080" max="14080" width="9.42578125" style="893" customWidth="1"/>
    <col min="14081" max="14081" width="6.5703125" style="893" customWidth="1"/>
    <col min="14082" max="14082" width="25.42578125" style="893" customWidth="1"/>
    <col min="14083" max="14332" width="9.42578125" style="893"/>
    <col min="14333" max="14333" width="5.42578125" style="893" customWidth="1"/>
    <col min="14334" max="14334" width="5.5703125" style="893" customWidth="1"/>
    <col min="14335" max="14335" width="57.5703125" style="893" customWidth="1"/>
    <col min="14336" max="14336" width="9.42578125" style="893" customWidth="1"/>
    <col min="14337" max="14337" width="6.5703125" style="893" customWidth="1"/>
    <col min="14338" max="14338" width="25.42578125" style="893" customWidth="1"/>
    <col min="14339" max="14588" width="9.42578125" style="893"/>
    <col min="14589" max="14589" width="5.42578125" style="893" customWidth="1"/>
    <col min="14590" max="14590" width="5.5703125" style="893" customWidth="1"/>
    <col min="14591" max="14591" width="57.5703125" style="893" customWidth="1"/>
    <col min="14592" max="14592" width="9.42578125" style="893" customWidth="1"/>
    <col min="14593" max="14593" width="6.5703125" style="893" customWidth="1"/>
    <col min="14594" max="14594" width="25.42578125" style="893" customWidth="1"/>
    <col min="14595" max="14844" width="9.42578125" style="893"/>
    <col min="14845" max="14845" width="5.42578125" style="893" customWidth="1"/>
    <col min="14846" max="14846" width="5.5703125" style="893" customWidth="1"/>
    <col min="14847" max="14847" width="57.5703125" style="893" customWidth="1"/>
    <col min="14848" max="14848" width="9.42578125" style="893" customWidth="1"/>
    <col min="14849" max="14849" width="6.5703125" style="893" customWidth="1"/>
    <col min="14850" max="14850" width="25.42578125" style="893" customWidth="1"/>
    <col min="14851" max="15100" width="9.42578125" style="893"/>
    <col min="15101" max="15101" width="5.42578125" style="893" customWidth="1"/>
    <col min="15102" max="15102" width="5.5703125" style="893" customWidth="1"/>
    <col min="15103" max="15103" width="57.5703125" style="893" customWidth="1"/>
    <col min="15104" max="15104" width="9.42578125" style="893" customWidth="1"/>
    <col min="15105" max="15105" width="6.5703125" style="893" customWidth="1"/>
    <col min="15106" max="15106" width="25.42578125" style="893" customWidth="1"/>
    <col min="15107" max="15356" width="9.42578125" style="893"/>
    <col min="15357" max="15357" width="5.42578125" style="893" customWidth="1"/>
    <col min="15358" max="15358" width="5.5703125" style="893" customWidth="1"/>
    <col min="15359" max="15359" width="57.5703125" style="893" customWidth="1"/>
    <col min="15360" max="15360" width="9.42578125" style="893" customWidth="1"/>
    <col min="15361" max="15361" width="6.5703125" style="893" customWidth="1"/>
    <col min="15362" max="15362" width="25.42578125" style="893" customWidth="1"/>
    <col min="15363" max="15612" width="9.42578125" style="893"/>
    <col min="15613" max="15613" width="5.42578125" style="893" customWidth="1"/>
    <col min="15614" max="15614" width="5.5703125" style="893" customWidth="1"/>
    <col min="15615" max="15615" width="57.5703125" style="893" customWidth="1"/>
    <col min="15616" max="15616" width="9.42578125" style="893" customWidth="1"/>
    <col min="15617" max="15617" width="6.5703125" style="893" customWidth="1"/>
    <col min="15618" max="15618" width="25.42578125" style="893" customWidth="1"/>
    <col min="15619" max="15868" width="9.42578125" style="893"/>
    <col min="15869" max="15869" width="5.42578125" style="893" customWidth="1"/>
    <col min="15870" max="15870" width="5.5703125" style="893" customWidth="1"/>
    <col min="15871" max="15871" width="57.5703125" style="893" customWidth="1"/>
    <col min="15872" max="15872" width="9.42578125" style="893" customWidth="1"/>
    <col min="15873" max="15873" width="6.5703125" style="893" customWidth="1"/>
    <col min="15874" max="15874" width="25.42578125" style="893" customWidth="1"/>
    <col min="15875" max="16124" width="9.42578125" style="893"/>
    <col min="16125" max="16125" width="5.42578125" style="893" customWidth="1"/>
    <col min="16126" max="16126" width="5.5703125" style="893" customWidth="1"/>
    <col min="16127" max="16127" width="57.5703125" style="893" customWidth="1"/>
    <col min="16128" max="16128" width="9.42578125" style="893" customWidth="1"/>
    <col min="16129" max="16129" width="6.5703125" style="893" customWidth="1"/>
    <col min="16130" max="16130" width="25.42578125" style="893" customWidth="1"/>
    <col min="16131" max="16379" width="9.42578125" style="893"/>
    <col min="16380" max="16384" width="9.42578125" style="893" customWidth="1"/>
  </cols>
  <sheetData>
    <row r="1" spans="2:22" ht="18.75" customHeight="1">
      <c r="T1" s="895"/>
      <c r="V1" s="896"/>
    </row>
    <row r="2" spans="2:22">
      <c r="B2" s="897"/>
      <c r="C2" s="897"/>
      <c r="D2" s="897"/>
      <c r="E2" s="933"/>
      <c r="G2" s="934"/>
      <c r="H2" s="934"/>
      <c r="I2" s="934"/>
      <c r="J2" s="934"/>
      <c r="K2" s="934"/>
    </row>
    <row r="3" spans="2:22">
      <c r="B3" s="898" t="s">
        <v>986</v>
      </c>
      <c r="C3" s="897"/>
      <c r="D3" s="897"/>
      <c r="E3" s="933"/>
      <c r="G3" s="934"/>
      <c r="H3" s="934"/>
      <c r="I3" s="934"/>
      <c r="J3" s="934"/>
      <c r="K3" s="934"/>
    </row>
    <row r="4" spans="2:22">
      <c r="B4" s="906"/>
      <c r="C4" s="897"/>
      <c r="D4" s="906"/>
      <c r="E4" s="935">
        <v>2014</v>
      </c>
      <c r="G4" s="934"/>
      <c r="H4" s="934"/>
      <c r="I4" s="934"/>
      <c r="J4" s="934"/>
      <c r="K4" s="934"/>
    </row>
    <row r="5" spans="2:22">
      <c r="B5" s="897"/>
      <c r="C5" s="901"/>
      <c r="D5" s="897"/>
      <c r="E5" s="909"/>
      <c r="F5" s="936" t="s">
        <v>466</v>
      </c>
      <c r="G5" s="934"/>
      <c r="H5" s="934"/>
      <c r="I5" s="934"/>
      <c r="J5" s="934"/>
      <c r="K5" s="934"/>
    </row>
    <row r="6" spans="2:22">
      <c r="B6" s="897" t="s">
        <v>987</v>
      </c>
      <c r="C6" s="897"/>
      <c r="D6" s="897"/>
      <c r="E6" s="940">
        <f>MON_PSD!K23</f>
        <v>3969.9202318629714</v>
      </c>
      <c r="F6" s="894" t="s">
        <v>988</v>
      </c>
      <c r="G6" s="934"/>
      <c r="H6" s="934"/>
      <c r="I6" s="934"/>
      <c r="J6" s="934"/>
      <c r="K6" s="934"/>
    </row>
    <row r="7" spans="2:22">
      <c r="B7" s="897" t="s">
        <v>989</v>
      </c>
      <c r="C7" s="897"/>
      <c r="D7" s="897"/>
      <c r="E7" s="941">
        <f>'TC nominal'!H14</f>
        <v>549.41883867712431</v>
      </c>
      <c r="F7" s="784" t="s">
        <v>950</v>
      </c>
      <c r="G7" s="934"/>
      <c r="H7" s="934"/>
      <c r="I7" s="934"/>
      <c r="J7" s="934"/>
      <c r="K7" s="934"/>
    </row>
    <row r="8" spans="2:22">
      <c r="B8" s="897" t="s">
        <v>990</v>
      </c>
      <c r="C8" s="897"/>
      <c r="D8" s="897"/>
      <c r="E8" s="942">
        <f>E6/E7*1000</f>
        <v>7225.6718415801633</v>
      </c>
      <c r="F8" s="894" t="s">
        <v>991</v>
      </c>
      <c r="G8" s="934"/>
      <c r="H8" s="934"/>
      <c r="I8" s="934"/>
      <c r="J8" s="934"/>
      <c r="K8" s="934"/>
    </row>
    <row r="9" spans="2:22">
      <c r="B9" s="897"/>
      <c r="C9" s="897"/>
      <c r="D9" s="897"/>
      <c r="E9" s="943"/>
      <c r="F9" s="894"/>
      <c r="G9" s="934"/>
      <c r="H9" s="934"/>
      <c r="I9" s="934"/>
      <c r="J9" s="934"/>
      <c r="K9" s="934"/>
    </row>
    <row r="10" spans="2:22">
      <c r="B10" s="897" t="s">
        <v>992</v>
      </c>
      <c r="C10" s="897"/>
      <c r="D10" s="897"/>
      <c r="E10" s="941">
        <f>BP!L41</f>
        <v>-244.54656207462949</v>
      </c>
      <c r="F10" s="784" t="s">
        <v>954</v>
      </c>
      <c r="G10" s="934"/>
      <c r="H10" s="934"/>
      <c r="I10" s="934"/>
      <c r="J10" s="934"/>
      <c r="K10" s="934"/>
    </row>
    <row r="11" spans="2:22">
      <c r="B11" s="897"/>
      <c r="C11" s="897"/>
      <c r="D11" s="897"/>
      <c r="E11" s="943"/>
      <c r="F11" s="894"/>
      <c r="G11" s="934"/>
      <c r="H11" s="934"/>
      <c r="I11" s="934"/>
      <c r="J11" s="934"/>
      <c r="K11" s="934"/>
    </row>
    <row r="12" spans="2:22">
      <c r="B12" s="897" t="s">
        <v>993</v>
      </c>
      <c r="C12" s="897"/>
      <c r="D12" s="897"/>
      <c r="E12" s="942">
        <f>E8+E10</f>
        <v>6981.1252795055334</v>
      </c>
      <c r="F12" s="894" t="s">
        <v>994</v>
      </c>
      <c r="G12" s="934"/>
      <c r="H12" s="934"/>
      <c r="I12" s="934"/>
      <c r="J12" s="934"/>
      <c r="K12" s="934"/>
    </row>
    <row r="13" spans="2:22">
      <c r="B13" s="897" t="s">
        <v>995</v>
      </c>
      <c r="C13" s="897"/>
      <c r="D13" s="897"/>
      <c r="E13" s="942">
        <f>'TC nominal'!I14</f>
        <v>576.87685307805032</v>
      </c>
      <c r="F13" s="784" t="s">
        <v>950</v>
      </c>
      <c r="G13" s="934"/>
      <c r="H13" s="934"/>
      <c r="I13" s="934"/>
      <c r="J13" s="934"/>
      <c r="K13" s="934"/>
    </row>
    <row r="14" spans="2:22">
      <c r="B14" s="897" t="s">
        <v>996</v>
      </c>
      <c r="C14" s="897"/>
      <c r="D14" s="897"/>
      <c r="E14" s="942">
        <f>E12*E13/1000</f>
        <v>4027.2495821847765</v>
      </c>
      <c r="F14" s="894" t="s">
        <v>997</v>
      </c>
      <c r="G14" s="934"/>
      <c r="H14" s="934"/>
      <c r="I14" s="934"/>
      <c r="J14" s="934"/>
      <c r="K14" s="934"/>
    </row>
    <row r="15" spans="2:22" ht="8.1" customHeight="1">
      <c r="B15" s="906"/>
      <c r="C15" s="906"/>
      <c r="D15" s="906"/>
      <c r="E15" s="944"/>
      <c r="G15" s="934"/>
      <c r="H15" s="934"/>
      <c r="I15" s="934"/>
      <c r="J15" s="934"/>
      <c r="K15" s="934"/>
    </row>
    <row r="16" spans="2:22">
      <c r="E16" s="945"/>
      <c r="G16" s="934"/>
      <c r="H16" s="934"/>
      <c r="I16" s="934"/>
      <c r="J16" s="934"/>
      <c r="K16" s="934"/>
    </row>
    <row r="17" spans="2:23">
      <c r="B17" s="898" t="s">
        <v>998</v>
      </c>
      <c r="C17" s="897"/>
      <c r="D17" s="897"/>
      <c r="E17" s="946"/>
      <c r="G17" s="934"/>
      <c r="H17" s="934"/>
      <c r="I17" s="934"/>
      <c r="J17" s="934"/>
      <c r="K17" s="934"/>
    </row>
    <row r="18" spans="2:23">
      <c r="B18" s="906"/>
      <c r="C18" s="906"/>
      <c r="D18" s="906"/>
      <c r="E18" s="947"/>
      <c r="G18" s="934"/>
      <c r="H18" s="934"/>
      <c r="I18" s="934"/>
      <c r="J18" s="934"/>
      <c r="K18" s="934"/>
    </row>
    <row r="19" spans="2:23">
      <c r="B19" s="897"/>
      <c r="C19" s="897"/>
      <c r="D19" s="897"/>
      <c r="E19" s="946"/>
      <c r="G19" s="934"/>
      <c r="H19" s="934"/>
      <c r="I19" s="934"/>
      <c r="J19" s="934"/>
      <c r="K19" s="934"/>
    </row>
    <row r="20" spans="2:23">
      <c r="B20" s="897"/>
      <c r="C20" s="897"/>
      <c r="D20" s="897"/>
      <c r="E20" s="948"/>
    </row>
    <row r="21" spans="2:23">
      <c r="B21" s="897"/>
      <c r="C21" s="937"/>
      <c r="D21" s="937"/>
      <c r="E21" s="949"/>
    </row>
    <row r="22" spans="2:23">
      <c r="B22" s="897" t="s">
        <v>999</v>
      </c>
      <c r="C22" s="897"/>
      <c r="D22" s="897"/>
      <c r="E22" s="950">
        <f>MON_PSD!K31</f>
        <v>817.47400275082134</v>
      </c>
      <c r="F22" s="894" t="s">
        <v>964</v>
      </c>
    </row>
    <row r="23" spans="2:23">
      <c r="B23" s="897"/>
      <c r="C23" s="897"/>
      <c r="D23" s="897"/>
      <c r="E23" s="946"/>
    </row>
    <row r="24" spans="2:23">
      <c r="B24" s="908" t="s">
        <v>1000</v>
      </c>
      <c r="C24" s="897"/>
      <c r="D24" s="897"/>
      <c r="E24" s="942">
        <f>E25-E26-E27</f>
        <v>195.04521997090242</v>
      </c>
    </row>
    <row r="25" spans="2:23">
      <c r="B25" s="897" t="s">
        <v>1001</v>
      </c>
      <c r="C25" s="938"/>
      <c r="D25" s="938"/>
      <c r="E25" s="942">
        <f>E14</f>
        <v>4027.2495821847765</v>
      </c>
      <c r="F25" s="894" t="s">
        <v>1002</v>
      </c>
    </row>
    <row r="26" spans="2:23">
      <c r="B26" s="897" t="s">
        <v>1003</v>
      </c>
      <c r="C26" s="939"/>
      <c r="D26" s="939"/>
      <c r="E26" s="942">
        <f>MON_PSD!K23</f>
        <v>3969.9202318629714</v>
      </c>
      <c r="F26" s="894" t="s">
        <v>988</v>
      </c>
    </row>
    <row r="27" spans="2:23">
      <c r="B27" s="897" t="s">
        <v>1004</v>
      </c>
      <c r="C27" s="938"/>
      <c r="D27" s="938"/>
      <c r="E27" s="942">
        <f>'AEN y OPN totales'!C30</f>
        <v>-137.7158696490973</v>
      </c>
      <c r="F27" s="894" t="s">
        <v>1005</v>
      </c>
    </row>
    <row r="28" spans="2:23">
      <c r="B28" s="897"/>
      <c r="C28" s="897"/>
      <c r="D28" s="897"/>
      <c r="E28" s="951"/>
    </row>
    <row r="29" spans="2:23">
      <c r="B29" s="897" t="s">
        <v>999</v>
      </c>
      <c r="C29" s="897"/>
      <c r="D29" s="897"/>
      <c r="E29" s="952">
        <f>E22-E24</f>
        <v>622.42878277991895</v>
      </c>
      <c r="W29" s="896"/>
    </row>
    <row r="30" spans="2:23">
      <c r="B30" s="906"/>
      <c r="C30" s="906"/>
      <c r="D30" s="906"/>
      <c r="E30" s="906"/>
    </row>
    <row r="31" spans="2:23">
      <c r="W31" s="896"/>
    </row>
  </sheetData>
  <pageMargins left="0.75" right="0.75" top="1" bottom="1" header="0.5" footer="0.5"/>
  <pageSetup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tint="-0.499984740745262"/>
    <pageSetUpPr fitToPage="1"/>
  </sheetPr>
  <dimension ref="B1:AB239"/>
  <sheetViews>
    <sheetView topLeftCell="A10" zoomScaleNormal="100" workbookViewId="0">
      <selection activeCell="L41" sqref="L41"/>
    </sheetView>
  </sheetViews>
  <sheetFormatPr baseColWidth="10" defaultColWidth="9.42578125" defaultRowHeight="15"/>
  <cols>
    <col min="1" max="1" width="9.42578125" style="2"/>
    <col min="2" max="2" width="4.140625" style="3" customWidth="1"/>
    <col min="3" max="3" width="61.5703125" style="3" customWidth="1"/>
    <col min="4" max="4" width="9.42578125" style="4" bestFit="1" customWidth="1"/>
    <col min="5" max="10" width="9.42578125" style="4"/>
    <col min="11" max="11" width="11.5703125" style="4" customWidth="1"/>
    <col min="12" max="12" width="9.5703125" style="4" bestFit="1" customWidth="1"/>
    <col min="13" max="13" width="4.140625" style="2" customWidth="1"/>
    <col min="14" max="16384" width="9.42578125" style="2"/>
  </cols>
  <sheetData>
    <row r="1" spans="2:13" ht="15.75" thickBot="1"/>
    <row r="2" spans="2:13" s="1" customFormat="1" ht="33" customHeight="1">
      <c r="B2" s="393" t="s">
        <v>1006</v>
      </c>
      <c r="C2" s="282"/>
      <c r="D2" s="282"/>
      <c r="E2" s="282"/>
      <c r="F2" s="282"/>
      <c r="G2" s="282"/>
      <c r="H2" s="282"/>
      <c r="I2" s="282"/>
      <c r="J2" s="282"/>
      <c r="K2" s="282"/>
      <c r="L2" s="282"/>
      <c r="M2" s="389"/>
    </row>
    <row r="3" spans="2:13" s="1" customFormat="1" ht="33" customHeight="1">
      <c r="B3" s="14"/>
      <c r="C3" s="16"/>
      <c r="D3" s="351">
        <v>2006</v>
      </c>
      <c r="E3" s="351">
        <v>2007</v>
      </c>
      <c r="F3" s="351">
        <v>2008</v>
      </c>
      <c r="G3" s="351">
        <v>2009</v>
      </c>
      <c r="H3" s="351">
        <v>2010</v>
      </c>
      <c r="I3" s="351">
        <v>2011</v>
      </c>
      <c r="J3" s="351">
        <v>2012</v>
      </c>
      <c r="K3" s="351">
        <v>2013</v>
      </c>
      <c r="L3" s="351">
        <v>2014</v>
      </c>
      <c r="M3" s="32"/>
    </row>
    <row r="4" spans="2:13" s="1" customFormat="1" ht="33" customHeight="1">
      <c r="B4" s="109" t="s">
        <v>1007</v>
      </c>
      <c r="C4" s="110"/>
      <c r="D4" s="110"/>
      <c r="E4" s="110"/>
      <c r="F4" s="110"/>
      <c r="G4" s="110"/>
      <c r="H4" s="110"/>
      <c r="I4" s="110"/>
      <c r="J4" s="110"/>
      <c r="K4" s="110"/>
      <c r="L4" s="110"/>
      <c r="M4" s="32"/>
    </row>
    <row r="5" spans="2:13" s="1" customFormat="1" ht="15" customHeight="1" thickBot="1">
      <c r="B5" s="30"/>
      <c r="C5" s="217" t="s">
        <v>1008</v>
      </c>
      <c r="D5" s="24"/>
      <c r="E5" s="24"/>
      <c r="F5" s="24"/>
      <c r="G5" s="24"/>
      <c r="H5" s="24"/>
      <c r="I5" s="24"/>
      <c r="J5" s="24"/>
      <c r="K5" s="24"/>
      <c r="L5" s="31"/>
      <c r="M5" s="32"/>
    </row>
    <row r="6" spans="2:13" ht="15.75" thickBot="1">
      <c r="B6" s="6"/>
      <c r="C6" s="18" t="s">
        <v>1009</v>
      </c>
      <c r="D6" s="43" t="s">
        <v>151</v>
      </c>
      <c r="E6" s="42">
        <f>E34/D34*100-100</f>
        <v>8.0976209566597532</v>
      </c>
      <c r="F6" s="42">
        <f t="shared" ref="F6:L6" si="0">F34/E34*100-100</f>
        <v>-2.6045243479930633</v>
      </c>
      <c r="G6" s="42">
        <f t="shared" si="0"/>
        <v>28.292782409037756</v>
      </c>
      <c r="H6" s="42">
        <f t="shared" si="0"/>
        <v>0.86018844154432372</v>
      </c>
      <c r="I6" s="42">
        <f t="shared" si="0"/>
        <v>-17.988287022211281</v>
      </c>
      <c r="J6" s="42">
        <f t="shared" si="0"/>
        <v>32.529912667630214</v>
      </c>
      <c r="K6" s="42">
        <f t="shared" si="0"/>
        <v>3.20417750045101</v>
      </c>
      <c r="L6" s="955">
        <f t="shared" si="0"/>
        <v>-5.2475020592428905</v>
      </c>
      <c r="M6" s="171"/>
    </row>
    <row r="7" spans="2:13" ht="15.75" thickBot="1">
      <c r="B7" s="6"/>
      <c r="C7" s="18" t="s">
        <v>1010</v>
      </c>
      <c r="D7" s="43" t="s">
        <v>151</v>
      </c>
      <c r="E7" s="42">
        <f t="shared" ref="E7:L14" si="1">E35/D35*100-100</f>
        <v>28.898688481788753</v>
      </c>
      <c r="F7" s="42">
        <f t="shared" si="1"/>
        <v>30.406851316791261</v>
      </c>
      <c r="G7" s="42">
        <f t="shared" si="1"/>
        <v>8.0782309718563567</v>
      </c>
      <c r="H7" s="42">
        <f t="shared" si="1"/>
        <v>5.0629750306093229</v>
      </c>
      <c r="I7" s="42">
        <f t="shared" si="1"/>
        <v>13.973901974490687</v>
      </c>
      <c r="J7" s="42">
        <f t="shared" si="1"/>
        <v>9.9333266664498439</v>
      </c>
      <c r="K7" s="42">
        <f t="shared" si="1"/>
        <v>10.831123294260607</v>
      </c>
      <c r="L7" s="956">
        <f t="shared" si="1"/>
        <v>9.372303174385749</v>
      </c>
      <c r="M7" s="171"/>
    </row>
    <row r="8" spans="2:13">
      <c r="B8" s="6"/>
      <c r="C8" s="19" t="s">
        <v>1011</v>
      </c>
      <c r="D8" s="43" t="s">
        <v>151</v>
      </c>
      <c r="E8" s="42">
        <f t="shared" si="1"/>
        <v>-37.464166531129749</v>
      </c>
      <c r="F8" s="42">
        <f t="shared" si="1"/>
        <v>9.9562760143301148</v>
      </c>
      <c r="G8" s="42">
        <f t="shared" si="1"/>
        <v>64.221152000978662</v>
      </c>
      <c r="H8" s="42">
        <f t="shared" si="1"/>
        <v>6.6180067578418971</v>
      </c>
      <c r="I8" s="42">
        <f t="shared" si="1"/>
        <v>34.131167180576</v>
      </c>
      <c r="J8" s="42">
        <f t="shared" si="1"/>
        <v>30.148900584488246</v>
      </c>
      <c r="K8" s="42">
        <f t="shared" si="1"/>
        <v>46.238540054219328</v>
      </c>
      <c r="L8" s="957">
        <f t="shared" si="1"/>
        <v>51.020172831497604</v>
      </c>
      <c r="M8" s="171"/>
    </row>
    <row r="9" spans="2:13">
      <c r="B9" s="6"/>
      <c r="C9" s="19" t="s">
        <v>1012</v>
      </c>
      <c r="D9" s="43" t="s">
        <v>151</v>
      </c>
      <c r="E9" s="42">
        <f>E37/D37*100-100</f>
        <v>37.547806206831041</v>
      </c>
      <c r="F9" s="42">
        <f>F37/E37*100-100</f>
        <v>31.61864183766906</v>
      </c>
      <c r="G9" s="42">
        <f t="shared" si="1"/>
        <v>5.299031980785756</v>
      </c>
      <c r="H9" s="42">
        <f t="shared" si="1"/>
        <v>4.9429232491799553</v>
      </c>
      <c r="I9" s="42">
        <f t="shared" si="1"/>
        <v>12.392878326820679</v>
      </c>
      <c r="J9" s="45">
        <f t="shared" si="1"/>
        <v>8.0410538882814535</v>
      </c>
      <c r="K9" s="45">
        <f t="shared" si="1"/>
        <v>6.8386354631617934</v>
      </c>
      <c r="L9" s="1124">
        <f>L37/K37*100-100</f>
        <v>2.9443062548665182</v>
      </c>
      <c r="M9" s="171"/>
    </row>
    <row r="10" spans="2:13" ht="15.75" thickBot="1">
      <c r="B10" s="6"/>
      <c r="C10" s="18" t="s">
        <v>1013</v>
      </c>
      <c r="D10" s="43" t="s">
        <v>151</v>
      </c>
      <c r="E10" s="42">
        <f t="shared" si="1"/>
        <v>63.549566421263194</v>
      </c>
      <c r="F10" s="42">
        <f t="shared" si="1"/>
        <v>75.686784197990107</v>
      </c>
      <c r="G10" s="42">
        <f t="shared" si="1"/>
        <v>32.534081220255842</v>
      </c>
      <c r="H10" s="42">
        <f t="shared" si="1"/>
        <v>21.025675225210662</v>
      </c>
      <c r="I10" s="42">
        <f t="shared" si="1"/>
        <v>10.169790229575383</v>
      </c>
      <c r="J10" s="45">
        <f t="shared" si="1"/>
        <v>29.469178952529973</v>
      </c>
      <c r="K10" s="45">
        <f t="shared" si="1"/>
        <v>11.329165440935853</v>
      </c>
      <c r="L10" s="959">
        <f t="shared" si="1"/>
        <v>3.2413050685836424</v>
      </c>
      <c r="M10" s="171"/>
    </row>
    <row r="11" spans="2:13" ht="15.75" thickBot="1">
      <c r="B11" s="6"/>
      <c r="C11" s="218" t="s">
        <v>1014</v>
      </c>
      <c r="D11" s="43" t="s">
        <v>151</v>
      </c>
      <c r="E11" s="42">
        <f t="shared" si="1"/>
        <v>20.466308347084833</v>
      </c>
      <c r="F11" s="42">
        <f t="shared" si="1"/>
        <v>17.401568400401459</v>
      </c>
      <c r="G11" s="42">
        <f t="shared" si="1"/>
        <v>8.0332619156457667</v>
      </c>
      <c r="H11" s="42">
        <f t="shared" si="1"/>
        <v>0.79500650702061648</v>
      </c>
      <c r="I11" s="42">
        <f t="shared" si="1"/>
        <v>7.3200398965608713</v>
      </c>
      <c r="J11" s="45">
        <f t="shared" si="1"/>
        <v>9.1000000000001791</v>
      </c>
      <c r="K11" s="45">
        <f t="shared" si="1"/>
        <v>9.0006393646420406</v>
      </c>
      <c r="L11" s="958">
        <f t="shared" si="1"/>
        <v>8.1977180652962289</v>
      </c>
      <c r="M11" s="171"/>
    </row>
    <row r="12" spans="2:13" ht="15.75" thickBot="1">
      <c r="B12" s="6"/>
      <c r="C12" s="37" t="s">
        <v>852</v>
      </c>
      <c r="D12" s="43" t="s">
        <v>151</v>
      </c>
      <c r="E12" s="42">
        <f t="shared" si="1"/>
        <v>32.208129371476616</v>
      </c>
      <c r="F12" s="42">
        <f t="shared" si="1"/>
        <v>5.261433121111466</v>
      </c>
      <c r="G12" s="42">
        <f t="shared" si="1"/>
        <v>6.60724562546757</v>
      </c>
      <c r="H12" s="42">
        <f t="shared" si="1"/>
        <v>8.4912683128149666</v>
      </c>
      <c r="I12" s="42">
        <f t="shared" si="1"/>
        <v>11.734630737826862</v>
      </c>
      <c r="J12" s="42">
        <f t="shared" si="1"/>
        <v>13.684522495276326</v>
      </c>
      <c r="K12" s="42">
        <f t="shared" si="1"/>
        <v>5</v>
      </c>
      <c r="L12" s="957">
        <f t="shared" si="1"/>
        <v>8.1977180652962289</v>
      </c>
      <c r="M12" s="171"/>
    </row>
    <row r="13" spans="2:13" ht="15.75" thickBot="1">
      <c r="B13" s="6"/>
      <c r="C13" s="37" t="s">
        <v>671</v>
      </c>
      <c r="D13" s="43" t="s">
        <v>151</v>
      </c>
      <c r="E13" s="42">
        <f t="shared" si="1"/>
        <v>17.70565887460333</v>
      </c>
      <c r="F13" s="42">
        <f t="shared" si="1"/>
        <v>23.783882124224817</v>
      </c>
      <c r="G13" s="42">
        <f t="shared" si="1"/>
        <v>11.79262725047198</v>
      </c>
      <c r="H13" s="42">
        <f t="shared" si="1"/>
        <v>-0.18719751133654938</v>
      </c>
      <c r="I13" s="42">
        <f t="shared" si="1"/>
        <v>4.6188728931971355</v>
      </c>
      <c r="J13" s="42">
        <f t="shared" si="1"/>
        <v>6.8603638906589168</v>
      </c>
      <c r="K13" s="42">
        <f t="shared" si="1"/>
        <v>-4.1703353599904176</v>
      </c>
      <c r="L13" s="956">
        <f t="shared" si="1"/>
        <v>8.1977180652962289</v>
      </c>
      <c r="M13" s="171"/>
    </row>
    <row r="14" spans="2:13" ht="15.75" thickBot="1">
      <c r="B14" s="6"/>
      <c r="C14" s="37" t="s">
        <v>1015</v>
      </c>
      <c r="D14" s="43" t="s">
        <v>151</v>
      </c>
      <c r="E14" s="42">
        <f t="shared" si="1"/>
        <v>31.194798908965396</v>
      </c>
      <c r="F14" s="42">
        <f t="shared" si="1"/>
        <v>-10.891210301387275</v>
      </c>
      <c r="G14" s="42">
        <f t="shared" si="1"/>
        <v>-19.259282236594586</v>
      </c>
      <c r="H14" s="42">
        <f t="shared" si="1"/>
        <v>4.9462190198022284</v>
      </c>
      <c r="I14" s="42">
        <f t="shared" si="1"/>
        <v>30.369873919173017</v>
      </c>
      <c r="J14" s="42">
        <f t="shared" si="1"/>
        <v>23.633398289642244</v>
      </c>
      <c r="K14" s="42">
        <f t="shared" si="1"/>
        <v>101.59787695787989</v>
      </c>
      <c r="L14" s="960">
        <f t="shared" si="1"/>
        <v>8.1977180652961863</v>
      </c>
      <c r="M14" s="171"/>
    </row>
    <row r="15" spans="2:13">
      <c r="B15" s="6"/>
      <c r="C15" s="447"/>
      <c r="D15" s="24"/>
      <c r="E15" s="24"/>
      <c r="F15" s="24"/>
      <c r="G15" s="24"/>
      <c r="H15" s="24"/>
      <c r="I15" s="24"/>
      <c r="J15" s="24"/>
      <c r="K15" s="24"/>
      <c r="L15" s="24"/>
      <c r="M15" s="171"/>
    </row>
    <row r="16" spans="2:13" ht="15.75" thickBot="1">
      <c r="B16" s="6"/>
      <c r="C16" s="217" t="s">
        <v>1016</v>
      </c>
      <c r="D16" s="24"/>
      <c r="E16" s="24"/>
      <c r="F16" s="24"/>
      <c r="G16" s="24"/>
      <c r="H16" s="24"/>
      <c r="I16" s="24"/>
      <c r="J16" s="24"/>
      <c r="K16" s="24"/>
      <c r="L16" s="24"/>
      <c r="M16" s="171"/>
    </row>
    <row r="17" spans="2:13" ht="15.75" thickBot="1">
      <c r="B17" s="6"/>
      <c r="C17" s="18" t="s">
        <v>1009</v>
      </c>
      <c r="D17" s="43" t="s">
        <v>151</v>
      </c>
      <c r="E17" s="42">
        <f t="shared" ref="E17:J17" si="2">(E34-D34)/D$39*100</f>
        <v>2.1737343826703786</v>
      </c>
      <c r="F17" s="42">
        <f t="shared" si="2"/>
        <v>-0.62737612413867272</v>
      </c>
      <c r="G17" s="42">
        <f t="shared" si="2"/>
        <v>5.6537956687392805</v>
      </c>
      <c r="H17" s="42">
        <f t="shared" si="2"/>
        <v>0.20412809698485751</v>
      </c>
      <c r="I17" s="42">
        <f t="shared" si="2"/>
        <v>-4.2714935096764437</v>
      </c>
      <c r="J17" s="42">
        <f t="shared" si="2"/>
        <v>5.9029335890245216</v>
      </c>
      <c r="K17" s="42">
        <f t="shared" ref="K17:L19" si="3">(K34-J34)/J$39*100</f>
        <v>0.70630247415830227</v>
      </c>
      <c r="L17" s="955">
        <f t="shared" si="3"/>
        <v>-1.0952039724989</v>
      </c>
      <c r="M17" s="171"/>
    </row>
    <row r="18" spans="2:13" ht="15.75" thickBot="1">
      <c r="B18" s="6"/>
      <c r="C18" s="18" t="s">
        <v>1010</v>
      </c>
      <c r="D18" s="43" t="s">
        <v>151</v>
      </c>
      <c r="E18" s="42">
        <f t="shared" ref="E18:J18" si="4">(E35-D35)/D$39*100</f>
        <v>23.516744923985115</v>
      </c>
      <c r="F18" s="42">
        <f t="shared" si="4"/>
        <v>26.476064010992051</v>
      </c>
      <c r="G18" s="42">
        <f t="shared" si="4"/>
        <v>7.8131245653180734</v>
      </c>
      <c r="H18" s="42">
        <f t="shared" si="4"/>
        <v>4.8988597471496078</v>
      </c>
      <c r="I18" s="42">
        <f t="shared" si="4"/>
        <v>14.093458790447267</v>
      </c>
      <c r="J18" s="42">
        <f t="shared" si="4"/>
        <v>10.639450708311911</v>
      </c>
      <c r="K18" s="42">
        <f t="shared" si="3"/>
        <v>11.689679610491874</v>
      </c>
      <c r="L18" s="956">
        <f t="shared" si="3"/>
        <v>10.285090722019479</v>
      </c>
      <c r="M18" s="171"/>
    </row>
    <row r="19" spans="2:13" ht="15.75" thickBot="1">
      <c r="B19" s="6"/>
      <c r="C19" s="19" t="s">
        <v>1011</v>
      </c>
      <c r="D19" s="43" t="s">
        <v>151</v>
      </c>
      <c r="E19" s="42">
        <f t="shared" ref="E19:J19" si="5">(E36-D36)/D$39*100</f>
        <v>-3.5152512526348745</v>
      </c>
      <c r="F19" s="42">
        <f t="shared" si="5"/>
        <v>0.48495402143382227</v>
      </c>
      <c r="G19" s="42">
        <f t="shared" si="5"/>
        <v>2.929731717488981</v>
      </c>
      <c r="H19" s="42">
        <f t="shared" si="5"/>
        <v>0.45893224483794559</v>
      </c>
      <c r="I19" s="42">
        <f t="shared" si="5"/>
        <v>2.5035948420273599</v>
      </c>
      <c r="J19" s="42">
        <f t="shared" si="5"/>
        <v>2.7639696254561312</v>
      </c>
      <c r="K19" s="42">
        <f t="shared" si="3"/>
        <v>5.0568684118436185</v>
      </c>
      <c r="L19" s="957">
        <f t="shared" si="3"/>
        <v>7.4860420517441906</v>
      </c>
      <c r="M19" s="171"/>
    </row>
    <row r="20" spans="2:13" ht="15.75" thickBot="1">
      <c r="B20" s="6"/>
      <c r="C20" s="19" t="s">
        <v>1012</v>
      </c>
      <c r="D20" s="43" t="s">
        <v>151</v>
      </c>
      <c r="E20" s="42">
        <f t="shared" ref="E20:L20" si="6">(E37-D37)/D$39*100</f>
        <v>27.031996176619995</v>
      </c>
      <c r="F20" s="42">
        <f>(F37-E37)/E$39*100</f>
        <v>25.991109989558232</v>
      </c>
      <c r="G20" s="42">
        <f t="shared" si="6"/>
        <v>4.8833928478290991</v>
      </c>
      <c r="H20" s="42">
        <f t="shared" si="6"/>
        <v>4.4399275023116482</v>
      </c>
      <c r="I20" s="42">
        <f t="shared" si="6"/>
        <v>11.589863948419914</v>
      </c>
      <c r="J20" s="42">
        <f t="shared" si="6"/>
        <v>7.8754810828557789</v>
      </c>
      <c r="K20" s="42">
        <f t="shared" si="6"/>
        <v>6.6328111986482554</v>
      </c>
      <c r="L20" s="956">
        <f t="shared" si="6"/>
        <v>2.7990486702752881</v>
      </c>
      <c r="M20" s="171"/>
    </row>
    <row r="21" spans="2:13" ht="15.75" thickBot="1">
      <c r="B21" s="6"/>
      <c r="C21" s="18" t="s">
        <v>1013</v>
      </c>
      <c r="D21" s="43" t="s">
        <v>151</v>
      </c>
      <c r="E21" s="42">
        <f t="shared" ref="E21:L21" si="7">(E38-D38)/D$39*100</f>
        <v>-5.2241709595706478</v>
      </c>
      <c r="F21" s="42">
        <f t="shared" si="7"/>
        <v>-8.4471194864519283</v>
      </c>
      <c r="G21" s="42">
        <f t="shared" si="7"/>
        <v>-5.4336583184115819</v>
      </c>
      <c r="H21" s="42">
        <f t="shared" si="7"/>
        <v>-4.3079813371138265</v>
      </c>
      <c r="I21" s="42">
        <f t="shared" si="7"/>
        <v>-2.5019253842099505</v>
      </c>
      <c r="J21" s="42">
        <f t="shared" si="7"/>
        <v>-7.4423842973362673</v>
      </c>
      <c r="K21" s="42">
        <f t="shared" si="7"/>
        <v>-3.3953427200081232</v>
      </c>
      <c r="L21" s="960">
        <f t="shared" si="7"/>
        <v>-0.99216868422435378</v>
      </c>
      <c r="M21" s="171"/>
    </row>
    <row r="22" spans="2:13">
      <c r="B22" s="6"/>
      <c r="C22" s="448"/>
      <c r="D22" s="24"/>
      <c r="E22" s="24"/>
      <c r="F22" s="24"/>
      <c r="G22" s="24"/>
      <c r="H22" s="24"/>
      <c r="I22" s="24"/>
      <c r="J22" s="24"/>
      <c r="K22" s="24"/>
      <c r="L22" s="24"/>
      <c r="M22" s="171"/>
    </row>
    <row r="23" spans="2:13" ht="15.75" thickBot="1">
      <c r="B23" s="6"/>
      <c r="C23" s="217" t="s">
        <v>1017</v>
      </c>
      <c r="D23" s="24"/>
      <c r="E23" s="24"/>
      <c r="F23" s="24"/>
      <c r="G23" s="24"/>
      <c r="H23" s="24"/>
      <c r="I23" s="24"/>
      <c r="J23" s="24"/>
      <c r="K23" s="24"/>
      <c r="L23" s="24"/>
      <c r="M23" s="171"/>
    </row>
    <row r="24" spans="2:13" ht="15.75" thickBot="1">
      <c r="B24" s="5"/>
      <c r="C24" s="41" t="s">
        <v>1018</v>
      </c>
      <c r="D24" s="42">
        <f t="shared" ref="D24:J24" si="8">D37/D41*100</f>
        <v>89.954670939125137</v>
      </c>
      <c r="E24" s="42">
        <f t="shared" si="8"/>
        <v>105.11871531100792</v>
      </c>
      <c r="F24" s="42">
        <f t="shared" si="8"/>
        <v>111.77208456809086</v>
      </c>
      <c r="G24" s="42">
        <f t="shared" si="8"/>
        <v>105.2796825422564</v>
      </c>
      <c r="H24" s="42">
        <f t="shared" si="8"/>
        <v>110.69078684555416</v>
      </c>
      <c r="I24" s="42">
        <f t="shared" si="8"/>
        <v>118.91598326176749</v>
      </c>
      <c r="J24" s="42">
        <f t="shared" si="8"/>
        <v>120.22987465126602</v>
      </c>
      <c r="K24" s="42">
        <f>K37/K41*100</f>
        <v>134.04195661022155</v>
      </c>
      <c r="L24" s="955">
        <f>L37/L41*100</f>
        <v>127.5337084646897</v>
      </c>
      <c r="M24" s="171"/>
    </row>
    <row r="25" spans="2:13" ht="15.75" thickBot="1">
      <c r="B25" s="5"/>
      <c r="C25" s="41" t="s">
        <v>1019</v>
      </c>
      <c r="D25" s="42">
        <f t="shared" ref="D25:K25" si="9">D33/D32*100</f>
        <v>10.803825525225477</v>
      </c>
      <c r="E25" s="42">
        <f t="shared" si="9"/>
        <v>10.87531965687073</v>
      </c>
      <c r="F25" s="42">
        <f t="shared" si="9"/>
        <v>11.375623567096222</v>
      </c>
      <c r="G25" s="42">
        <f t="shared" si="9"/>
        <v>12.354676377556718</v>
      </c>
      <c r="H25" s="42">
        <f t="shared" si="9"/>
        <v>11.526494254957848</v>
      </c>
      <c r="I25" s="42">
        <f t="shared" si="9"/>
        <v>11.418028171993372</v>
      </c>
      <c r="J25" s="42">
        <f t="shared" si="9"/>
        <v>10.250227571587386</v>
      </c>
      <c r="K25" s="42">
        <f t="shared" si="9"/>
        <v>10.809186641371218</v>
      </c>
      <c r="L25" s="956">
        <f>L33/L32*100</f>
        <v>10.355408293136808</v>
      </c>
      <c r="M25" s="171"/>
    </row>
    <row r="26" spans="2:13" s="1" customFormat="1" ht="15" customHeight="1" thickBot="1">
      <c r="B26" s="30"/>
      <c r="C26" s="41" t="s">
        <v>1020</v>
      </c>
      <c r="D26" s="13">
        <f t="shared" ref="D26:K26" si="10">D39/D32*100</f>
        <v>56.746901228386513</v>
      </c>
      <c r="E26" s="13">
        <f t="shared" si="10"/>
        <v>57.852164031762186</v>
      </c>
      <c r="F26" s="13">
        <f t="shared" si="10"/>
        <v>59.711870957329936</v>
      </c>
      <c r="G26" s="13">
        <f t="shared" si="10"/>
        <v>60.371873661555917</v>
      </c>
      <c r="H26" s="13">
        <f t="shared" si="10"/>
        <v>54.355331913039095</v>
      </c>
      <c r="I26" s="13">
        <f t="shared" si="10"/>
        <v>52.93316365906616</v>
      </c>
      <c r="J26" s="13">
        <f t="shared" si="10"/>
        <v>53.029461928613586</v>
      </c>
      <c r="K26" s="13">
        <f t="shared" si="10"/>
        <v>51.718422537679942</v>
      </c>
      <c r="L26" s="961">
        <f>L39/L32*100</f>
        <v>49.547241566244651</v>
      </c>
      <c r="M26" s="32"/>
    </row>
    <row r="27" spans="2:13" s="1" customFormat="1" ht="15" customHeight="1" thickBot="1">
      <c r="B27" s="30"/>
      <c r="C27" s="41" t="s">
        <v>1021</v>
      </c>
      <c r="D27" s="43" t="s">
        <v>151</v>
      </c>
      <c r="E27" s="13">
        <f t="shared" ref="E27:L27" si="11">E32/AVERAGE(D39:E39)</f>
        <v>1.8890078316367183</v>
      </c>
      <c r="F27" s="13">
        <f t="shared" si="11"/>
        <v>1.8087583224305759</v>
      </c>
      <c r="G27" s="13">
        <f t="shared" si="11"/>
        <v>1.7203628336154217</v>
      </c>
      <c r="H27" s="13">
        <f t="shared" si="11"/>
        <v>1.8470300132064119</v>
      </c>
      <c r="I27" s="13">
        <f t="shared" si="11"/>
        <v>1.9558776595048764</v>
      </c>
      <c r="J27" s="13">
        <f t="shared" si="11"/>
        <v>1.9678114938596329</v>
      </c>
      <c r="K27" s="13">
        <f t="shared" si="11"/>
        <v>2.0168154347994856</v>
      </c>
      <c r="L27" s="962">
        <f t="shared" si="11"/>
        <v>2.097744788475647</v>
      </c>
      <c r="M27" s="32"/>
    </row>
    <row r="28" spans="2:13" ht="15.75" thickBot="1">
      <c r="B28" s="5"/>
      <c r="C28" s="41" t="s">
        <v>982</v>
      </c>
      <c r="D28" s="13">
        <f t="shared" ref="D28:K28" si="12">D39/D33</f>
        <v>5.2524821967820694</v>
      </c>
      <c r="E28" s="13">
        <f t="shared" si="12"/>
        <v>5.3195828589013257</v>
      </c>
      <c r="F28" s="13">
        <f t="shared" si="12"/>
        <v>5.2491074977239407</v>
      </c>
      <c r="G28" s="13">
        <f t="shared" si="12"/>
        <v>4.8865605068560418</v>
      </c>
      <c r="H28" s="13">
        <f t="shared" si="12"/>
        <v>4.7156863752965865</v>
      </c>
      <c r="I28" s="13">
        <f t="shared" si="12"/>
        <v>4.6359286263544952</v>
      </c>
      <c r="J28" s="13">
        <f t="shared" si="12"/>
        <v>5.173491179415957</v>
      </c>
      <c r="K28" s="13">
        <f t="shared" si="12"/>
        <v>4.7846729132913843</v>
      </c>
      <c r="L28" s="961">
        <f>L39/L33</f>
        <v>4.7846729132913843</v>
      </c>
      <c r="M28" s="171"/>
    </row>
    <row r="29" spans="2:13" ht="15.75" thickBot="1">
      <c r="B29" s="5"/>
      <c r="C29" s="41" t="s">
        <v>1022</v>
      </c>
      <c r="D29" s="42">
        <f t="shared" ref="D29:K29" si="13">D40/D41*100</f>
        <v>8.2973013042458934</v>
      </c>
      <c r="E29" s="42">
        <f t="shared" si="13"/>
        <v>9.3196087151129294</v>
      </c>
      <c r="F29" s="42">
        <f t="shared" si="13"/>
        <v>7.9250654660862656</v>
      </c>
      <c r="G29" s="42">
        <f t="shared" si="13"/>
        <v>7.5574697680915461</v>
      </c>
      <c r="H29" s="42">
        <f t="shared" si="13"/>
        <v>8.2145722786326161</v>
      </c>
      <c r="I29" s="42">
        <f t="shared" si="13"/>
        <v>8.7732946727424341</v>
      </c>
      <c r="J29" s="42">
        <f t="shared" si="13"/>
        <v>9.3335618490090191</v>
      </c>
      <c r="K29" s="42">
        <f t="shared" si="13"/>
        <v>10.226728830028483</v>
      </c>
      <c r="L29" s="956">
        <f>L40/L41*100</f>
        <v>10.226728830028483</v>
      </c>
      <c r="M29" s="171"/>
    </row>
    <row r="30" spans="2:13">
      <c r="B30" s="5"/>
      <c r="C30" s="448"/>
      <c r="D30" s="24"/>
      <c r="E30" s="24"/>
      <c r="F30" s="24"/>
      <c r="G30" s="24"/>
      <c r="H30" s="24"/>
      <c r="I30" s="24"/>
      <c r="J30" s="24"/>
      <c r="K30" s="24"/>
      <c r="L30" s="7"/>
      <c r="M30" s="171"/>
    </row>
    <row r="31" spans="2:13">
      <c r="B31" s="5"/>
      <c r="C31" s="21" t="s">
        <v>378</v>
      </c>
      <c r="D31" s="7"/>
      <c r="E31" s="7"/>
      <c r="F31" s="7"/>
      <c r="G31" s="7"/>
      <c r="H31" s="7"/>
      <c r="I31" s="7"/>
      <c r="J31" s="7"/>
      <c r="K31" s="7"/>
      <c r="L31" s="7"/>
      <c r="M31" s="171"/>
    </row>
    <row r="32" spans="2:13">
      <c r="B32" s="5"/>
      <c r="C32" s="18" t="s">
        <v>756</v>
      </c>
      <c r="D32" s="7">
        <f>PIB_Nominal!D6</f>
        <v>10964.620135876014</v>
      </c>
      <c r="E32" s="7">
        <f>PIB_Nominal!E6</f>
        <v>12956.322039467186</v>
      </c>
      <c r="F32" s="7">
        <f>PIB_Nominal!F6</f>
        <v>14737.185928738949</v>
      </c>
      <c r="G32" s="7">
        <f>PIB_Nominal!G6</f>
        <v>15747.009032492888</v>
      </c>
      <c r="H32" s="7">
        <f>PIB_Nominal!H6</f>
        <v>17629.077878645952</v>
      </c>
      <c r="I32" s="7">
        <f>PIB_Nominal!I6</f>
        <v>19427.849144138439</v>
      </c>
      <c r="J32" s="7">
        <f>PIB_Nominal!J6</f>
        <v>21157.293165921488</v>
      </c>
      <c r="K32" s="7">
        <f>PIB_Nominal!K6</f>
        <v>23646.185911788263</v>
      </c>
      <c r="L32" s="7">
        <f>PIB_Nominal!L6</f>
        <v>26705.762973114495</v>
      </c>
      <c r="M32" s="953"/>
    </row>
    <row r="33" spans="2:13">
      <c r="B33" s="5"/>
      <c r="C33" s="18" t="s">
        <v>876</v>
      </c>
      <c r="D33" s="7">
        <f>MON_PSD!D34</f>
        <v>1184.5984289837852</v>
      </c>
      <c r="E33" s="7">
        <f>MON_PSD!E34</f>
        <v>1409.0414375656496</v>
      </c>
      <c r="F33" s="7">
        <f>MON_PSD!F34</f>
        <v>1676.446795636416</v>
      </c>
      <c r="G33" s="7">
        <f>MON_PSD!G34</f>
        <v>1945.4920051091212</v>
      </c>
      <c r="H33" s="7">
        <f>MON_PSD!H34</f>
        <v>2032.0146488841706</v>
      </c>
      <c r="I33" s="7">
        <f>MON_PSD!I34</f>
        <v>2218.2772884901001</v>
      </c>
      <c r="J33" s="7">
        <f>IF(ISBLANK(MON_PSD!J34)," ",MON_PSD!J34)</f>
        <v>2168.6706974948584</v>
      </c>
      <c r="K33" s="7">
        <f>IF(ISBLANK(MON_PSD!K34)," ",MON_PSD!K34)</f>
        <v>2555.96036877082</v>
      </c>
      <c r="L33" s="7">
        <f>IF(ISBLANK(MON_PSD!L34)," ",MON_PSD!L34)</f>
        <v>2765.4907936633576</v>
      </c>
      <c r="M33" s="171"/>
    </row>
    <row r="34" spans="2:13">
      <c r="B34" s="5"/>
      <c r="C34" s="18" t="s">
        <v>1009</v>
      </c>
      <c r="D34" s="7">
        <f>MON_PSD!D7</f>
        <v>1670.2626601418331</v>
      </c>
      <c r="E34" s="7">
        <f>MON_PSD!E7</f>
        <v>1805.514199340741</v>
      </c>
      <c r="F34" s="7">
        <f>MON_PSD!F7</f>
        <v>1758.4891424124394</v>
      </c>
      <c r="G34" s="7">
        <f>MON_PSD!G7</f>
        <v>2256.0146491617452</v>
      </c>
      <c r="H34" s="7">
        <f>MON_PSD!H7</f>
        <v>2275.4206264133809</v>
      </c>
      <c r="I34" s="7">
        <f>MON_PSD!I7</f>
        <v>1866.1114331715441</v>
      </c>
      <c r="J34" s="7">
        <f>IF(ISBLANK(MON_PSD!J7)," ",MON_PSD!J7)</f>
        <v>2473.1558526629101</v>
      </c>
      <c r="K34" s="7">
        <f>IF(ISBLANK(MON_PSD!K7)," ",MON_PSD!K7)</f>
        <v>2552.4001560450224</v>
      </c>
      <c r="L34" s="7">
        <f>IF(ISBLANK(MON_PSD!L7)," ",MON_PSD!L7)</f>
        <v>2418.462905296441</v>
      </c>
      <c r="M34" s="171"/>
    </row>
    <row r="35" spans="2:13">
      <c r="B35" s="5"/>
      <c r="C35" s="18" t="s">
        <v>1010</v>
      </c>
      <c r="D35" s="7">
        <f>MON_PSD!D9</f>
        <v>5063.3134825982579</v>
      </c>
      <c r="E35" s="7">
        <f>MON_PSD!E9</f>
        <v>6526.5446727907374</v>
      </c>
      <c r="F35" s="7">
        <f>MON_PSD!F9</f>
        <v>8511.0614075701778</v>
      </c>
      <c r="G35" s="7">
        <f>MON_PSD!G9</f>
        <v>9198.6046062302248</v>
      </c>
      <c r="H35" s="7">
        <f>MON_PSD!H9</f>
        <v>9664.3276606081399</v>
      </c>
      <c r="I35" s="7">
        <f>MON_PSD!I9</f>
        <v>11014.81133439511</v>
      </c>
      <c r="J35" s="7">
        <f>IF(ISBLANK(MON_PSD!J9)," ",MON_PSD!J9)</f>
        <v>12108.948525933718</v>
      </c>
      <c r="K35" s="7">
        <f>IF(ISBLANK(MON_PSD!K9)," ",MON_PSD!K9)</f>
        <v>13420.483670416153</v>
      </c>
      <c r="L35" s="7">
        <f>IF(ISBLANK(MON_PSD!L9)," ",MON_PSD!L9)</f>
        <v>14678.292087476488</v>
      </c>
      <c r="M35" s="171"/>
    </row>
    <row r="36" spans="2:13">
      <c r="B36" s="5"/>
      <c r="C36" s="19" t="s">
        <v>1011</v>
      </c>
      <c r="D36" s="7">
        <f>MON_PSD!D10</f>
        <v>583.81606017440663</v>
      </c>
      <c r="E36" s="7">
        <f>MON_PSD!E10</f>
        <v>365.09423915518624</v>
      </c>
      <c r="F36" s="7">
        <f>MON_PSD!F10</f>
        <v>401.44402931789506</v>
      </c>
      <c r="G36" s="7">
        <f>MON_PSD!G10</f>
        <v>659.25600958499376</v>
      </c>
      <c r="H36" s="7">
        <f>MON_PSD!H10</f>
        <v>702.88561685080754</v>
      </c>
      <c r="I36" s="7">
        <f>MON_PSD!I10</f>
        <v>942.78868182637962</v>
      </c>
      <c r="J36" s="7">
        <f>IF(ISBLANK(MON_PSD!J10)," ",MON_PSD!J10)</f>
        <v>1227.0291042320221</v>
      </c>
      <c r="K36" s="7">
        <f>IF(ISBLANK(MON_PSD!K10)," ",MON_PSD!K10)</f>
        <v>1794.3894480692741</v>
      </c>
      <c r="L36" s="7">
        <f>IF(ISBLANK(MON_PSD!L10)," ",MON_PSD!L10)</f>
        <v>2709.8900457443738</v>
      </c>
      <c r="M36" s="954"/>
    </row>
    <row r="37" spans="2:13">
      <c r="B37" s="5"/>
      <c r="C37" s="19" t="s">
        <v>1012</v>
      </c>
      <c r="D37" s="7">
        <f>MON_PSD!D13</f>
        <v>4479.4974224238513</v>
      </c>
      <c r="E37" s="7">
        <f>MON_PSD!E13</f>
        <v>6161.4504336355512</v>
      </c>
      <c r="F37" s="7">
        <f>MON_PSD!F13</f>
        <v>8109.6173782522828</v>
      </c>
      <c r="G37" s="7">
        <f>MON_PSD!G13</f>
        <v>8539.3485966452317</v>
      </c>
      <c r="H37" s="7">
        <f>MON_PSD!H13</f>
        <v>8961.4420437573317</v>
      </c>
      <c r="I37" s="7">
        <f>MON_PSD!I13</f>
        <v>10072.02265256873</v>
      </c>
      <c r="J37" s="7">
        <f>IF(ISBLANK(MON_PSD!J13)," ",MON_PSD!J13)</f>
        <v>10881.919421701696</v>
      </c>
      <c r="K37" s="7">
        <f>IF(ISBLANK(MON_PSD!K13)," ",MON_PSD!K13)</f>
        <v>11626.094222346879</v>
      </c>
      <c r="L37" s="7">
        <f>IF(ISBLANK(MON_PSD!L13)," ",MON_PSD!L13)</f>
        <v>11968.402041732114</v>
      </c>
      <c r="M37" s="953"/>
    </row>
    <row r="38" spans="2:13">
      <c r="B38" s="5"/>
      <c r="C38" s="18" t="s">
        <v>1013</v>
      </c>
      <c r="D38" s="7">
        <f>MON_PSD!D14</f>
        <v>-511.49398416675103</v>
      </c>
      <c r="E38" s="7">
        <f>MON_PSD!E14</f>
        <v>-836.54619337556596</v>
      </c>
      <c r="F38" s="7">
        <f>MON_PSD!F14</f>
        <v>-1469.7011054722316</v>
      </c>
      <c r="G38" s="7">
        <f>MON_PSD!G14</f>
        <v>-1947.8548568215656</v>
      </c>
      <c r="H38" s="7">
        <f>MON_PSD!H14</f>
        <v>-2357.4044928753601</v>
      </c>
      <c r="I38" s="7">
        <f>MON_PSD!I14</f>
        <v>-2597.1475846633698</v>
      </c>
      <c r="J38" s="7">
        <f>MON_PSD!J14</f>
        <v>-3362.5056540491278</v>
      </c>
      <c r="K38" s="7">
        <f>MON_PSD!K14</f>
        <v>-3743.4494825571755</v>
      </c>
      <c r="L38" s="7">
        <f>MON_PSD!L14</f>
        <v>-3864.7861003751691</v>
      </c>
      <c r="M38" s="171"/>
    </row>
    <row r="39" spans="2:13">
      <c r="B39" s="5"/>
      <c r="C39" s="18" t="s">
        <v>1014</v>
      </c>
      <c r="D39" s="7">
        <f>MON_PSD!D17</f>
        <v>6222.0821585733402</v>
      </c>
      <c r="E39" s="7">
        <f>MON_PSD!E17</f>
        <v>7495.512678755912</v>
      </c>
      <c r="F39" s="7">
        <f>MON_PSD!F17</f>
        <v>8799.8494445103861</v>
      </c>
      <c r="G39" s="7">
        <f>MON_PSD!G17</f>
        <v>9506.7643985704053</v>
      </c>
      <c r="H39" s="7">
        <f>MON_PSD!H17</f>
        <v>9582.3437941461598</v>
      </c>
      <c r="I39" s="7">
        <f>MON_PSD!I17</f>
        <v>10283.775182903284</v>
      </c>
      <c r="J39" s="7">
        <f>MON_PSD!J17</f>
        <v>11219.598724547501</v>
      </c>
      <c r="K39" s="7">
        <f>MON_PSD!K17</f>
        <v>12229.434343904</v>
      </c>
      <c r="L39" s="7">
        <f>MON_PSD!L17</f>
        <v>13231.968892397759</v>
      </c>
      <c r="M39" s="171"/>
    </row>
    <row r="40" spans="2:13">
      <c r="B40" s="5"/>
      <c r="C40" s="37" t="s">
        <v>852</v>
      </c>
      <c r="D40" s="7">
        <f>MON_PSD!D18</f>
        <v>413.18298891445005</v>
      </c>
      <c r="E40" s="7">
        <f>MON_PSD!E18</f>
        <v>546.26150052494995</v>
      </c>
      <c r="F40" s="7">
        <f>MON_PSD!F18</f>
        <v>575.00268404145015</v>
      </c>
      <c r="G40" s="7">
        <f>MON_PSD!G18</f>
        <v>612.99452372910002</v>
      </c>
      <c r="H40" s="7">
        <f>MON_PSD!H18</f>
        <v>665.04553348180013</v>
      </c>
      <c r="I40" s="7">
        <f>MON_PSD!I18</f>
        <v>743.08617107430007</v>
      </c>
      <c r="J40" s="7">
        <f>IF(ISBLANK(MON_PSD!J18)," ",MON_PSD!J18)</f>
        <v>844.77396531425006</v>
      </c>
      <c r="K40" s="7">
        <f>IF(ISBLANK(MON_PSD!K18)," ",MON_PSD!K18)</f>
        <v>887.01266357996258</v>
      </c>
      <c r="L40" s="7">
        <f>IF(ISBLANK(MON_PSD!L18)," ",MON_PSD!L18)</f>
        <v>959.72746094372246</v>
      </c>
      <c r="M40" s="171"/>
    </row>
    <row r="41" spans="2:13">
      <c r="B41" s="5"/>
      <c r="C41" s="37" t="s">
        <v>671</v>
      </c>
      <c r="D41" s="7">
        <f>MON_PSD!D19</f>
        <v>4979.7274290017176</v>
      </c>
      <c r="E41" s="7">
        <f>MON_PSD!E19</f>
        <v>5861.4209804658167</v>
      </c>
      <c r="F41" s="7">
        <f>MON_PSD!F19</f>
        <v>7255.4944372643895</v>
      </c>
      <c r="G41" s="7">
        <f>MON_PSD!G19</f>
        <v>8111.1078514297096</v>
      </c>
      <c r="H41" s="7">
        <f>MON_PSD!H19</f>
        <v>8095.9240593900104</v>
      </c>
      <c r="I41" s="7">
        <f>MON_PSD!I19</f>
        <v>8469.8645012230008</v>
      </c>
      <c r="J41" s="7">
        <f>IF(ISBLANK(MON_PSD!J19)," ",MON_PSD!J19)</f>
        <v>9050.9280270526415</v>
      </c>
      <c r="K41" s="7">
        <f>IF(ISBLANK(MON_PSD!K19)," ",MON_PSD!K19)</f>
        <v>8673.4739751331817</v>
      </c>
      <c r="L41" s="7">
        <f>IF(ISBLANK(MON_PSD!L19)," ",MON_PSD!L19)</f>
        <v>9384.5009180814413</v>
      </c>
      <c r="M41" s="171"/>
    </row>
    <row r="42" spans="2:13">
      <c r="B42" s="5"/>
      <c r="C42" s="37" t="s">
        <v>1015</v>
      </c>
      <c r="D42" s="7">
        <f>MON_PSD!D20</f>
        <v>829.17174065717245</v>
      </c>
      <c r="E42" s="7">
        <f>MON_PSD!E20</f>
        <v>1087.8301977651454</v>
      </c>
      <c r="F42" s="7">
        <f>MON_PSD!F20</f>
        <v>969.35232320454634</v>
      </c>
      <c r="G42" s="7">
        <f>MON_PSD!G20</f>
        <v>782.66202341159624</v>
      </c>
      <c r="H42" s="7">
        <f>MON_PSD!H20</f>
        <v>821.37420127434962</v>
      </c>
      <c r="I42" s="7">
        <f>MON_PSD!I20</f>
        <v>1070.824510605984</v>
      </c>
      <c r="J42" s="7">
        <f>MON_PSD!J20</f>
        <v>1323.8967321806085</v>
      </c>
      <c r="K42" s="7">
        <f>MON_PSD!K20</f>
        <v>2668.9477051908561</v>
      </c>
      <c r="L42" s="7">
        <f>MON_PSD!L20</f>
        <v>2887.7405133725952</v>
      </c>
      <c r="M42" s="171"/>
    </row>
    <row r="43" spans="2:13" ht="15.75" thickBot="1">
      <c r="B43" s="10"/>
      <c r="C43" s="11"/>
      <c r="D43" s="11"/>
      <c r="E43" s="11"/>
      <c r="F43" s="11"/>
      <c r="G43" s="11"/>
      <c r="H43" s="11"/>
      <c r="I43" s="11"/>
      <c r="J43" s="11"/>
      <c r="K43" s="11"/>
      <c r="L43" s="11"/>
      <c r="M43" s="173"/>
    </row>
    <row r="44" spans="2:13">
      <c r="M44" s="250"/>
    </row>
    <row r="45" spans="2:13">
      <c r="M45" s="250"/>
    </row>
    <row r="46" spans="2:13">
      <c r="M46" s="250"/>
    </row>
    <row r="47" spans="2:13">
      <c r="M47" s="250"/>
    </row>
    <row r="48" spans="2:13">
      <c r="M48" s="250"/>
    </row>
    <row r="49" spans="13:14">
      <c r="M49" s="250"/>
    </row>
    <row r="50" spans="13:14">
      <c r="M50" s="250"/>
    </row>
    <row r="51" spans="13:14">
      <c r="M51" s="250"/>
    </row>
    <row r="52" spans="13:14">
      <c r="M52" s="250"/>
    </row>
    <row r="53" spans="13:14">
      <c r="M53" s="250"/>
    </row>
    <row r="54" spans="13:14">
      <c r="M54" s="250"/>
    </row>
    <row r="55" spans="13:14">
      <c r="M55" s="250"/>
    </row>
    <row r="56" spans="13:14">
      <c r="M56" s="250"/>
    </row>
    <row r="57" spans="13:14">
      <c r="M57" s="250"/>
    </row>
    <row r="58" spans="13:14">
      <c r="N58" s="250"/>
    </row>
    <row r="59" spans="13:14">
      <c r="N59" s="250"/>
    </row>
    <row r="60" spans="13:14">
      <c r="N60" s="250"/>
    </row>
    <row r="61" spans="13:14">
      <c r="N61" s="250"/>
    </row>
    <row r="62" spans="13:14">
      <c r="N62" s="250"/>
    </row>
    <row r="63" spans="13:14">
      <c r="N63" s="250"/>
    </row>
    <row r="64" spans="13:14">
      <c r="N64" s="250"/>
    </row>
    <row r="65" spans="14:15">
      <c r="N65" s="250"/>
    </row>
    <row r="66" spans="14:15">
      <c r="N66" s="250"/>
    </row>
    <row r="67" spans="14:15">
      <c r="N67" s="250"/>
    </row>
    <row r="68" spans="14:15">
      <c r="N68" s="250"/>
    </row>
    <row r="69" spans="14:15">
      <c r="N69" s="250"/>
    </row>
    <row r="70" spans="14:15">
      <c r="N70" s="250"/>
    </row>
    <row r="71" spans="14:15">
      <c r="N71" s="250"/>
    </row>
    <row r="72" spans="14:15">
      <c r="O72" s="250"/>
    </row>
    <row r="73" spans="14:15">
      <c r="O73" s="250"/>
    </row>
    <row r="74" spans="14:15">
      <c r="O74" s="250"/>
    </row>
    <row r="75" spans="14:15">
      <c r="O75" s="250"/>
    </row>
    <row r="76" spans="14:15">
      <c r="O76" s="250"/>
    </row>
    <row r="77" spans="14:15">
      <c r="O77" s="250"/>
    </row>
    <row r="78" spans="14:15">
      <c r="O78" s="250"/>
    </row>
    <row r="79" spans="14:15">
      <c r="O79" s="250"/>
    </row>
    <row r="80" spans="14:15">
      <c r="O80" s="250"/>
    </row>
    <row r="81" spans="15:17">
      <c r="O81" s="250"/>
    </row>
    <row r="82" spans="15:17">
      <c r="O82" s="250"/>
    </row>
    <row r="83" spans="15:17">
      <c r="O83" s="250"/>
    </row>
    <row r="84" spans="15:17">
      <c r="P84" s="250"/>
    </row>
    <row r="85" spans="15:17">
      <c r="P85" s="250"/>
    </row>
    <row r="86" spans="15:17">
      <c r="P86" s="250"/>
    </row>
    <row r="87" spans="15:17">
      <c r="P87" s="250"/>
    </row>
    <row r="88" spans="15:17">
      <c r="P88" s="250"/>
    </row>
    <row r="89" spans="15:17">
      <c r="P89" s="250"/>
    </row>
    <row r="90" spans="15:17">
      <c r="P90" s="250"/>
    </row>
    <row r="91" spans="15:17">
      <c r="P91" s="250"/>
    </row>
    <row r="92" spans="15:17">
      <c r="P92" s="250"/>
    </row>
    <row r="93" spans="15:17">
      <c r="P93" s="250"/>
    </row>
    <row r="94" spans="15:17">
      <c r="P94" s="250"/>
    </row>
    <row r="95" spans="15:17">
      <c r="P95" s="250"/>
    </row>
    <row r="96" spans="15:17">
      <c r="Q96" s="250"/>
    </row>
    <row r="97" spans="17:18">
      <c r="Q97" s="250"/>
    </row>
    <row r="98" spans="17:18">
      <c r="Q98" s="250"/>
    </row>
    <row r="99" spans="17:18">
      <c r="Q99" s="250"/>
    </row>
    <row r="100" spans="17:18">
      <c r="Q100" s="250"/>
    </row>
    <row r="101" spans="17:18">
      <c r="Q101" s="250"/>
    </row>
    <row r="102" spans="17:18">
      <c r="Q102" s="250"/>
    </row>
    <row r="103" spans="17:18">
      <c r="Q103" s="250"/>
    </row>
    <row r="104" spans="17:18">
      <c r="Q104" s="250"/>
    </row>
    <row r="105" spans="17:18">
      <c r="Q105" s="250"/>
    </row>
    <row r="106" spans="17:18">
      <c r="Q106" s="250"/>
    </row>
    <row r="107" spans="17:18">
      <c r="Q107" s="250"/>
    </row>
    <row r="108" spans="17:18">
      <c r="R108" s="250"/>
    </row>
    <row r="109" spans="17:18">
      <c r="R109" s="250"/>
    </row>
    <row r="110" spans="17:18">
      <c r="R110" s="250"/>
    </row>
    <row r="111" spans="17:18">
      <c r="R111" s="250"/>
    </row>
    <row r="112" spans="17:18">
      <c r="R112" s="250"/>
    </row>
    <row r="113" spans="18:19">
      <c r="R113" s="250"/>
    </row>
    <row r="114" spans="18:19">
      <c r="R114" s="250"/>
    </row>
    <row r="115" spans="18:19">
      <c r="R115" s="250"/>
    </row>
    <row r="116" spans="18:19">
      <c r="R116" s="250"/>
    </row>
    <row r="117" spans="18:19">
      <c r="R117" s="250"/>
    </row>
    <row r="118" spans="18:19">
      <c r="R118" s="250"/>
    </row>
    <row r="119" spans="18:19">
      <c r="R119" s="250"/>
    </row>
    <row r="120" spans="18:19">
      <c r="S120" s="250"/>
    </row>
    <row r="121" spans="18:19">
      <c r="S121" s="250"/>
    </row>
    <row r="122" spans="18:19">
      <c r="S122" s="250"/>
    </row>
    <row r="123" spans="18:19">
      <c r="S123" s="250"/>
    </row>
    <row r="124" spans="18:19">
      <c r="S124" s="250"/>
    </row>
    <row r="125" spans="18:19">
      <c r="S125" s="250"/>
    </row>
    <row r="126" spans="18:19">
      <c r="S126" s="250"/>
    </row>
    <row r="127" spans="18:19">
      <c r="S127" s="250"/>
    </row>
    <row r="128" spans="18:19">
      <c r="S128" s="250"/>
    </row>
    <row r="129" spans="19:21">
      <c r="S129" s="250"/>
    </row>
    <row r="130" spans="19:21">
      <c r="S130" s="250"/>
    </row>
    <row r="131" spans="19:21">
      <c r="S131" s="250"/>
    </row>
    <row r="132" spans="19:21">
      <c r="T132" s="250"/>
    </row>
    <row r="133" spans="19:21">
      <c r="T133" s="250"/>
    </row>
    <row r="134" spans="19:21">
      <c r="T134" s="250"/>
    </row>
    <row r="135" spans="19:21">
      <c r="T135" s="250"/>
    </row>
    <row r="136" spans="19:21">
      <c r="T136" s="250"/>
    </row>
    <row r="137" spans="19:21">
      <c r="T137" s="250"/>
    </row>
    <row r="138" spans="19:21">
      <c r="T138" s="250"/>
    </row>
    <row r="139" spans="19:21">
      <c r="T139" s="250"/>
    </row>
    <row r="140" spans="19:21">
      <c r="T140" s="250"/>
    </row>
    <row r="141" spans="19:21">
      <c r="T141" s="250"/>
    </row>
    <row r="142" spans="19:21">
      <c r="T142" s="250"/>
    </row>
    <row r="143" spans="19:21">
      <c r="T143" s="250"/>
    </row>
    <row r="144" spans="19:21">
      <c r="U144" s="250"/>
    </row>
    <row r="145" spans="21:22">
      <c r="U145" s="250"/>
    </row>
    <row r="146" spans="21:22">
      <c r="U146" s="250"/>
    </row>
    <row r="147" spans="21:22">
      <c r="U147" s="250"/>
    </row>
    <row r="148" spans="21:22">
      <c r="U148" s="250"/>
    </row>
    <row r="149" spans="21:22">
      <c r="U149" s="250"/>
    </row>
    <row r="150" spans="21:22">
      <c r="U150" s="250"/>
    </row>
    <row r="151" spans="21:22">
      <c r="U151" s="250"/>
    </row>
    <row r="152" spans="21:22">
      <c r="U152" s="250"/>
    </row>
    <row r="153" spans="21:22">
      <c r="U153" s="250"/>
    </row>
    <row r="154" spans="21:22">
      <c r="U154" s="250"/>
    </row>
    <row r="155" spans="21:22">
      <c r="U155" s="250"/>
    </row>
    <row r="156" spans="21:22">
      <c r="V156" s="250"/>
    </row>
    <row r="157" spans="21:22">
      <c r="V157" s="250"/>
    </row>
    <row r="158" spans="21:22">
      <c r="V158" s="250"/>
    </row>
    <row r="159" spans="21:22">
      <c r="V159" s="250"/>
    </row>
    <row r="160" spans="21:22">
      <c r="V160" s="250"/>
    </row>
    <row r="161" spans="22:23">
      <c r="V161" s="250"/>
    </row>
    <row r="162" spans="22:23">
      <c r="V162" s="250"/>
    </row>
    <row r="163" spans="22:23">
      <c r="V163" s="250"/>
    </row>
    <row r="164" spans="22:23">
      <c r="V164" s="250"/>
    </row>
    <row r="165" spans="22:23">
      <c r="V165" s="250"/>
    </row>
    <row r="166" spans="22:23">
      <c r="V166" s="250"/>
    </row>
    <row r="167" spans="22:23">
      <c r="V167" s="250"/>
    </row>
    <row r="168" spans="22:23">
      <c r="W168" s="250"/>
    </row>
    <row r="169" spans="22:23">
      <c r="W169" s="250"/>
    </row>
    <row r="170" spans="22:23">
      <c r="W170" s="250"/>
    </row>
    <row r="171" spans="22:23">
      <c r="W171" s="250"/>
    </row>
    <row r="172" spans="22:23">
      <c r="W172" s="250"/>
    </row>
    <row r="173" spans="22:23">
      <c r="W173" s="250"/>
    </row>
    <row r="174" spans="22:23">
      <c r="W174" s="250"/>
    </row>
    <row r="175" spans="22:23">
      <c r="W175" s="250"/>
    </row>
    <row r="176" spans="22:23">
      <c r="W176" s="250"/>
    </row>
    <row r="177" spans="23:25">
      <c r="W177" s="250"/>
    </row>
    <row r="178" spans="23:25">
      <c r="W178" s="250"/>
    </row>
    <row r="179" spans="23:25">
      <c r="W179" s="250"/>
    </row>
    <row r="180" spans="23:25">
      <c r="X180" s="250"/>
    </row>
    <row r="181" spans="23:25">
      <c r="X181" s="250"/>
    </row>
    <row r="182" spans="23:25">
      <c r="X182" s="250"/>
    </row>
    <row r="183" spans="23:25">
      <c r="X183" s="250"/>
    </row>
    <row r="184" spans="23:25">
      <c r="X184" s="250"/>
    </row>
    <row r="185" spans="23:25">
      <c r="X185" s="250"/>
    </row>
    <row r="186" spans="23:25">
      <c r="X186" s="250"/>
    </row>
    <row r="187" spans="23:25">
      <c r="X187" s="250"/>
    </row>
    <row r="188" spans="23:25">
      <c r="X188" s="250"/>
    </row>
    <row r="189" spans="23:25">
      <c r="X189" s="250"/>
    </row>
    <row r="190" spans="23:25">
      <c r="X190" s="250"/>
    </row>
    <row r="191" spans="23:25">
      <c r="X191" s="250"/>
    </row>
    <row r="192" spans="23:25">
      <c r="Y192" s="250"/>
    </row>
    <row r="193" spans="25:26">
      <c r="Y193" s="250"/>
    </row>
    <row r="194" spans="25:26">
      <c r="Y194" s="250"/>
    </row>
    <row r="195" spans="25:26">
      <c r="Y195" s="250"/>
    </row>
    <row r="196" spans="25:26">
      <c r="Y196" s="250"/>
    </row>
    <row r="197" spans="25:26">
      <c r="Y197" s="250"/>
    </row>
    <row r="198" spans="25:26">
      <c r="Y198" s="250"/>
    </row>
    <row r="199" spans="25:26">
      <c r="Y199" s="250"/>
    </row>
    <row r="200" spans="25:26">
      <c r="Y200" s="250"/>
    </row>
    <row r="201" spans="25:26">
      <c r="Y201" s="250"/>
    </row>
    <row r="202" spans="25:26">
      <c r="Y202" s="250"/>
    </row>
    <row r="203" spans="25:26">
      <c r="Y203" s="250"/>
    </row>
    <row r="204" spans="25:26">
      <c r="Z204" s="250"/>
    </row>
    <row r="205" spans="25:26">
      <c r="Z205" s="250"/>
    </row>
    <row r="206" spans="25:26">
      <c r="Z206" s="250"/>
    </row>
    <row r="207" spans="25:26">
      <c r="Z207" s="250"/>
    </row>
    <row r="208" spans="25:26">
      <c r="Z208" s="250"/>
    </row>
    <row r="209" spans="26:27">
      <c r="Z209" s="250"/>
    </row>
    <row r="210" spans="26:27">
      <c r="Z210" s="250"/>
    </row>
    <row r="211" spans="26:27">
      <c r="Z211" s="250"/>
    </row>
    <row r="212" spans="26:27">
      <c r="Z212" s="250"/>
    </row>
    <row r="213" spans="26:27">
      <c r="Z213" s="250"/>
    </row>
    <row r="214" spans="26:27">
      <c r="Z214" s="250"/>
    </row>
    <row r="215" spans="26:27">
      <c r="Z215" s="250"/>
    </row>
    <row r="216" spans="26:27">
      <c r="AA216" s="250"/>
    </row>
    <row r="217" spans="26:27">
      <c r="AA217" s="250"/>
    </row>
    <row r="218" spans="26:27">
      <c r="AA218" s="250"/>
    </row>
    <row r="219" spans="26:27">
      <c r="AA219" s="250"/>
    </row>
    <row r="220" spans="26:27">
      <c r="AA220" s="250"/>
    </row>
    <row r="221" spans="26:27">
      <c r="AA221" s="250"/>
    </row>
    <row r="222" spans="26:27">
      <c r="AA222" s="250"/>
    </row>
    <row r="223" spans="26:27">
      <c r="AA223" s="250"/>
    </row>
    <row r="224" spans="26:27">
      <c r="AA224" s="250"/>
    </row>
    <row r="225" spans="27:28">
      <c r="AA225" s="250"/>
    </row>
    <row r="226" spans="27:28">
      <c r="AA226" s="250"/>
    </row>
    <row r="227" spans="27:28">
      <c r="AA227" s="250"/>
    </row>
    <row r="228" spans="27:28">
      <c r="AB228" s="250"/>
    </row>
    <row r="229" spans="27:28">
      <c r="AB229" s="250"/>
    </row>
    <row r="230" spans="27:28">
      <c r="AB230" s="250"/>
    </row>
    <row r="231" spans="27:28">
      <c r="AB231" s="250"/>
    </row>
    <row r="232" spans="27:28">
      <c r="AB232" s="250"/>
    </row>
    <row r="233" spans="27:28">
      <c r="AB233" s="250"/>
    </row>
    <row r="234" spans="27:28">
      <c r="AB234" s="250"/>
    </row>
    <row r="235" spans="27:28">
      <c r="AB235" s="250"/>
    </row>
    <row r="236" spans="27:28">
      <c r="AB236" s="250"/>
    </row>
    <row r="237" spans="27:28">
      <c r="AB237" s="250"/>
    </row>
    <row r="238" spans="27:28">
      <c r="AB238" s="250"/>
    </row>
    <row r="239" spans="27:28">
      <c r="AB239" s="250"/>
    </row>
  </sheetData>
  <pageMargins left="0.7" right="0.7" top="0.75" bottom="0.75" header="0.3" footer="0.3"/>
  <pageSetup scale="74"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2060"/>
  </sheetPr>
  <dimension ref="B1:L42"/>
  <sheetViews>
    <sheetView topLeftCell="A7" workbookViewId="0"/>
  </sheetViews>
  <sheetFormatPr baseColWidth="10" defaultColWidth="9.42578125" defaultRowHeight="15"/>
  <cols>
    <col min="1" max="1" width="9.42578125" style="2"/>
    <col min="2" max="2" width="2.5703125" style="3" customWidth="1"/>
    <col min="3" max="3" width="51.5703125" style="3" customWidth="1"/>
    <col min="4" max="4" width="11.42578125" style="4" customWidth="1"/>
    <col min="5" max="5" width="10.5703125" style="4" customWidth="1"/>
    <col min="6" max="6" width="12.5703125" style="4" customWidth="1"/>
    <col min="7" max="8" width="13.42578125" style="4" customWidth="1"/>
    <col min="9" max="9" width="11" style="4" customWidth="1"/>
    <col min="10" max="10" width="3.42578125" style="4" customWidth="1"/>
    <col min="11" max="11" width="9.42578125" style="2"/>
    <col min="12" max="12" width="11.5703125" style="2" bestFit="1" customWidth="1"/>
    <col min="13" max="16384" width="9.42578125" style="2"/>
  </cols>
  <sheetData>
    <row r="1" spans="2:10" ht="15.75" thickBot="1"/>
    <row r="2" spans="2:10" s="1" customFormat="1" ht="33" customHeight="1">
      <c r="B2" s="1169" t="s">
        <v>1023</v>
      </c>
      <c r="C2" s="1170"/>
      <c r="D2" s="1170"/>
      <c r="E2" s="1170"/>
      <c r="F2" s="1170"/>
      <c r="G2" s="1170"/>
      <c r="H2" s="1170"/>
      <c r="I2" s="1170"/>
      <c r="J2" s="1171"/>
    </row>
    <row r="3" spans="2:10" s="1" customFormat="1" ht="33" customHeight="1" thickBot="1">
      <c r="B3" s="1172" t="s">
        <v>225</v>
      </c>
      <c r="C3" s="1173"/>
      <c r="D3" s="1173"/>
      <c r="E3" s="1173"/>
      <c r="F3" s="1173"/>
      <c r="G3" s="1173"/>
      <c r="H3" s="1173"/>
      <c r="I3" s="1173"/>
      <c r="J3" s="1174"/>
    </row>
    <row r="4" spans="2:10" s="1" customFormat="1" ht="33" customHeight="1">
      <c r="B4" s="30"/>
      <c r="C4" s="31"/>
      <c r="D4" s="1175" t="s">
        <v>1024</v>
      </c>
      <c r="E4" s="1176"/>
      <c r="F4" s="1176"/>
      <c r="G4" s="1177"/>
      <c r="H4" s="1178" t="s">
        <v>1025</v>
      </c>
      <c r="I4" s="1180" t="s">
        <v>1026</v>
      </c>
      <c r="J4" s="32"/>
    </row>
    <row r="5" spans="2:10" s="1" customFormat="1" ht="33" customHeight="1" thickBot="1">
      <c r="B5" s="14"/>
      <c r="C5" s="16"/>
      <c r="D5" s="44" t="s">
        <v>265</v>
      </c>
      <c r="E5" s="51" t="s">
        <v>1027</v>
      </c>
      <c r="F5" s="51" t="s">
        <v>375</v>
      </c>
      <c r="G5" s="52" t="s">
        <v>1028</v>
      </c>
      <c r="H5" s="1179"/>
      <c r="I5" s="1181"/>
      <c r="J5" s="15"/>
    </row>
    <row r="6" spans="2:10">
      <c r="B6" s="6"/>
      <c r="C6" s="67" t="s">
        <v>1029</v>
      </c>
      <c r="D6" s="58"/>
      <c r="E6" s="83"/>
      <c r="F6" s="83"/>
      <c r="G6" s="53"/>
      <c r="H6" s="77"/>
      <c r="I6" s="54"/>
      <c r="J6" s="8"/>
    </row>
    <row r="7" spans="2:10">
      <c r="B7" s="6"/>
      <c r="C7" s="68"/>
      <c r="D7" s="59"/>
      <c r="E7" s="81"/>
      <c r="F7" s="81"/>
      <c r="G7" s="34"/>
      <c r="H7" s="78"/>
      <c r="I7" s="56"/>
      <c r="J7" s="8"/>
    </row>
    <row r="8" spans="2:10" s="1" customFormat="1" ht="15" customHeight="1">
      <c r="B8" s="30"/>
      <c r="C8" s="62" t="s">
        <v>1030</v>
      </c>
      <c r="D8" s="66">
        <f>PIB_Nominal!I21</f>
        <v>19183.79229741844</v>
      </c>
      <c r="E8" s="82">
        <f>D8-F8</f>
        <v>18553.85049741844</v>
      </c>
      <c r="F8" s="82">
        <f>Gob_EOG!I5-Gob_EOG!I22-Gob_EOG!I23-Gob_EOG!I24-Gob_EOG!I19</f>
        <v>629.94179999999892</v>
      </c>
      <c r="G8" s="43" t="s">
        <v>151</v>
      </c>
      <c r="H8" s="79" t="s">
        <v>156</v>
      </c>
      <c r="I8" s="55" t="s">
        <v>156</v>
      </c>
      <c r="J8" s="32"/>
    </row>
    <row r="9" spans="2:10">
      <c r="B9" s="6"/>
      <c r="C9" s="62" t="s">
        <v>700</v>
      </c>
      <c r="D9" s="66">
        <f>PIB_Nominal!I7</f>
        <v>16016.788216375171</v>
      </c>
      <c r="E9" s="82">
        <f>D9-F9</f>
        <v>14612.961616375171</v>
      </c>
      <c r="F9" s="82">
        <f>Gob_EOG!I16+Gob_EOG!I17</f>
        <v>1403.8265999999999</v>
      </c>
      <c r="G9" s="43" t="s">
        <v>151</v>
      </c>
      <c r="H9" s="79" t="s">
        <v>156</v>
      </c>
      <c r="I9" s="55" t="s">
        <v>156</v>
      </c>
      <c r="J9" s="8"/>
    </row>
    <row r="10" spans="2:10">
      <c r="B10" s="6"/>
      <c r="C10" s="63" t="s">
        <v>173</v>
      </c>
      <c r="D10" s="66">
        <f>PIB_Nominal!I10</f>
        <v>4287.2834080595767</v>
      </c>
      <c r="E10" s="82">
        <f>D10-F10</f>
        <v>4215.2276080595766</v>
      </c>
      <c r="F10" s="82">
        <f>Gob_EOG!I29+Gob_EOG!I33</f>
        <v>72.055800000000005</v>
      </c>
      <c r="G10" s="43" t="s">
        <v>151</v>
      </c>
      <c r="H10" s="79" t="s">
        <v>156</v>
      </c>
      <c r="I10" s="55" t="s">
        <v>156</v>
      </c>
      <c r="J10" s="8"/>
    </row>
    <row r="11" spans="2:10">
      <c r="B11" s="6"/>
      <c r="C11" s="69"/>
      <c r="D11" s="66"/>
      <c r="E11" s="82"/>
      <c r="F11" s="82"/>
      <c r="G11" s="43"/>
      <c r="H11" s="79"/>
      <c r="I11" s="55"/>
      <c r="J11" s="8"/>
    </row>
    <row r="12" spans="2:10" ht="15.75" thickBot="1">
      <c r="B12" s="6"/>
      <c r="C12" s="65" t="s">
        <v>1031</v>
      </c>
      <c r="D12" s="60">
        <f>D8-D9-D10</f>
        <v>-1120.2793270163074</v>
      </c>
      <c r="E12" s="84">
        <f>E8-E9-E10</f>
        <v>-274.33872701630753</v>
      </c>
      <c r="F12" s="84">
        <f>F8-F9-F10</f>
        <v>-845.94060000000093</v>
      </c>
      <c r="G12" s="75">
        <v>0</v>
      </c>
      <c r="H12" s="80">
        <f>-E34*E33/1000</f>
        <v>1213.5577217264881</v>
      </c>
      <c r="I12" s="57">
        <f>D12+H12</f>
        <v>93.278394710180692</v>
      </c>
      <c r="J12" s="8"/>
    </row>
    <row r="13" spans="2:10" ht="15.75" thickBot="1">
      <c r="B13" s="6"/>
      <c r="C13" s="35"/>
      <c r="D13" s="34"/>
      <c r="E13" s="34"/>
      <c r="F13" s="34"/>
      <c r="G13" s="34"/>
      <c r="H13" s="34"/>
      <c r="I13" s="34"/>
      <c r="J13" s="8"/>
    </row>
    <row r="14" spans="2:10">
      <c r="B14" s="6"/>
      <c r="C14" s="71" t="s">
        <v>1032</v>
      </c>
      <c r="D14" s="70">
        <f>D16+D20</f>
        <v>1219.4618399999997</v>
      </c>
      <c r="E14" s="92">
        <f>E16+E20</f>
        <v>373.52123999999822</v>
      </c>
      <c r="F14" s="92">
        <f>F16+F20</f>
        <v>845.94060000000115</v>
      </c>
      <c r="G14" s="76">
        <f>G16+G20</f>
        <v>0</v>
      </c>
      <c r="H14" s="87">
        <f>H16</f>
        <v>-1219.4618399999997</v>
      </c>
      <c r="I14" s="87">
        <f>D14+H14</f>
        <v>0</v>
      </c>
      <c r="J14" s="8"/>
    </row>
    <row r="15" spans="2:10">
      <c r="B15" s="6"/>
      <c r="C15" s="72"/>
      <c r="D15" s="34"/>
      <c r="E15" s="81"/>
      <c r="F15" s="81"/>
      <c r="G15" s="34"/>
      <c r="H15" s="78"/>
      <c r="I15" s="78"/>
      <c r="J15" s="8"/>
    </row>
    <row r="16" spans="2:10" s="49" customFormat="1">
      <c r="B16" s="46"/>
      <c r="C16" s="68" t="s">
        <v>1033</v>
      </c>
      <c r="D16" s="47">
        <f>D17+D18</f>
        <v>1219.4618399999997</v>
      </c>
      <c r="E16" s="85">
        <f>E17+E18</f>
        <v>934.62916175816304</v>
      </c>
      <c r="F16" s="85">
        <f>F17+F18</f>
        <v>-124.47651500000018</v>
      </c>
      <c r="G16" s="47">
        <f>G17+G18</f>
        <v>409.30919324183674</v>
      </c>
      <c r="H16" s="88">
        <f>-D16</f>
        <v>-1219.4618399999997</v>
      </c>
      <c r="I16" s="88">
        <f>D16+H16</f>
        <v>0</v>
      </c>
      <c r="J16" s="48"/>
    </row>
    <row r="17" spans="2:10">
      <c r="B17" s="6"/>
      <c r="C17" s="64" t="s">
        <v>324</v>
      </c>
      <c r="D17" s="34">
        <f>E35*E33/1000</f>
        <v>10.93824</v>
      </c>
      <c r="E17" s="81">
        <f>D17-F17-G17</f>
        <v>10.93824</v>
      </c>
      <c r="F17" s="81">
        <v>0</v>
      </c>
      <c r="G17" s="34">
        <v>0</v>
      </c>
      <c r="H17" s="78">
        <f>-D17</f>
        <v>-10.93824</v>
      </c>
      <c r="I17" s="78">
        <f>D17+H17</f>
        <v>0</v>
      </c>
      <c r="J17" s="8"/>
    </row>
    <row r="18" spans="2:10">
      <c r="B18" s="6"/>
      <c r="C18" s="64" t="s">
        <v>1034</v>
      </c>
      <c r="D18" s="34">
        <f>-E36*E33/1000</f>
        <v>1208.5235999999998</v>
      </c>
      <c r="E18" s="81">
        <f>D18-F18-G18</f>
        <v>923.69092175816309</v>
      </c>
      <c r="F18" s="81">
        <f>Gob_EOG!I47-Gob_EOG!I42</f>
        <v>-124.47651500000018</v>
      </c>
      <c r="G18" s="34">
        <f>-MON_PSD!I7+MON_PSD!H7</f>
        <v>409.30919324183674</v>
      </c>
      <c r="H18" s="78">
        <f>-D18</f>
        <v>-1208.5235999999998</v>
      </c>
      <c r="I18" s="78">
        <f>D18+H18</f>
        <v>0</v>
      </c>
      <c r="J18" s="8"/>
    </row>
    <row r="19" spans="2:10">
      <c r="B19" s="6"/>
      <c r="C19" s="64"/>
      <c r="D19" s="34"/>
      <c r="E19" s="81"/>
      <c r="F19" s="81"/>
      <c r="G19" s="34"/>
      <c r="H19" s="78"/>
      <c r="I19" s="78"/>
      <c r="J19" s="8"/>
    </row>
    <row r="20" spans="2:10" s="49" customFormat="1">
      <c r="B20" s="46"/>
      <c r="C20" s="68" t="s">
        <v>1035</v>
      </c>
      <c r="D20" s="47">
        <f>E20+F20+G20</f>
        <v>0</v>
      </c>
      <c r="E20" s="85">
        <f>E21+E22</f>
        <v>-561.10792175816482</v>
      </c>
      <c r="F20" s="85">
        <f>F21+F22</f>
        <v>970.41711500000133</v>
      </c>
      <c r="G20" s="47">
        <f>G22</f>
        <v>-409.30919324183651</v>
      </c>
      <c r="H20" s="90" t="s">
        <v>151</v>
      </c>
      <c r="I20" s="78">
        <f t="shared" ref="I20:I25" si="0">D20</f>
        <v>0</v>
      </c>
      <c r="J20" s="48"/>
    </row>
    <row r="21" spans="2:10" s="49" customFormat="1">
      <c r="B21" s="46"/>
      <c r="C21" s="64" t="s">
        <v>1036</v>
      </c>
      <c r="D21" s="34">
        <f>E21+F21</f>
        <v>0</v>
      </c>
      <c r="E21" s="81">
        <f>-F21</f>
        <v>-743.68424114683637</v>
      </c>
      <c r="F21" s="81">
        <f>Gob_EOG!I46-Gob_EOG!I39</f>
        <v>743.68424114683637</v>
      </c>
      <c r="G21" s="50" t="s">
        <v>151</v>
      </c>
      <c r="H21" s="90" t="s">
        <v>156</v>
      </c>
      <c r="I21" s="78">
        <f t="shared" si="0"/>
        <v>0</v>
      </c>
      <c r="J21" s="48"/>
    </row>
    <row r="22" spans="2:10" s="49" customFormat="1">
      <c r="B22" s="46"/>
      <c r="C22" s="64" t="s">
        <v>1037</v>
      </c>
      <c r="D22" s="34">
        <f>D23+D24+D25</f>
        <v>0</v>
      </c>
      <c r="E22" s="81">
        <f>E23+E25</f>
        <v>182.57631938867155</v>
      </c>
      <c r="F22" s="81">
        <f>F24</f>
        <v>226.73287385316496</v>
      </c>
      <c r="G22" s="34">
        <f>G23+G24+G25</f>
        <v>-409.30919324183651</v>
      </c>
      <c r="H22" s="90" t="s">
        <v>151</v>
      </c>
      <c r="I22" s="78">
        <f t="shared" si="0"/>
        <v>0</v>
      </c>
      <c r="J22" s="48"/>
    </row>
    <row r="23" spans="2:10">
      <c r="B23" s="5"/>
      <c r="C23" s="73" t="s">
        <v>1014</v>
      </c>
      <c r="D23" s="34">
        <f>E23+G23</f>
        <v>0</v>
      </c>
      <c r="E23" s="81">
        <f>-G23</f>
        <v>-701.4313887571243</v>
      </c>
      <c r="F23" s="86" t="s">
        <v>151</v>
      </c>
      <c r="G23" s="34">
        <f>MON_PSD!I17-MON_PSD!H17</f>
        <v>701.4313887571243</v>
      </c>
      <c r="H23" s="90" t="s">
        <v>156</v>
      </c>
      <c r="I23" s="78">
        <f t="shared" si="0"/>
        <v>0</v>
      </c>
      <c r="J23" s="8"/>
    </row>
    <row r="24" spans="2:10">
      <c r="B24" s="5"/>
      <c r="C24" s="73" t="s">
        <v>1038</v>
      </c>
      <c r="D24" s="34">
        <f>F24+G24</f>
        <v>0</v>
      </c>
      <c r="E24" s="86" t="s">
        <v>151</v>
      </c>
      <c r="F24" s="81">
        <f>Gob_EOG!I45-Gob_EOG!I38</f>
        <v>226.73287385316496</v>
      </c>
      <c r="G24" s="34">
        <f>-MON_PSD!I11+MON_PSD!H11</f>
        <v>-226.73287385316496</v>
      </c>
      <c r="H24" s="90" t="s">
        <v>156</v>
      </c>
      <c r="I24" s="78">
        <f t="shared" si="0"/>
        <v>0</v>
      </c>
      <c r="J24" s="8"/>
    </row>
    <row r="25" spans="2:10">
      <c r="B25" s="5"/>
      <c r="C25" s="73" t="s">
        <v>1039</v>
      </c>
      <c r="D25" s="34">
        <f>E25+G25</f>
        <v>0</v>
      </c>
      <c r="E25" s="81">
        <f>-G25</f>
        <v>884.00770814579585</v>
      </c>
      <c r="F25" s="86" t="s">
        <v>151</v>
      </c>
      <c r="G25" s="34">
        <f>MON_PSD!H8-MON_PSD!I8-G24</f>
        <v>-884.00770814579585</v>
      </c>
      <c r="H25" s="90" t="s">
        <v>156</v>
      </c>
      <c r="I25" s="78">
        <f t="shared" si="0"/>
        <v>0</v>
      </c>
      <c r="J25" s="8"/>
    </row>
    <row r="26" spans="2:10" ht="15.75" thickBot="1">
      <c r="B26" s="5"/>
      <c r="C26" s="74"/>
      <c r="D26" s="61"/>
      <c r="E26" s="93"/>
      <c r="F26" s="94"/>
      <c r="G26" s="61"/>
      <c r="H26" s="91"/>
      <c r="I26" s="89"/>
      <c r="J26" s="8"/>
    </row>
    <row r="27" spans="2:10" ht="15.75" thickBot="1">
      <c r="B27" s="5"/>
      <c r="C27" s="37"/>
      <c r="D27" s="34"/>
      <c r="E27" s="34"/>
      <c r="F27" s="34"/>
      <c r="G27" s="34"/>
      <c r="H27" s="34"/>
      <c r="I27" s="34"/>
      <c r="J27" s="8"/>
    </row>
    <row r="28" spans="2:10" ht="15.75" thickBot="1">
      <c r="B28" s="5"/>
      <c r="C28" s="95" t="s">
        <v>208</v>
      </c>
      <c r="D28" s="96">
        <f>D14+D12</f>
        <v>99.182512983692277</v>
      </c>
      <c r="E28" s="97">
        <f>D28-F28</f>
        <v>99.182512983692277</v>
      </c>
      <c r="F28" s="97">
        <f>F12+F14</f>
        <v>0</v>
      </c>
      <c r="G28" s="96">
        <f>G12+G14</f>
        <v>0</v>
      </c>
      <c r="H28" s="98">
        <f>BP!I39*BP!I58/1000</f>
        <v>-5.9041182735118394</v>
      </c>
      <c r="I28" s="98">
        <f>D28+H28</f>
        <v>93.278394710180436</v>
      </c>
      <c r="J28" s="8"/>
    </row>
    <row r="29" spans="2:10" ht="15.75" thickBot="1">
      <c r="B29" s="5"/>
      <c r="C29" s="104"/>
      <c r="D29" s="47"/>
      <c r="E29" s="47"/>
      <c r="F29" s="47"/>
      <c r="G29" s="47"/>
      <c r="H29" s="47"/>
      <c r="I29" s="47"/>
      <c r="J29" s="8"/>
    </row>
    <row r="30" spans="2:10" ht="15.75" thickBot="1">
      <c r="B30" s="5"/>
      <c r="C30" s="95" t="s">
        <v>1040</v>
      </c>
      <c r="D30" s="96">
        <f>D12+D14-D28</f>
        <v>0</v>
      </c>
      <c r="E30" s="97">
        <f>E12+E14-E28</f>
        <v>-1.5916157281026244E-12</v>
      </c>
      <c r="F30" s="97">
        <f>F12+F14-F28</f>
        <v>2.2737367544323206E-13</v>
      </c>
      <c r="G30" s="96">
        <f>G12+G14-G28</f>
        <v>0</v>
      </c>
      <c r="H30" s="98">
        <f>H12+H14-H28</f>
        <v>2.5401902803423582E-13</v>
      </c>
      <c r="I30" s="98">
        <f>I12-I28-D30</f>
        <v>2.5579538487363607E-13</v>
      </c>
      <c r="J30" s="8"/>
    </row>
    <row r="31" spans="2:10" s="1" customFormat="1" ht="15" customHeight="1">
      <c r="B31" s="30"/>
      <c r="C31" s="36"/>
      <c r="D31" s="38"/>
      <c r="E31" s="38"/>
      <c r="F31" s="38"/>
      <c r="G31" s="38"/>
      <c r="H31" s="38"/>
      <c r="I31" s="38"/>
      <c r="J31" s="32"/>
    </row>
    <row r="32" spans="2:10">
      <c r="B32" s="5"/>
      <c r="C32" s="21" t="s">
        <v>1041</v>
      </c>
      <c r="D32" s="39"/>
      <c r="E32" s="39"/>
      <c r="F32" s="39"/>
      <c r="G32" s="39"/>
      <c r="H32" s="39"/>
      <c r="I32" s="39"/>
      <c r="J32" s="8"/>
    </row>
    <row r="33" spans="2:12">
      <c r="B33" s="5"/>
      <c r="C33" s="18" t="s">
        <v>1042</v>
      </c>
      <c r="D33" s="34"/>
      <c r="E33" s="45">
        <f>BP!I58</f>
        <v>506.4</v>
      </c>
      <c r="F33" s="34"/>
      <c r="G33" s="34"/>
      <c r="H33" s="29"/>
      <c r="I33" s="34"/>
      <c r="J33" s="8"/>
    </row>
    <row r="34" spans="2:12">
      <c r="B34" s="5"/>
      <c r="C34" s="36" t="s">
        <v>1043</v>
      </c>
      <c r="D34" s="39"/>
      <c r="E34" s="39">
        <f>BP!I5</f>
        <v>-2396.4409986700002</v>
      </c>
      <c r="F34" s="39"/>
      <c r="G34" s="39"/>
      <c r="H34" s="29"/>
      <c r="I34" s="39"/>
      <c r="J34" s="8"/>
    </row>
    <row r="35" spans="2:12">
      <c r="B35" s="5"/>
      <c r="C35" s="18" t="s">
        <v>1044</v>
      </c>
      <c r="D35" s="34"/>
      <c r="E35" s="34">
        <f>BP!I19</f>
        <v>21.6</v>
      </c>
      <c r="F35" s="34"/>
      <c r="G35" s="34"/>
      <c r="H35" s="29"/>
      <c r="I35" s="34"/>
      <c r="J35" s="8"/>
    </row>
    <row r="36" spans="2:12">
      <c r="B36" s="5"/>
      <c r="C36" s="36" t="s">
        <v>1045</v>
      </c>
      <c r="D36" s="34"/>
      <c r="E36" s="34">
        <f>BP!I21+BP!I43</f>
        <v>-2386.5</v>
      </c>
      <c r="F36" s="34"/>
      <c r="G36" s="34"/>
      <c r="H36" s="29"/>
      <c r="I36" s="34"/>
      <c r="J36" s="8"/>
    </row>
    <row r="37" spans="2:12">
      <c r="B37" s="5"/>
      <c r="C37" s="36"/>
      <c r="D37" s="34"/>
      <c r="E37" s="34"/>
      <c r="F37" s="34"/>
      <c r="G37" s="34"/>
      <c r="H37" s="29"/>
      <c r="I37" s="34"/>
      <c r="J37" s="8"/>
    </row>
    <row r="38" spans="2:12">
      <c r="B38" s="5"/>
      <c r="C38" s="21" t="s">
        <v>683</v>
      </c>
      <c r="D38" s="34"/>
      <c r="E38" s="34"/>
      <c r="F38" s="34"/>
      <c r="G38" s="34"/>
      <c r="H38" s="29"/>
      <c r="I38" s="34"/>
      <c r="J38" s="8"/>
    </row>
    <row r="39" spans="2:12">
      <c r="B39" s="5"/>
      <c r="C39" s="36" t="s">
        <v>1046</v>
      </c>
      <c r="D39" s="34"/>
      <c r="E39" s="34"/>
      <c r="F39" s="34"/>
      <c r="G39" s="34"/>
      <c r="H39" s="29"/>
      <c r="I39" s="34"/>
      <c r="J39" s="8"/>
    </row>
    <row r="40" spans="2:12" ht="15.75" thickBot="1">
      <c r="B40" s="10"/>
      <c r="C40" s="11"/>
      <c r="D40" s="11"/>
      <c r="E40" s="11"/>
      <c r="F40" s="11"/>
      <c r="G40" s="11"/>
      <c r="H40" s="11"/>
      <c r="I40" s="11"/>
      <c r="J40" s="12"/>
      <c r="L40" s="495"/>
    </row>
    <row r="42" spans="2:12">
      <c r="B42" s="105"/>
    </row>
  </sheetData>
  <mergeCells count="5">
    <mergeCell ref="B2:J2"/>
    <mergeCell ref="B3:J3"/>
    <mergeCell ref="D4:G4"/>
    <mergeCell ref="H4:H5"/>
    <mergeCell ref="I4:I5"/>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002060"/>
  </sheetPr>
  <dimension ref="B1:J40"/>
  <sheetViews>
    <sheetView topLeftCell="A7" workbookViewId="0"/>
  </sheetViews>
  <sheetFormatPr baseColWidth="10" defaultColWidth="9.42578125" defaultRowHeight="15"/>
  <cols>
    <col min="1" max="1" width="9.42578125" style="2"/>
    <col min="2" max="2" width="2.5703125" style="3" customWidth="1"/>
    <col min="3" max="3" width="51.5703125" style="3" customWidth="1"/>
    <col min="4" max="4" width="11.42578125" style="4" customWidth="1"/>
    <col min="5" max="5" width="10.5703125" style="4" customWidth="1"/>
    <col min="6" max="6" width="12.5703125" style="4" customWidth="1"/>
    <col min="7" max="8" width="13.42578125" style="4" customWidth="1"/>
    <col min="9" max="9" width="11" style="4" customWidth="1"/>
    <col min="10" max="10" width="3.42578125" style="4" customWidth="1"/>
    <col min="11" max="16384" width="9.42578125" style="2"/>
  </cols>
  <sheetData>
    <row r="1" spans="2:10" ht="15.75" thickBot="1"/>
    <row r="2" spans="2:10" s="1" customFormat="1" ht="33" customHeight="1">
      <c r="B2" s="1169" t="s">
        <v>1047</v>
      </c>
      <c r="C2" s="1170"/>
      <c r="D2" s="1170"/>
      <c r="E2" s="1170"/>
      <c r="F2" s="1170"/>
      <c r="G2" s="1170"/>
      <c r="H2" s="1170"/>
      <c r="I2" s="1170"/>
      <c r="J2" s="1171"/>
    </row>
    <row r="3" spans="2:10" s="1" customFormat="1" ht="33" customHeight="1" thickBot="1">
      <c r="B3" s="1172" t="s">
        <v>225</v>
      </c>
      <c r="C3" s="1173"/>
      <c r="D3" s="1173"/>
      <c r="E3" s="1173"/>
      <c r="F3" s="1173"/>
      <c r="G3" s="1173"/>
      <c r="H3" s="1173"/>
      <c r="I3" s="1173"/>
      <c r="J3" s="1174"/>
    </row>
    <row r="4" spans="2:10" s="1" customFormat="1" ht="33" customHeight="1">
      <c r="B4" s="30"/>
      <c r="C4" s="31"/>
      <c r="D4" s="1175" t="s">
        <v>1024</v>
      </c>
      <c r="E4" s="1176"/>
      <c r="F4" s="1176"/>
      <c r="G4" s="1177"/>
      <c r="H4" s="1178" t="s">
        <v>1025</v>
      </c>
      <c r="I4" s="1180" t="s">
        <v>1026</v>
      </c>
      <c r="J4" s="32"/>
    </row>
    <row r="5" spans="2:10" s="1" customFormat="1" ht="33" customHeight="1" thickBot="1">
      <c r="B5" s="14"/>
      <c r="C5" s="16"/>
      <c r="D5" s="44" t="s">
        <v>265</v>
      </c>
      <c r="E5" s="51" t="s">
        <v>1027</v>
      </c>
      <c r="F5" s="51" t="s">
        <v>375</v>
      </c>
      <c r="G5" s="52" t="s">
        <v>1028</v>
      </c>
      <c r="H5" s="1179"/>
      <c r="I5" s="1181"/>
      <c r="J5" s="15"/>
    </row>
    <row r="6" spans="2:10">
      <c r="B6" s="6"/>
      <c r="C6" s="67" t="s">
        <v>1029</v>
      </c>
      <c r="D6" s="58"/>
      <c r="E6" s="83"/>
      <c r="F6" s="83"/>
      <c r="G6" s="53"/>
      <c r="H6" s="77"/>
      <c r="I6" s="54"/>
      <c r="J6" s="8"/>
    </row>
    <row r="7" spans="2:10">
      <c r="B7" s="6"/>
      <c r="C7" s="68"/>
      <c r="D7" s="59"/>
      <c r="E7" s="81"/>
      <c r="F7" s="81"/>
      <c r="G7" s="34"/>
      <c r="H7" s="78"/>
      <c r="I7" s="56"/>
      <c r="J7" s="8"/>
    </row>
    <row r="8" spans="2:10" s="1" customFormat="1" ht="15" customHeight="1">
      <c r="B8" s="30"/>
      <c r="C8" s="62" t="s">
        <v>1030</v>
      </c>
      <c r="D8" s="66">
        <f>PIB_Nominal!J21</f>
        <v>20861.824203063054</v>
      </c>
      <c r="E8" s="82">
        <f>D8-F8</f>
        <v>20290.543403063053</v>
      </c>
      <c r="F8" s="82">
        <f>Gob_EOG!J5-Gob_EOG!J22-Gob_EOG!J23-Gob_EOG!J24-Gob_EOG!J19</f>
        <v>571.28080000000034</v>
      </c>
      <c r="G8" s="43" t="s">
        <v>151</v>
      </c>
      <c r="H8" s="79" t="s">
        <v>156</v>
      </c>
      <c r="I8" s="55" t="s">
        <v>156</v>
      </c>
      <c r="J8" s="32"/>
    </row>
    <row r="9" spans="2:10">
      <c r="B9" s="6"/>
      <c r="C9" s="62" t="s">
        <v>700</v>
      </c>
      <c r="D9" s="66">
        <f>PIB_Nominal!J7</f>
        <v>17760.342685383461</v>
      </c>
      <c r="E9" s="82">
        <f>D9-F9</f>
        <v>16237.38348538346</v>
      </c>
      <c r="F9" s="82">
        <f>Gob_EOG!J16+Gob_EOG!J17</f>
        <v>1522.9592000000002</v>
      </c>
      <c r="G9" s="43" t="s">
        <v>151</v>
      </c>
      <c r="H9" s="79" t="s">
        <v>156</v>
      </c>
      <c r="I9" s="55" t="s">
        <v>156</v>
      </c>
      <c r="J9" s="8"/>
    </row>
    <row r="10" spans="2:10">
      <c r="B10" s="6"/>
      <c r="C10" s="63" t="s">
        <v>173</v>
      </c>
      <c r="D10" s="66">
        <f>PIB_Nominal!J10</f>
        <v>4493.8592022856728</v>
      </c>
      <c r="E10" s="82">
        <f>D10-F10</f>
        <v>4442.3581022856724</v>
      </c>
      <c r="F10" s="82">
        <f>Gob_EOG!J29+Gob_EOG!J33</f>
        <v>51.501100000000008</v>
      </c>
      <c r="G10" s="43" t="s">
        <v>151</v>
      </c>
      <c r="H10" s="79" t="s">
        <v>156</v>
      </c>
      <c r="I10" s="55" t="s">
        <v>156</v>
      </c>
      <c r="J10" s="8"/>
    </row>
    <row r="11" spans="2:10">
      <c r="B11" s="6"/>
      <c r="C11" s="69"/>
      <c r="D11" s="66"/>
      <c r="E11" s="82"/>
      <c r="F11" s="82"/>
      <c r="G11" s="43"/>
      <c r="H11" s="79"/>
      <c r="I11" s="55"/>
      <c r="J11" s="8"/>
    </row>
    <row r="12" spans="2:10" ht="15.75" thickBot="1">
      <c r="B12" s="6"/>
      <c r="C12" s="65" t="s">
        <v>1031</v>
      </c>
      <c r="D12" s="60">
        <f>D8-D9-D10</f>
        <v>-1392.37768460608</v>
      </c>
      <c r="E12" s="84">
        <f>E8-E9-E10</f>
        <v>-389.19818460607894</v>
      </c>
      <c r="F12" s="84">
        <f>F8-F9-F10</f>
        <v>-1003.1795</v>
      </c>
      <c r="G12" s="75">
        <v>0</v>
      </c>
      <c r="H12" s="80">
        <f>-E34*E33/1000</f>
        <v>1391.5850741215866</v>
      </c>
      <c r="I12" s="57">
        <f t="shared" ref="I12:I18" si="0">D12+H12</f>
        <v>-0.79261048449347982</v>
      </c>
      <c r="J12" s="8"/>
    </row>
    <row r="13" spans="2:10" ht="15.75" thickBot="1">
      <c r="B13" s="6"/>
      <c r="C13" s="35"/>
      <c r="D13" s="34"/>
      <c r="E13" s="34"/>
      <c r="F13" s="34"/>
      <c r="G13" s="34"/>
      <c r="H13" s="34"/>
      <c r="I13" s="34"/>
      <c r="J13" s="8"/>
    </row>
    <row r="14" spans="2:10">
      <c r="B14" s="6"/>
      <c r="C14" s="71" t="s">
        <v>1032</v>
      </c>
      <c r="D14" s="70">
        <f>D16+D20</f>
        <v>1364.2069346461819</v>
      </c>
      <c r="E14" s="92">
        <f>E16+E20</f>
        <v>361.02743464618175</v>
      </c>
      <c r="F14" s="92">
        <f>F16+F20</f>
        <v>1003.1794999999993</v>
      </c>
      <c r="G14" s="76">
        <f>G16+G20</f>
        <v>1.1368683772161603E-12</v>
      </c>
      <c r="H14" s="87">
        <f>H16</f>
        <v>-1364.2069346461819</v>
      </c>
      <c r="I14" s="87">
        <f t="shared" si="0"/>
        <v>0</v>
      </c>
      <c r="J14" s="8"/>
    </row>
    <row r="15" spans="2:10">
      <c r="B15" s="6"/>
      <c r="C15" s="72"/>
      <c r="D15" s="34"/>
      <c r="E15" s="81"/>
      <c r="F15" s="81"/>
      <c r="G15" s="34"/>
      <c r="H15" s="78"/>
      <c r="I15" s="78"/>
      <c r="J15" s="8"/>
    </row>
    <row r="16" spans="2:10" s="49" customFormat="1">
      <c r="B16" s="46"/>
      <c r="C16" s="68" t="s">
        <v>1033</v>
      </c>
      <c r="D16" s="47">
        <f>D17+D18</f>
        <v>1364.2069346461819</v>
      </c>
      <c r="E16" s="85">
        <f>E17+E18</f>
        <v>1692.3021650716162</v>
      </c>
      <c r="F16" s="85">
        <f>F17+F18</f>
        <v>278.94918906593182</v>
      </c>
      <c r="G16" s="47">
        <f>G17+G18</f>
        <v>-607.04441949136594</v>
      </c>
      <c r="H16" s="88">
        <f>-D16</f>
        <v>-1364.2069346461819</v>
      </c>
      <c r="I16" s="88">
        <f t="shared" si="0"/>
        <v>0</v>
      </c>
      <c r="J16" s="48"/>
    </row>
    <row r="17" spans="2:10">
      <c r="B17" s="6"/>
      <c r="C17" s="64" t="s">
        <v>324</v>
      </c>
      <c r="D17" s="34">
        <f>E35*E33/1000</f>
        <v>19.161713972503524</v>
      </c>
      <c r="E17" s="81">
        <f>D17-F17-G17</f>
        <v>19.161713972503524</v>
      </c>
      <c r="F17" s="81">
        <v>0</v>
      </c>
      <c r="G17" s="34">
        <v>0</v>
      </c>
      <c r="H17" s="78">
        <f>-D17</f>
        <v>-19.161713972503524</v>
      </c>
      <c r="I17" s="78">
        <f t="shared" si="0"/>
        <v>0</v>
      </c>
      <c r="J17" s="8"/>
    </row>
    <row r="18" spans="2:10">
      <c r="B18" s="6"/>
      <c r="C18" s="64" t="s">
        <v>1034</v>
      </c>
      <c r="D18" s="34">
        <f>-E36*E33/1000</f>
        <v>1345.0452206736784</v>
      </c>
      <c r="E18" s="81">
        <f>D18-F18-G18</f>
        <v>1673.1404510991126</v>
      </c>
      <c r="F18" s="81">
        <f>Gob_EOG!J47-Gob_EOG!J42</f>
        <v>278.94918906593182</v>
      </c>
      <c r="G18" s="34">
        <f>-MON_PSD!J7+MON_PSD!I7</f>
        <v>-607.04441949136594</v>
      </c>
      <c r="H18" s="78">
        <f>-D18</f>
        <v>-1345.0452206736784</v>
      </c>
      <c r="I18" s="78">
        <f t="shared" si="0"/>
        <v>0</v>
      </c>
      <c r="J18" s="8"/>
    </row>
    <row r="19" spans="2:10">
      <c r="B19" s="6"/>
      <c r="C19" s="64"/>
      <c r="D19" s="34"/>
      <c r="E19" s="81"/>
      <c r="F19" s="81"/>
      <c r="G19" s="34"/>
      <c r="H19" s="78"/>
      <c r="I19" s="78"/>
      <c r="J19" s="8"/>
    </row>
    <row r="20" spans="2:10" s="49" customFormat="1">
      <c r="B20" s="46"/>
      <c r="C20" s="68" t="s">
        <v>1035</v>
      </c>
      <c r="D20" s="47">
        <f>E20+F20+G20</f>
        <v>0</v>
      </c>
      <c r="E20" s="85">
        <f>E21+E22</f>
        <v>-1331.2747304254344</v>
      </c>
      <c r="F20" s="85">
        <f>F21+F22</f>
        <v>724.23031093406746</v>
      </c>
      <c r="G20" s="47">
        <f>G22</f>
        <v>607.04441949136708</v>
      </c>
      <c r="H20" s="90" t="s">
        <v>151</v>
      </c>
      <c r="I20" s="78">
        <f t="shared" ref="I20:I25" si="1">D20</f>
        <v>0</v>
      </c>
      <c r="J20" s="48"/>
    </row>
    <row r="21" spans="2:10" s="49" customFormat="1">
      <c r="B21" s="46"/>
      <c r="C21" s="64" t="s">
        <v>1036</v>
      </c>
      <c r="D21" s="34">
        <f>E21+F21</f>
        <v>0</v>
      </c>
      <c r="E21" s="81">
        <f>-F21</f>
        <v>-499.56121765384722</v>
      </c>
      <c r="F21" s="81">
        <f>Gob_EOG!J46-Gob_EOG!J39</f>
        <v>499.56121765384722</v>
      </c>
      <c r="G21" s="50" t="s">
        <v>151</v>
      </c>
      <c r="H21" s="90" t="s">
        <v>156</v>
      </c>
      <c r="I21" s="78">
        <f t="shared" si="1"/>
        <v>0</v>
      </c>
      <c r="J21" s="48"/>
    </row>
    <row r="22" spans="2:10" s="49" customFormat="1">
      <c r="B22" s="46"/>
      <c r="C22" s="64" t="s">
        <v>1037</v>
      </c>
      <c r="D22" s="34">
        <f>D23+D24+D25</f>
        <v>0</v>
      </c>
      <c r="E22" s="81">
        <f>E23+E25</f>
        <v>-831.71351277158726</v>
      </c>
      <c r="F22" s="81">
        <f>F24</f>
        <v>224.66909328022024</v>
      </c>
      <c r="G22" s="34">
        <f>G23+G24+G25</f>
        <v>607.04441949136708</v>
      </c>
      <c r="H22" s="90" t="s">
        <v>151</v>
      </c>
      <c r="I22" s="78">
        <f t="shared" si="1"/>
        <v>0</v>
      </c>
      <c r="J22" s="48"/>
    </row>
    <row r="23" spans="2:10">
      <c r="B23" s="5"/>
      <c r="C23" s="73" t="s">
        <v>1014</v>
      </c>
      <c r="D23" s="34">
        <f>E23+G23</f>
        <v>0</v>
      </c>
      <c r="E23" s="81">
        <f>-G23</f>
        <v>-935.82354164421668</v>
      </c>
      <c r="F23" s="86" t="s">
        <v>151</v>
      </c>
      <c r="G23" s="34">
        <f>MON_PSD!J17-MON_PSD!I17</f>
        <v>935.82354164421668</v>
      </c>
      <c r="H23" s="90" t="s">
        <v>156</v>
      </c>
      <c r="I23" s="78">
        <f t="shared" si="1"/>
        <v>0</v>
      </c>
      <c r="J23" s="8"/>
    </row>
    <row r="24" spans="2:10">
      <c r="B24" s="5"/>
      <c r="C24" s="73" t="s">
        <v>1038</v>
      </c>
      <c r="D24" s="34">
        <f>F24+G24</f>
        <v>0</v>
      </c>
      <c r="E24" s="86" t="s">
        <v>151</v>
      </c>
      <c r="F24" s="81">
        <f>Gob_EOG!J45-Gob_EOG!J38</f>
        <v>224.66909328022024</v>
      </c>
      <c r="G24" s="34">
        <f>-MON_PSD!J11+MON_PSD!I11</f>
        <v>-224.66909328022018</v>
      </c>
      <c r="H24" s="90" t="s">
        <v>156</v>
      </c>
      <c r="I24" s="78">
        <f t="shared" si="1"/>
        <v>0</v>
      </c>
      <c r="J24" s="8"/>
    </row>
    <row r="25" spans="2:10">
      <c r="B25" s="5"/>
      <c r="C25" s="73" t="s">
        <v>1039</v>
      </c>
      <c r="D25" s="34">
        <f>E25+G25</f>
        <v>0</v>
      </c>
      <c r="E25" s="81">
        <f>-G25</f>
        <v>104.11002887262941</v>
      </c>
      <c r="F25" s="86" t="s">
        <v>151</v>
      </c>
      <c r="G25" s="34">
        <f>MON_PSD!I8-MON_PSD!J8-G24</f>
        <v>-104.11002887262941</v>
      </c>
      <c r="H25" s="90" t="s">
        <v>156</v>
      </c>
      <c r="I25" s="78">
        <f t="shared" si="1"/>
        <v>0</v>
      </c>
      <c r="J25" s="8"/>
    </row>
    <row r="26" spans="2:10" ht="15.75" thickBot="1">
      <c r="B26" s="5"/>
      <c r="C26" s="74"/>
      <c r="D26" s="61"/>
      <c r="E26" s="93"/>
      <c r="F26" s="94"/>
      <c r="G26" s="61"/>
      <c r="H26" s="91"/>
      <c r="I26" s="89"/>
      <c r="J26" s="8"/>
    </row>
    <row r="27" spans="2:10" ht="15.75" thickBot="1">
      <c r="B27" s="5"/>
      <c r="C27" s="37"/>
      <c r="D27" s="34"/>
      <c r="E27" s="34"/>
      <c r="F27" s="34"/>
      <c r="G27" s="34"/>
      <c r="H27" s="34"/>
      <c r="I27" s="34"/>
      <c r="J27" s="8"/>
    </row>
    <row r="28" spans="2:10" ht="15.75" thickBot="1">
      <c r="B28" s="5"/>
      <c r="C28" s="95" t="s">
        <v>208</v>
      </c>
      <c r="D28" s="96">
        <f>D12+D14</f>
        <v>-28.170749959898103</v>
      </c>
      <c r="E28" s="97">
        <f>D28-F28</f>
        <v>-28.170749959898103</v>
      </c>
      <c r="F28" s="97">
        <f>F12+F14</f>
        <v>0</v>
      </c>
      <c r="G28" s="96">
        <f>G12+G14</f>
        <v>1.1368683772161603E-12</v>
      </c>
      <c r="H28" s="98">
        <f>BP!J39*BP!J58/1000</f>
        <v>27.37813947540447</v>
      </c>
      <c r="I28" s="99">
        <f>D28+H28</f>
        <v>-0.79261048449363258</v>
      </c>
      <c r="J28" s="8"/>
    </row>
    <row r="29" spans="2:10" ht="15.75" thickBot="1">
      <c r="B29" s="5"/>
      <c r="C29" s="104"/>
      <c r="D29" s="47"/>
      <c r="E29" s="47"/>
      <c r="F29" s="47"/>
      <c r="G29" s="47"/>
      <c r="H29" s="47"/>
      <c r="I29" s="47"/>
      <c r="J29" s="8"/>
    </row>
    <row r="30" spans="2:10" ht="15.75" thickBot="1">
      <c r="B30" s="5"/>
      <c r="C30" s="95" t="s">
        <v>1040</v>
      </c>
      <c r="D30" s="96">
        <f>D12+D14-D28</f>
        <v>0</v>
      </c>
      <c r="E30" s="97">
        <f>E12+E14-E28</f>
        <v>9.0949470177292824E-13</v>
      </c>
      <c r="F30" s="97">
        <f>F12+F14-F28</f>
        <v>-6.8212102632969618E-13</v>
      </c>
      <c r="G30" s="96">
        <f>G12+G14-G28</f>
        <v>0</v>
      </c>
      <c r="H30" s="98">
        <f>H12+H14-H28</f>
        <v>1.5276668818842154E-13</v>
      </c>
      <c r="I30" s="98">
        <f>I12-I28-D30</f>
        <v>1.5276668818842154E-13</v>
      </c>
      <c r="J30" s="8"/>
    </row>
    <row r="31" spans="2:10" s="1" customFormat="1" ht="15" customHeight="1">
      <c r="B31" s="30"/>
      <c r="C31" s="36"/>
      <c r="D31" s="38"/>
      <c r="E31" s="38"/>
      <c r="F31" s="38"/>
      <c r="G31" s="38"/>
      <c r="H31" s="38"/>
      <c r="I31" s="38"/>
      <c r="J31" s="32"/>
    </row>
    <row r="32" spans="2:10">
      <c r="B32" s="5"/>
      <c r="C32" s="21" t="s">
        <v>1048</v>
      </c>
      <c r="D32" s="39"/>
      <c r="E32" s="39"/>
      <c r="F32" s="39"/>
      <c r="G32" s="39"/>
      <c r="H32" s="39"/>
      <c r="I32" s="39"/>
      <c r="J32" s="8"/>
    </row>
    <row r="33" spans="2:10">
      <c r="B33" s="5"/>
      <c r="C33" s="18" t="s">
        <v>1042</v>
      </c>
      <c r="D33" s="34"/>
      <c r="E33" s="45">
        <f>BP!J58</f>
        <v>510.78961259840202</v>
      </c>
      <c r="F33" s="34"/>
      <c r="G33" s="34"/>
      <c r="H33" s="29"/>
      <c r="I33" s="34"/>
      <c r="J33" s="8"/>
    </row>
    <row r="34" spans="2:10">
      <c r="B34" s="5"/>
      <c r="C34" s="36" t="s">
        <v>1043</v>
      </c>
      <c r="D34" s="39"/>
      <c r="E34" s="39">
        <f>BP!J5</f>
        <v>-2724.380135771657</v>
      </c>
      <c r="F34" s="39"/>
      <c r="G34" s="39"/>
      <c r="H34" s="29"/>
      <c r="I34" s="39"/>
      <c r="J34" s="8"/>
    </row>
    <row r="35" spans="2:10">
      <c r="B35" s="5"/>
      <c r="C35" s="18" t="s">
        <v>1044</v>
      </c>
      <c r="D35" s="34"/>
      <c r="E35" s="34">
        <f>BP!J19</f>
        <v>37.513906900000002</v>
      </c>
      <c r="F35" s="34"/>
      <c r="G35" s="34"/>
      <c r="H35" s="29"/>
      <c r="I35" s="34"/>
      <c r="J35" s="8"/>
    </row>
    <row r="36" spans="2:10">
      <c r="B36" s="5"/>
      <c r="C36" s="36" t="s">
        <v>1045</v>
      </c>
      <c r="D36" s="34"/>
      <c r="E36" s="34">
        <f>BP!J21+BP!J43</f>
        <v>-2633.2665886281306</v>
      </c>
      <c r="F36" s="34"/>
      <c r="G36" s="34"/>
      <c r="H36" s="29"/>
      <c r="I36" s="34"/>
      <c r="J36" s="8"/>
    </row>
    <row r="37" spans="2:10">
      <c r="B37" s="5"/>
      <c r="C37" s="36"/>
      <c r="D37" s="34"/>
      <c r="E37" s="34"/>
      <c r="F37" s="34"/>
      <c r="G37" s="34"/>
      <c r="H37" s="29"/>
      <c r="I37" s="34"/>
      <c r="J37" s="8"/>
    </row>
    <row r="38" spans="2:10">
      <c r="B38" s="5"/>
      <c r="C38" s="21" t="s">
        <v>683</v>
      </c>
      <c r="D38" s="34"/>
      <c r="E38" s="34"/>
      <c r="F38" s="34"/>
      <c r="G38" s="34"/>
      <c r="H38" s="29"/>
      <c r="I38" s="34"/>
      <c r="J38" s="8"/>
    </row>
    <row r="39" spans="2:10">
      <c r="B39" s="5"/>
      <c r="C39" s="36" t="s">
        <v>1046</v>
      </c>
      <c r="D39" s="34"/>
      <c r="E39" s="34"/>
      <c r="F39" s="34"/>
      <c r="G39" s="34"/>
      <c r="H39" s="29"/>
      <c r="I39" s="34"/>
      <c r="J39" s="8"/>
    </row>
    <row r="40" spans="2:10" ht="15.75" thickBot="1">
      <c r="B40" s="10"/>
      <c r="C40" s="11"/>
      <c r="D40" s="11"/>
      <c r="E40" s="11"/>
      <c r="F40" s="11"/>
      <c r="G40" s="11"/>
      <c r="H40" s="11"/>
      <c r="I40" s="11"/>
      <c r="J40" s="12"/>
    </row>
  </sheetData>
  <mergeCells count="5">
    <mergeCell ref="B2:J2"/>
    <mergeCell ref="B3:J3"/>
    <mergeCell ref="D4:G4"/>
    <mergeCell ref="H4:H5"/>
    <mergeCell ref="I4:I5"/>
  </mergeCells>
  <pageMargins left="0.7" right="0.7" top="0.75" bottom="0.75" header="0.3" footer="0.3"/>
  <pageSetup orientation="portrait" r:id="rId1"/>
  <ignoredErrors>
    <ignoredError sqref="D24"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2060"/>
  </sheetPr>
  <dimension ref="B1:J40"/>
  <sheetViews>
    <sheetView workbookViewId="0"/>
  </sheetViews>
  <sheetFormatPr baseColWidth="10" defaultColWidth="9.42578125" defaultRowHeight="15"/>
  <cols>
    <col min="1" max="1" width="9.42578125" style="2"/>
    <col min="2" max="2" width="2.5703125" style="3" customWidth="1"/>
    <col min="3" max="3" width="51.5703125" style="3" customWidth="1"/>
    <col min="4" max="4" width="11.42578125" style="4" customWidth="1"/>
    <col min="5" max="5" width="10.5703125" style="4" customWidth="1"/>
    <col min="6" max="6" width="12.5703125" style="4" customWidth="1"/>
    <col min="7" max="8" width="13.42578125" style="4" customWidth="1"/>
    <col min="9" max="9" width="11" style="4" customWidth="1"/>
    <col min="10" max="10" width="3.42578125" style="4" customWidth="1"/>
    <col min="11" max="16384" width="9.42578125" style="2"/>
  </cols>
  <sheetData>
    <row r="1" spans="2:10" ht="15.75" thickBot="1"/>
    <row r="2" spans="2:10" s="1" customFormat="1" ht="33" customHeight="1">
      <c r="B2" s="1169" t="s">
        <v>1049</v>
      </c>
      <c r="C2" s="1170"/>
      <c r="D2" s="1170"/>
      <c r="E2" s="1170"/>
      <c r="F2" s="1170"/>
      <c r="G2" s="1170"/>
      <c r="H2" s="1170"/>
      <c r="I2" s="1170"/>
      <c r="J2" s="1171"/>
    </row>
    <row r="3" spans="2:10" s="1" customFormat="1" ht="33" customHeight="1" thickBot="1">
      <c r="B3" s="1172" t="s">
        <v>225</v>
      </c>
      <c r="C3" s="1173"/>
      <c r="D3" s="1173"/>
      <c r="E3" s="1173"/>
      <c r="F3" s="1173"/>
      <c r="G3" s="1173"/>
      <c r="H3" s="1173"/>
      <c r="I3" s="1173"/>
      <c r="J3" s="1174"/>
    </row>
    <row r="4" spans="2:10" s="1" customFormat="1" ht="33" customHeight="1">
      <c r="B4" s="30"/>
      <c r="C4" s="31"/>
      <c r="D4" s="1175" t="s">
        <v>1024</v>
      </c>
      <c r="E4" s="1176"/>
      <c r="F4" s="1176"/>
      <c r="G4" s="1177"/>
      <c r="H4" s="1178" t="s">
        <v>1025</v>
      </c>
      <c r="I4" s="1180" t="s">
        <v>1026</v>
      </c>
      <c r="J4" s="32"/>
    </row>
    <row r="5" spans="2:10" s="1" customFormat="1" ht="33" customHeight="1" thickBot="1">
      <c r="B5" s="14"/>
      <c r="C5" s="16"/>
      <c r="D5" s="44" t="s">
        <v>265</v>
      </c>
      <c r="E5" s="51" t="s">
        <v>1027</v>
      </c>
      <c r="F5" s="51" t="s">
        <v>375</v>
      </c>
      <c r="G5" s="52" t="s">
        <v>1028</v>
      </c>
      <c r="H5" s="1179"/>
      <c r="I5" s="1181"/>
      <c r="J5" s="15"/>
    </row>
    <row r="6" spans="2:10">
      <c r="B6" s="6"/>
      <c r="C6" s="67" t="s">
        <v>1029</v>
      </c>
      <c r="D6" s="58"/>
      <c r="E6" s="83"/>
      <c r="F6" s="83"/>
      <c r="G6" s="53"/>
      <c r="H6" s="77"/>
      <c r="I6" s="54"/>
      <c r="J6" s="8"/>
    </row>
    <row r="7" spans="2:10">
      <c r="B7" s="6"/>
      <c r="C7" s="68"/>
      <c r="D7" s="59"/>
      <c r="E7" s="81"/>
      <c r="F7" s="81"/>
      <c r="G7" s="34"/>
      <c r="H7" s="78"/>
      <c r="I7" s="56"/>
      <c r="J7" s="8"/>
    </row>
    <row r="8" spans="2:10" s="1" customFormat="1" ht="15" customHeight="1">
      <c r="B8" s="30"/>
      <c r="C8" s="62" t="s">
        <v>1030</v>
      </c>
      <c r="D8" s="66">
        <f>PIB_Nominal!K21</f>
        <v>23369.291713949642</v>
      </c>
      <c r="E8" s="82">
        <f>D8-F8</f>
        <v>23035.781964089059</v>
      </c>
      <c r="F8" s="82">
        <f>Gob_EOG!K5-Gob_EOG!K22-Gob_EOG!K23-Gob_EOG!K24-Gob_EOG!K19</f>
        <v>333.50974986058463</v>
      </c>
      <c r="G8" s="43" t="s">
        <v>151</v>
      </c>
      <c r="H8" s="79" t="s">
        <v>156</v>
      </c>
      <c r="I8" s="55" t="s">
        <v>156</v>
      </c>
      <c r="J8" s="32"/>
    </row>
    <row r="9" spans="2:10">
      <c r="B9" s="6"/>
      <c r="C9" s="62" t="s">
        <v>700</v>
      </c>
      <c r="D9" s="66">
        <f>PIB_Nominal!K7</f>
        <v>19985.487114723568</v>
      </c>
      <c r="E9" s="82">
        <f>D9-F9</f>
        <v>17816.309375955734</v>
      </c>
      <c r="F9" s="82">
        <f>Gob_EOG!K16+Gob_EOG!K17</f>
        <v>2169.1777387678339</v>
      </c>
      <c r="G9" s="43" t="s">
        <v>151</v>
      </c>
      <c r="H9" s="79" t="s">
        <v>156</v>
      </c>
      <c r="I9" s="55" t="s">
        <v>156</v>
      </c>
      <c r="J9" s="8"/>
    </row>
    <row r="10" spans="2:10">
      <c r="B10" s="6"/>
      <c r="C10" s="63" t="s">
        <v>173</v>
      </c>
      <c r="D10" s="66">
        <f>PIB_Nominal!K10</f>
        <v>4957.1099520326898</v>
      </c>
      <c r="E10" s="82">
        <f>D10-F10</f>
        <v>4912.9406312757619</v>
      </c>
      <c r="F10" s="82">
        <f>Gob_EOG!K29+Gob_EOG!K33</f>
        <v>44.16932075692813</v>
      </c>
      <c r="G10" s="43" t="s">
        <v>151</v>
      </c>
      <c r="H10" s="79" t="s">
        <v>156</v>
      </c>
      <c r="I10" s="55" t="s">
        <v>156</v>
      </c>
      <c r="J10" s="8"/>
    </row>
    <row r="11" spans="2:10">
      <c r="B11" s="6"/>
      <c r="C11" s="69"/>
      <c r="D11" s="66"/>
      <c r="E11" s="82"/>
      <c r="F11" s="82"/>
      <c r="G11" s="43"/>
      <c r="H11" s="79"/>
      <c r="I11" s="55"/>
      <c r="J11" s="8"/>
    </row>
    <row r="12" spans="2:10" ht="15.75" thickBot="1">
      <c r="B12" s="6"/>
      <c r="C12" s="65" t="s">
        <v>1031</v>
      </c>
      <c r="D12" s="60">
        <f>D8-D9-D10</f>
        <v>-1573.3053528066157</v>
      </c>
      <c r="E12" s="84">
        <f>E8-E9-E10</f>
        <v>306.53195685756327</v>
      </c>
      <c r="F12" s="84">
        <f>F8-F9-F10</f>
        <v>-1879.8373096641774</v>
      </c>
      <c r="G12" s="75">
        <v>0</v>
      </c>
      <c r="H12" s="80">
        <f>-E34*E33/1000</f>
        <v>1569.3610364662295</v>
      </c>
      <c r="I12" s="57">
        <f>D12+H12</f>
        <v>-3.9443163403861945</v>
      </c>
      <c r="J12" s="8"/>
    </row>
    <row r="13" spans="2:10" ht="15.75" thickBot="1">
      <c r="B13" s="6"/>
      <c r="C13" s="35"/>
      <c r="D13" s="34"/>
      <c r="E13" s="34"/>
      <c r="F13" s="34"/>
      <c r="G13" s="34"/>
      <c r="H13" s="34"/>
      <c r="I13" s="34"/>
      <c r="J13" s="8"/>
    </row>
    <row r="14" spans="2:10">
      <c r="B14" s="6"/>
      <c r="C14" s="71" t="s">
        <v>1032</v>
      </c>
      <c r="D14" s="70">
        <f>D16+D20</f>
        <v>1480.467128808451</v>
      </c>
      <c r="E14" s="92">
        <f>E16+E20</f>
        <v>-399.37018085572504</v>
      </c>
      <c r="F14" s="92">
        <f>F16+F20</f>
        <v>1879.8373096641776</v>
      </c>
      <c r="G14" s="76">
        <f>G16+G20</f>
        <v>-1.3642420526593924E-12</v>
      </c>
      <c r="H14" s="87">
        <f>H16</f>
        <v>-1569.3610364662293</v>
      </c>
      <c r="I14" s="87">
        <f>D14+H14</f>
        <v>-88.8939076577783</v>
      </c>
      <c r="J14" s="8"/>
    </row>
    <row r="15" spans="2:10">
      <c r="B15" s="6"/>
      <c r="C15" s="72"/>
      <c r="D15" s="34"/>
      <c r="E15" s="81"/>
      <c r="F15" s="81"/>
      <c r="G15" s="34"/>
      <c r="H15" s="78"/>
      <c r="I15" s="78"/>
      <c r="J15" s="8"/>
    </row>
    <row r="16" spans="2:10" s="49" customFormat="1">
      <c r="B16" s="46"/>
      <c r="C16" s="68" t="s">
        <v>1033</v>
      </c>
      <c r="D16" s="47">
        <f>D17+D18</f>
        <v>1569.3610364662293</v>
      </c>
      <c r="E16" s="85">
        <f>E17+E18</f>
        <v>1363.6561507824099</v>
      </c>
      <c r="F16" s="85">
        <f>F17+F18</f>
        <v>284.94918906593182</v>
      </c>
      <c r="G16" s="47">
        <f>G17+G18</f>
        <v>-79.244303382112321</v>
      </c>
      <c r="H16" s="88">
        <f>-D16</f>
        <v>-1569.3610364662293</v>
      </c>
      <c r="I16" s="88">
        <f>D16+H16</f>
        <v>0</v>
      </c>
      <c r="J16" s="48"/>
    </row>
    <row r="17" spans="2:10">
      <c r="B17" s="6"/>
      <c r="C17" s="64" t="s">
        <v>324</v>
      </c>
      <c r="D17" s="34">
        <f>E35*E33/1000</f>
        <v>4.771971287432673</v>
      </c>
      <c r="E17" s="81">
        <f>D17-F17-G17</f>
        <v>4.771971287432673</v>
      </c>
      <c r="F17" s="81">
        <v>0</v>
      </c>
      <c r="G17" s="34">
        <v>0</v>
      </c>
      <c r="H17" s="78">
        <f>-D17</f>
        <v>-4.771971287432673</v>
      </c>
      <c r="I17" s="78">
        <f>D17+H17</f>
        <v>0</v>
      </c>
      <c r="J17" s="8"/>
    </row>
    <row r="18" spans="2:10">
      <c r="B18" s="6"/>
      <c r="C18" s="64" t="s">
        <v>1034</v>
      </c>
      <c r="D18" s="34">
        <f>-E36*E33/1000</f>
        <v>1564.5890651787965</v>
      </c>
      <c r="E18" s="81">
        <f>D18-F18-G18</f>
        <v>1358.8841794949772</v>
      </c>
      <c r="F18" s="81">
        <f>Gob_EOG!K47-Gob_EOG!K42</f>
        <v>284.94918906593182</v>
      </c>
      <c r="G18" s="34">
        <f>-MON_PSD!K7+MON_PSD!J7</f>
        <v>-79.244303382112321</v>
      </c>
      <c r="H18" s="78">
        <f>-D18</f>
        <v>-1564.5890651787965</v>
      </c>
      <c r="I18" s="78">
        <f>D18+H18</f>
        <v>0</v>
      </c>
      <c r="J18" s="8"/>
    </row>
    <row r="19" spans="2:10">
      <c r="B19" s="6"/>
      <c r="C19" s="64"/>
      <c r="D19" s="34"/>
      <c r="E19" s="81"/>
      <c r="F19" s="81"/>
      <c r="G19" s="34"/>
      <c r="H19" s="78"/>
      <c r="I19" s="78"/>
      <c r="J19" s="8"/>
    </row>
    <row r="20" spans="2:10" s="49" customFormat="1">
      <c r="B20" s="46"/>
      <c r="C20" s="68" t="s">
        <v>1035</v>
      </c>
      <c r="D20" s="47">
        <f>E20+F20+G20</f>
        <v>-88.8939076577783</v>
      </c>
      <c r="E20" s="85">
        <f>E21+E22</f>
        <v>-1763.0263316381349</v>
      </c>
      <c r="F20" s="85">
        <f>F21+F22</f>
        <v>1594.8881205982457</v>
      </c>
      <c r="G20" s="47">
        <f>G22</f>
        <v>79.244303382110957</v>
      </c>
      <c r="H20" s="90" t="s">
        <v>151</v>
      </c>
      <c r="I20" s="78">
        <f t="shared" ref="I20:I25" si="0">D20</f>
        <v>-88.8939076577783</v>
      </c>
      <c r="J20" s="48"/>
    </row>
    <row r="21" spans="2:10" s="49" customFormat="1">
      <c r="B21" s="46"/>
      <c r="C21" s="64" t="s">
        <v>1036</v>
      </c>
      <c r="D21" s="34">
        <f>E21+F21</f>
        <v>0</v>
      </c>
      <c r="E21" s="81">
        <f>-F21</f>
        <v>-1116.421684418772</v>
      </c>
      <c r="F21" s="81">
        <f>Gob_EOG!K46-Gob_EOG!K39</f>
        <v>1116.421684418772</v>
      </c>
      <c r="G21" s="50" t="s">
        <v>151</v>
      </c>
      <c r="H21" s="90" t="s">
        <v>156</v>
      </c>
      <c r="I21" s="78">
        <f t="shared" si="0"/>
        <v>0</v>
      </c>
      <c r="J21" s="48"/>
    </row>
    <row r="22" spans="2:10" s="49" customFormat="1">
      <c r="B22" s="46"/>
      <c r="C22" s="64" t="s">
        <v>1037</v>
      </c>
      <c r="D22" s="34">
        <f>D23+D24+D25</f>
        <v>-88.8939076577783</v>
      </c>
      <c r="E22" s="81">
        <f>E23+E25</f>
        <v>-646.60464721936296</v>
      </c>
      <c r="F22" s="81">
        <f>F24</f>
        <v>478.4664361794737</v>
      </c>
      <c r="G22" s="34">
        <f>G23+G24+G25</f>
        <v>79.244303382110957</v>
      </c>
      <c r="H22" s="90" t="s">
        <v>151</v>
      </c>
      <c r="I22" s="78">
        <f t="shared" si="0"/>
        <v>-88.8939076577783</v>
      </c>
      <c r="J22" s="48"/>
    </row>
    <row r="23" spans="2:10">
      <c r="B23" s="5"/>
      <c r="C23" s="73" t="s">
        <v>1014</v>
      </c>
      <c r="D23" s="34">
        <f>E23+G23</f>
        <v>0</v>
      </c>
      <c r="E23" s="81">
        <f>-G23</f>
        <v>-1009.8356193564996</v>
      </c>
      <c r="F23" s="86" t="s">
        <v>151</v>
      </c>
      <c r="G23" s="34">
        <f>MON_PSD!K17-MON_PSD!J17</f>
        <v>1009.8356193564996</v>
      </c>
      <c r="H23" s="90" t="s">
        <v>156</v>
      </c>
      <c r="I23" s="78">
        <f t="shared" si="0"/>
        <v>0</v>
      </c>
      <c r="J23" s="8"/>
    </row>
    <row r="24" spans="2:10">
      <c r="B24" s="5"/>
      <c r="C24" s="73" t="s">
        <v>1038</v>
      </c>
      <c r="D24" s="34">
        <f>F24+G24</f>
        <v>-88.8939076577783</v>
      </c>
      <c r="E24" s="86" t="s">
        <v>151</v>
      </c>
      <c r="F24" s="81">
        <f>Gob_EOG!K45-Gob_EOG!K38</f>
        <v>478.4664361794737</v>
      </c>
      <c r="G24" s="34">
        <f>-MON_PSD!K11+MON_PSD!J11</f>
        <v>-567.360343837252</v>
      </c>
      <c r="H24" s="90" t="s">
        <v>156</v>
      </c>
      <c r="I24" s="78">
        <f t="shared" si="0"/>
        <v>-88.8939076577783</v>
      </c>
      <c r="J24" s="8"/>
    </row>
    <row r="25" spans="2:10">
      <c r="B25" s="5"/>
      <c r="C25" s="73" t="s">
        <v>1039</v>
      </c>
      <c r="D25" s="34">
        <f>E25+G25</f>
        <v>0</v>
      </c>
      <c r="E25" s="81">
        <f>-G25</f>
        <v>363.23097213713663</v>
      </c>
      <c r="F25" s="86" t="s">
        <v>151</v>
      </c>
      <c r="G25" s="34">
        <f>MON_PSD!J8-MON_PSD!K8-G24</f>
        <v>-363.23097213713663</v>
      </c>
      <c r="H25" s="90" t="s">
        <v>156</v>
      </c>
      <c r="I25" s="78">
        <f t="shared" si="0"/>
        <v>0</v>
      </c>
      <c r="J25" s="8"/>
    </row>
    <row r="26" spans="2:10" ht="15.75" thickBot="1">
      <c r="B26" s="5"/>
      <c r="C26" s="74"/>
      <c r="D26" s="61"/>
      <c r="E26" s="93"/>
      <c r="F26" s="94"/>
      <c r="G26" s="61"/>
      <c r="H26" s="91"/>
      <c r="I26" s="89"/>
      <c r="J26" s="8"/>
    </row>
    <row r="27" spans="2:10" ht="15.75" thickBot="1">
      <c r="B27" s="5"/>
      <c r="C27" s="37"/>
      <c r="D27" s="34"/>
      <c r="E27" s="34"/>
      <c r="F27" s="34"/>
      <c r="G27" s="34"/>
      <c r="H27" s="34"/>
      <c r="I27" s="34"/>
      <c r="J27" s="8"/>
    </row>
    <row r="28" spans="2:10" ht="15.75" thickBot="1">
      <c r="B28" s="5"/>
      <c r="C28" s="95" t="s">
        <v>208</v>
      </c>
      <c r="D28" s="96">
        <f>D12+D14</f>
        <v>-92.838223998164722</v>
      </c>
      <c r="E28" s="97">
        <f>D28-F28</f>
        <v>-92.838223998164722</v>
      </c>
      <c r="F28" s="97">
        <f>F12+F14</f>
        <v>0</v>
      </c>
      <c r="G28" s="96">
        <f>G12+G14</f>
        <v>-1.3642420526593924E-12</v>
      </c>
      <c r="H28" s="98">
        <f>BP!L39*BP!L58/1000</f>
        <v>0</v>
      </c>
      <c r="I28" s="98">
        <f>D28+H28</f>
        <v>-92.838223998164722</v>
      </c>
      <c r="J28" s="8"/>
    </row>
    <row r="29" spans="2:10" ht="15.75" thickBot="1">
      <c r="B29" s="5"/>
      <c r="C29" s="104"/>
      <c r="D29" s="47"/>
      <c r="E29" s="47"/>
      <c r="F29" s="47"/>
      <c r="G29" s="47"/>
      <c r="H29" s="47"/>
      <c r="I29" s="47"/>
      <c r="J29" s="8"/>
    </row>
    <row r="30" spans="2:10" ht="15.75" thickBot="1">
      <c r="B30" s="5"/>
      <c r="C30" s="95" t="s">
        <v>1040</v>
      </c>
      <c r="D30" s="96">
        <f>D12+D14-D28</f>
        <v>0</v>
      </c>
      <c r="E30" s="97">
        <f>E12+E14-E28</f>
        <v>2.9558577807620168E-12</v>
      </c>
      <c r="F30" s="97">
        <f>F12+F14-F28</f>
        <v>2.2737367544323206E-13</v>
      </c>
      <c r="G30" s="96">
        <f>G12+G14-G28</f>
        <v>0</v>
      </c>
      <c r="H30" s="98">
        <f>H12+H14-H28</f>
        <v>2.2737367544323206E-13</v>
      </c>
      <c r="I30" s="98">
        <f>I12-I28-D30</f>
        <v>88.893907657778527</v>
      </c>
      <c r="J30" s="8"/>
    </row>
    <row r="31" spans="2:10" s="1" customFormat="1" ht="15" customHeight="1">
      <c r="B31" s="30"/>
      <c r="C31" s="36"/>
      <c r="D31" s="38"/>
      <c r="E31" s="38"/>
      <c r="F31" s="38"/>
      <c r="G31" s="38"/>
      <c r="H31" s="38"/>
      <c r="I31" s="38"/>
      <c r="J31" s="32"/>
    </row>
    <row r="32" spans="2:10">
      <c r="B32" s="5"/>
      <c r="C32" s="21" t="s">
        <v>1048</v>
      </c>
      <c r="D32" s="39"/>
      <c r="E32" s="39"/>
      <c r="F32" s="39"/>
      <c r="G32" s="39"/>
      <c r="H32" s="39"/>
      <c r="I32" s="39"/>
      <c r="J32" s="8"/>
    </row>
    <row r="33" spans="2:10">
      <c r="B33" s="5"/>
      <c r="C33" s="18" t="s">
        <v>1042</v>
      </c>
      <c r="D33" s="34"/>
      <c r="E33" s="164">
        <f>BP!K58</f>
        <v>530.21903193696369</v>
      </c>
      <c r="F33" s="34"/>
      <c r="G33" s="34"/>
      <c r="H33" s="29"/>
      <c r="I33" s="34"/>
      <c r="J33" s="8"/>
    </row>
    <row r="34" spans="2:10">
      <c r="B34" s="5"/>
      <c r="C34" s="36" t="s">
        <v>1043</v>
      </c>
      <c r="D34" s="39"/>
      <c r="E34" s="164">
        <f>BP!K5</f>
        <v>-2959.8353547082907</v>
      </c>
      <c r="F34" s="39"/>
      <c r="G34" s="39"/>
      <c r="H34" s="29"/>
      <c r="I34" s="39"/>
      <c r="J34" s="8"/>
    </row>
    <row r="35" spans="2:10">
      <c r="B35" s="5"/>
      <c r="C35" s="18" t="s">
        <v>1044</v>
      </c>
      <c r="D35" s="34"/>
      <c r="E35" s="164">
        <f>BP!K19</f>
        <v>9</v>
      </c>
      <c r="F35" s="34"/>
      <c r="G35" s="34"/>
      <c r="H35" s="29"/>
      <c r="I35" s="34"/>
      <c r="J35" s="8"/>
    </row>
    <row r="36" spans="2:10">
      <c r="B36" s="5"/>
      <c r="C36" s="36" t="s">
        <v>1045</v>
      </c>
      <c r="D36" s="34"/>
      <c r="E36" s="164">
        <f>BP!K21+BP!K43</f>
        <v>-2950.8353547082907</v>
      </c>
      <c r="F36" s="34"/>
      <c r="G36" s="34"/>
      <c r="H36" s="29"/>
      <c r="I36" s="34"/>
      <c r="J36" s="8"/>
    </row>
    <row r="37" spans="2:10">
      <c r="B37" s="5"/>
      <c r="C37" s="36"/>
      <c r="D37" s="34"/>
      <c r="E37" s="34"/>
      <c r="F37" s="34"/>
      <c r="G37" s="34"/>
      <c r="H37" s="29"/>
      <c r="I37" s="34"/>
      <c r="J37" s="8"/>
    </row>
    <row r="38" spans="2:10">
      <c r="B38" s="5"/>
      <c r="C38" s="21" t="s">
        <v>683</v>
      </c>
      <c r="D38" s="34"/>
      <c r="E38" s="34"/>
      <c r="F38" s="34"/>
      <c r="G38" s="34"/>
      <c r="H38" s="29"/>
      <c r="I38" s="34"/>
      <c r="J38" s="8"/>
    </row>
    <row r="39" spans="2:10">
      <c r="B39" s="5"/>
      <c r="C39" s="36" t="s">
        <v>1046</v>
      </c>
      <c r="D39" s="34"/>
      <c r="E39" s="34"/>
      <c r="F39" s="34"/>
      <c r="G39" s="34"/>
      <c r="H39" s="29"/>
      <c r="I39" s="34"/>
      <c r="J39" s="8"/>
    </row>
    <row r="40" spans="2:10" ht="15.75" thickBot="1">
      <c r="B40" s="10"/>
      <c r="C40" s="11"/>
      <c r="D40" s="11"/>
      <c r="E40" s="11"/>
      <c r="F40" s="11"/>
      <c r="G40" s="11"/>
      <c r="H40" s="11"/>
      <c r="I40" s="11"/>
      <c r="J40" s="12"/>
    </row>
  </sheetData>
  <mergeCells count="5">
    <mergeCell ref="B2:J2"/>
    <mergeCell ref="B3:J3"/>
    <mergeCell ref="D4:G4"/>
    <mergeCell ref="H4:H5"/>
    <mergeCell ref="I4:I5"/>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2060"/>
  </sheetPr>
  <dimension ref="B1:J40"/>
  <sheetViews>
    <sheetView topLeftCell="A13" workbookViewId="0"/>
  </sheetViews>
  <sheetFormatPr baseColWidth="10" defaultColWidth="9.42578125" defaultRowHeight="15"/>
  <cols>
    <col min="1" max="1" width="9.42578125" style="2"/>
    <col min="2" max="2" width="2.5703125" style="3" customWidth="1"/>
    <col min="3" max="3" width="55.42578125" style="3" customWidth="1"/>
    <col min="4" max="4" width="11.42578125" style="4" customWidth="1"/>
    <col min="5" max="5" width="10.5703125" style="4" customWidth="1"/>
    <col min="6" max="6" width="12.5703125" style="4" customWidth="1"/>
    <col min="7" max="8" width="13.42578125" style="4" customWidth="1"/>
    <col min="9" max="9" width="11" style="4" customWidth="1"/>
    <col min="10" max="10" width="3.42578125" style="4" customWidth="1"/>
    <col min="11" max="16384" width="9.42578125" style="2"/>
  </cols>
  <sheetData>
    <row r="1" spans="2:10" ht="15.75" thickBot="1"/>
    <row r="2" spans="2:10" s="1" customFormat="1" ht="33" customHeight="1">
      <c r="B2" s="1169" t="s">
        <v>1050</v>
      </c>
      <c r="C2" s="1170"/>
      <c r="D2" s="1170"/>
      <c r="E2" s="1170"/>
      <c r="F2" s="1170"/>
      <c r="G2" s="1170"/>
      <c r="H2" s="1170"/>
      <c r="I2" s="1170"/>
      <c r="J2" s="1171"/>
    </row>
    <row r="3" spans="2:10" s="1" customFormat="1" ht="33" customHeight="1" thickBot="1">
      <c r="B3" s="1172" t="s">
        <v>225</v>
      </c>
      <c r="C3" s="1173"/>
      <c r="D3" s="1173"/>
      <c r="E3" s="1173"/>
      <c r="F3" s="1173"/>
      <c r="G3" s="1173"/>
      <c r="H3" s="1173"/>
      <c r="I3" s="1173"/>
      <c r="J3" s="1174"/>
    </row>
    <row r="4" spans="2:10" s="1" customFormat="1" ht="33" customHeight="1">
      <c r="B4" s="30"/>
      <c r="C4" s="31"/>
      <c r="D4" s="1175" t="s">
        <v>1024</v>
      </c>
      <c r="E4" s="1176"/>
      <c r="F4" s="1176"/>
      <c r="G4" s="1177"/>
      <c r="H4" s="1178" t="s">
        <v>1025</v>
      </c>
      <c r="I4" s="1180" t="s">
        <v>1026</v>
      </c>
      <c r="J4" s="32"/>
    </row>
    <row r="5" spans="2:10" s="1" customFormat="1" ht="33" customHeight="1" thickBot="1">
      <c r="B5" s="14"/>
      <c r="C5" s="16"/>
      <c r="D5" s="44" t="s">
        <v>265</v>
      </c>
      <c r="E5" s="51" t="s">
        <v>1027</v>
      </c>
      <c r="F5" s="51" t="s">
        <v>375</v>
      </c>
      <c r="G5" s="52" t="s">
        <v>1028</v>
      </c>
      <c r="H5" s="1179"/>
      <c r="I5" s="1181"/>
      <c r="J5" s="15"/>
    </row>
    <row r="6" spans="2:10">
      <c r="B6" s="6"/>
      <c r="C6" s="67" t="s">
        <v>1029</v>
      </c>
      <c r="D6" s="58"/>
      <c r="E6" s="83"/>
      <c r="F6" s="83"/>
      <c r="G6" s="53"/>
      <c r="H6" s="77"/>
      <c r="I6" s="54"/>
      <c r="J6" s="8"/>
    </row>
    <row r="7" spans="2:10">
      <c r="B7" s="6"/>
      <c r="C7" s="68"/>
      <c r="D7" s="59"/>
      <c r="E7" s="81"/>
      <c r="F7" s="81"/>
      <c r="G7" s="34"/>
      <c r="H7" s="78"/>
      <c r="I7" s="56"/>
      <c r="J7" s="8"/>
    </row>
    <row r="8" spans="2:10" s="1" customFormat="1" ht="15" customHeight="1">
      <c r="B8" s="30"/>
      <c r="C8" s="62" t="s">
        <v>1030</v>
      </c>
      <c r="D8" s="66">
        <f>PIB_Nominal!L21</f>
        <v>26413.196140664913</v>
      </c>
      <c r="E8" s="82">
        <f>D8-F8</f>
        <v>26920.412612198448</v>
      </c>
      <c r="F8" s="82">
        <f>Gob_EOG!L5-Gob_EOG!L22-Gob_EOG!L23-Gob_EOG!L24-Gob_EOG!L19</f>
        <v>-507.21647153353388</v>
      </c>
      <c r="G8" s="43" t="s">
        <v>151</v>
      </c>
      <c r="H8" s="79" t="s">
        <v>156</v>
      </c>
      <c r="I8" s="55" t="s">
        <v>156</v>
      </c>
      <c r="J8" s="32"/>
    </row>
    <row r="9" spans="2:10">
      <c r="B9" s="6"/>
      <c r="C9" s="62" t="s">
        <v>700</v>
      </c>
      <c r="D9" s="66">
        <f>PIB_Nominal!L7</f>
        <v>22689.508514864097</v>
      </c>
      <c r="E9" s="82">
        <f>D9-F9</f>
        <v>19894.941834958059</v>
      </c>
      <c r="F9" s="82">
        <f>Gob_EOG!L16+Gob_EOG!L17</f>
        <v>2794.5666799060377</v>
      </c>
      <c r="G9" s="43" t="s">
        <v>151</v>
      </c>
      <c r="H9" s="79" t="s">
        <v>156</v>
      </c>
      <c r="I9" s="55" t="s">
        <v>156</v>
      </c>
      <c r="J9" s="8"/>
    </row>
    <row r="10" spans="2:10">
      <c r="B10" s="6"/>
      <c r="C10" s="63" t="s">
        <v>173</v>
      </c>
      <c r="D10" s="66">
        <f>PIB_Nominal!L10</f>
        <v>5598.6359160792381</v>
      </c>
      <c r="E10" s="82">
        <f>D10-F10</f>
        <v>5548.7504086018098</v>
      </c>
      <c r="F10" s="82">
        <f>Gob_EOG!L29+Gob_EOG!L33</f>
        <v>49.885507477428504</v>
      </c>
      <c r="G10" s="43" t="s">
        <v>151</v>
      </c>
      <c r="H10" s="79" t="s">
        <v>156</v>
      </c>
      <c r="I10" s="55" t="s">
        <v>156</v>
      </c>
      <c r="J10" s="8"/>
    </row>
    <row r="11" spans="2:10">
      <c r="B11" s="6"/>
      <c r="C11" s="69"/>
      <c r="D11" s="66"/>
      <c r="E11" s="82"/>
      <c r="F11" s="82"/>
      <c r="G11" s="43"/>
      <c r="H11" s="79"/>
      <c r="I11" s="55"/>
      <c r="J11" s="8"/>
    </row>
    <row r="12" spans="2:10" ht="15.75" thickBot="1">
      <c r="B12" s="6"/>
      <c r="C12" s="65" t="s">
        <v>1031</v>
      </c>
      <c r="D12" s="60">
        <f>D8-D9-D10</f>
        <v>-1874.9482902784221</v>
      </c>
      <c r="E12" s="84">
        <f>E8-E9-E10</f>
        <v>1476.7203686385792</v>
      </c>
      <c r="F12" s="84">
        <f>F8-F9-F10</f>
        <v>-3351.6686589169999</v>
      </c>
      <c r="G12" s="75">
        <v>0</v>
      </c>
      <c r="H12" s="80">
        <f>-E34*E33/1000</f>
        <v>1874.9482902784173</v>
      </c>
      <c r="I12" s="57">
        <f>D12+H12</f>
        <v>-4.7748471843078732E-12</v>
      </c>
      <c r="J12" s="8"/>
    </row>
    <row r="13" spans="2:10" ht="15.75" thickBot="1">
      <c r="B13" s="6"/>
      <c r="C13" s="35"/>
      <c r="D13" s="34"/>
      <c r="E13" s="34"/>
      <c r="F13" s="34"/>
      <c r="G13" s="34"/>
      <c r="H13" s="34"/>
      <c r="I13" s="34"/>
      <c r="J13" s="8"/>
    </row>
    <row r="14" spans="2:10">
      <c r="B14" s="6"/>
      <c r="C14" s="71" t="s">
        <v>1032</v>
      </c>
      <c r="D14" s="70">
        <f>D16+D20</f>
        <v>1874.9482902784175</v>
      </c>
      <c r="E14" s="92">
        <f>E16+E20</f>
        <v>-1476.7203686385837</v>
      </c>
      <c r="F14" s="92">
        <f>F16+F20</f>
        <v>3351.6686589170004</v>
      </c>
      <c r="G14" s="76">
        <f>G16+G20</f>
        <v>9.0949470177292824E-13</v>
      </c>
      <c r="H14" s="87">
        <f>H16</f>
        <v>-1874.9482902784175</v>
      </c>
      <c r="I14" s="87">
        <f>D14+H14</f>
        <v>0</v>
      </c>
      <c r="J14" s="8"/>
    </row>
    <row r="15" spans="2:10">
      <c r="B15" s="6"/>
      <c r="C15" s="72"/>
      <c r="D15" s="34"/>
      <c r="E15" s="81"/>
      <c r="F15" s="81"/>
      <c r="G15" s="34"/>
      <c r="H15" s="78"/>
      <c r="I15" s="78"/>
      <c r="J15" s="8"/>
    </row>
    <row r="16" spans="2:10" s="49" customFormat="1">
      <c r="B16" s="46"/>
      <c r="C16" s="68" t="s">
        <v>1033</v>
      </c>
      <c r="D16" s="47">
        <f>D17+D18</f>
        <v>1874.9482902784175</v>
      </c>
      <c r="E16" s="85">
        <f>E17+E18</f>
        <v>1441.0110395298361</v>
      </c>
      <c r="F16" s="85">
        <f>F17+F18</f>
        <v>300</v>
      </c>
      <c r="G16" s="47">
        <f>G17+G18</f>
        <v>133.93725074858139</v>
      </c>
      <c r="H16" s="88">
        <f>-D16</f>
        <v>-1874.9482902784175</v>
      </c>
      <c r="I16" s="88">
        <f>D16+H16</f>
        <v>0</v>
      </c>
      <c r="J16" s="48"/>
    </row>
    <row r="17" spans="2:10">
      <c r="B17" s="6"/>
      <c r="C17" s="64" t="s">
        <v>324</v>
      </c>
      <c r="D17" s="34">
        <f>E35*E33/1000</f>
        <v>5.0683306128982855</v>
      </c>
      <c r="E17" s="81">
        <f>D17-F17-G17</f>
        <v>5.0683306128982855</v>
      </c>
      <c r="F17" s="81">
        <v>0</v>
      </c>
      <c r="G17" s="34">
        <v>0</v>
      </c>
      <c r="H17" s="78">
        <f>-D17</f>
        <v>-5.0683306128982855</v>
      </c>
      <c r="I17" s="78">
        <f>D17+H17</f>
        <v>0</v>
      </c>
      <c r="J17" s="8"/>
    </row>
    <row r="18" spans="2:10">
      <c r="B18" s="6"/>
      <c r="C18" s="64" t="s">
        <v>1034</v>
      </c>
      <c r="D18" s="34">
        <f>-E36*E33/1000</f>
        <v>1869.8799596655192</v>
      </c>
      <c r="E18" s="81">
        <f>D18-F18-G18</f>
        <v>1435.9427089169378</v>
      </c>
      <c r="F18" s="81">
        <f>Gob_EOG!L47-Gob_EOG!L42</f>
        <v>300</v>
      </c>
      <c r="G18" s="34">
        <f>-MON_PSD!L7+MON_PSD!K7</f>
        <v>133.93725074858139</v>
      </c>
      <c r="H18" s="78">
        <f>-D18</f>
        <v>-1869.8799596655192</v>
      </c>
      <c r="I18" s="78">
        <f>D18+H18</f>
        <v>0</v>
      </c>
      <c r="J18" s="8"/>
    </row>
    <row r="19" spans="2:10">
      <c r="B19" s="6"/>
      <c r="C19" s="64"/>
      <c r="D19" s="34"/>
      <c r="E19" s="81"/>
      <c r="F19" s="81"/>
      <c r="G19" s="34"/>
      <c r="H19" s="78"/>
      <c r="I19" s="78"/>
      <c r="J19" s="8"/>
    </row>
    <row r="20" spans="2:10" s="49" customFormat="1">
      <c r="B20" s="46"/>
      <c r="C20" s="68" t="s">
        <v>1035</v>
      </c>
      <c r="D20" s="47">
        <f>E20+F20+G20</f>
        <v>0</v>
      </c>
      <c r="E20" s="85">
        <f>E21+E22</f>
        <v>-2917.7314081684199</v>
      </c>
      <c r="F20" s="85">
        <f>F21+F22</f>
        <v>3051.6686589170004</v>
      </c>
      <c r="G20" s="47">
        <f>G22</f>
        <v>-133.93725074858048</v>
      </c>
      <c r="H20" s="90" t="s">
        <v>151</v>
      </c>
      <c r="I20" s="78">
        <f t="shared" ref="I20:I25" si="0">D20</f>
        <v>0</v>
      </c>
      <c r="J20" s="48"/>
    </row>
    <row r="21" spans="2:10" s="49" customFormat="1">
      <c r="B21" s="46"/>
      <c r="C21" s="64" t="s">
        <v>1036</v>
      </c>
      <c r="D21" s="34">
        <f>E21+F21</f>
        <v>0</v>
      </c>
      <c r="E21" s="81">
        <f>-F21</f>
        <v>-2136.1680612419004</v>
      </c>
      <c r="F21" s="81">
        <f>Gob_EOG!L46-Gob_EOG!L39</f>
        <v>2136.1680612419004</v>
      </c>
      <c r="G21" s="50" t="s">
        <v>151</v>
      </c>
      <c r="H21" s="90" t="s">
        <v>156</v>
      </c>
      <c r="I21" s="78">
        <f t="shared" si="0"/>
        <v>0</v>
      </c>
      <c r="J21" s="48"/>
    </row>
    <row r="22" spans="2:10" s="49" customFormat="1">
      <c r="B22" s="46"/>
      <c r="C22" s="64" t="s">
        <v>1037</v>
      </c>
      <c r="D22" s="34">
        <f>D23+D24+D25</f>
        <v>0</v>
      </c>
      <c r="E22" s="81">
        <f>E23+E25</f>
        <v>-781.56334692651944</v>
      </c>
      <c r="F22" s="81">
        <f>F24</f>
        <v>915.50059767510004</v>
      </c>
      <c r="G22" s="34">
        <f>G23+G24+G25</f>
        <v>-133.93725074858048</v>
      </c>
      <c r="H22" s="90" t="s">
        <v>151</v>
      </c>
      <c r="I22" s="78">
        <f t="shared" si="0"/>
        <v>0</v>
      </c>
      <c r="J22" s="48"/>
    </row>
    <row r="23" spans="2:10">
      <c r="B23" s="5"/>
      <c r="C23" s="73" t="s">
        <v>1014</v>
      </c>
      <c r="D23" s="34">
        <f>E23+G23</f>
        <v>0</v>
      </c>
      <c r="E23" s="81">
        <f>-G23</f>
        <v>-1002.5345484937588</v>
      </c>
      <c r="F23" s="86" t="s">
        <v>151</v>
      </c>
      <c r="G23" s="34">
        <f>MON_PSD!L17-MON_PSD!K17</f>
        <v>1002.5345484937588</v>
      </c>
      <c r="H23" s="90" t="s">
        <v>156</v>
      </c>
      <c r="I23" s="78">
        <f t="shared" si="0"/>
        <v>0</v>
      </c>
      <c r="J23" s="8"/>
    </row>
    <row r="24" spans="2:10">
      <c r="B24" s="5"/>
      <c r="C24" s="73" t="s">
        <v>1038</v>
      </c>
      <c r="D24" s="34">
        <f>F24+G24</f>
        <v>0</v>
      </c>
      <c r="E24" s="86" t="s">
        <v>151</v>
      </c>
      <c r="F24" s="81">
        <f>Gob_EOG!L45-Gob_EOG!L38</f>
        <v>915.50059767510004</v>
      </c>
      <c r="G24" s="34">
        <f>-MON_PSD!L11+MON_PSD!K11</f>
        <v>-915.50059767509993</v>
      </c>
      <c r="H24" s="90" t="s">
        <v>156</v>
      </c>
      <c r="I24" s="78">
        <f t="shared" si="0"/>
        <v>0</v>
      </c>
      <c r="J24" s="8"/>
    </row>
    <row r="25" spans="2:10">
      <c r="B25" s="5"/>
      <c r="C25" s="73" t="s">
        <v>1039</v>
      </c>
      <c r="D25" s="34">
        <f>E25+G25</f>
        <v>0</v>
      </c>
      <c r="E25" s="81">
        <f>-G25</f>
        <v>220.9712015672394</v>
      </c>
      <c r="F25" s="86" t="s">
        <v>151</v>
      </c>
      <c r="G25" s="34">
        <f>MON_PSD!K8-MON_PSD!L8-G24</f>
        <v>-220.9712015672394</v>
      </c>
      <c r="H25" s="90" t="s">
        <v>156</v>
      </c>
      <c r="I25" s="78">
        <f t="shared" si="0"/>
        <v>0</v>
      </c>
      <c r="J25" s="8"/>
    </row>
    <row r="26" spans="2:10" ht="15.75" thickBot="1">
      <c r="B26" s="5"/>
      <c r="C26" s="74"/>
      <c r="D26" s="61"/>
      <c r="E26" s="93"/>
      <c r="F26" s="94"/>
      <c r="G26" s="61"/>
      <c r="H26" s="91"/>
      <c r="I26" s="89"/>
      <c r="J26" s="8"/>
    </row>
    <row r="27" spans="2:10" ht="15.75" thickBot="1">
      <c r="B27" s="5"/>
      <c r="C27" s="37"/>
      <c r="D27" s="34"/>
      <c r="E27" s="34"/>
      <c r="F27" s="34"/>
      <c r="G27" s="34"/>
      <c r="H27" s="34"/>
      <c r="I27" s="34"/>
      <c r="J27" s="8"/>
    </row>
    <row r="28" spans="2:10" ht="15.75" thickBot="1">
      <c r="B28" s="5"/>
      <c r="C28" s="95" t="s">
        <v>208</v>
      </c>
      <c r="D28" s="96">
        <f>D12+D14</f>
        <v>-4.5474735088646412E-12</v>
      </c>
      <c r="E28" s="97">
        <f>D28-F28</f>
        <v>-4.5474735088646412E-12</v>
      </c>
      <c r="F28" s="97">
        <f>F12+F14</f>
        <v>0</v>
      </c>
      <c r="G28" s="96">
        <f>G12+G14</f>
        <v>9.0949470177292824E-13</v>
      </c>
      <c r="H28" s="98">
        <f>BP!K39*BP!K58/1000</f>
        <v>0</v>
      </c>
      <c r="I28" s="99">
        <f>D28+H28</f>
        <v>-4.5474735088646412E-12</v>
      </c>
      <c r="J28" s="8"/>
    </row>
    <row r="29" spans="2:10" ht="15.75" thickBot="1">
      <c r="B29" s="5"/>
      <c r="C29" s="104"/>
      <c r="D29" s="47"/>
      <c r="E29" s="47"/>
      <c r="F29" s="47"/>
      <c r="G29" s="47"/>
      <c r="H29" s="47"/>
      <c r="I29" s="47"/>
      <c r="J29" s="8"/>
    </row>
    <row r="30" spans="2:10" ht="15.75" thickBot="1">
      <c r="B30" s="5"/>
      <c r="C30" s="95" t="s">
        <v>1040</v>
      </c>
      <c r="D30" s="96">
        <f>D12+D14-D28</f>
        <v>0</v>
      </c>
      <c r="E30" s="97">
        <f>E12+E14-E28</f>
        <v>0</v>
      </c>
      <c r="F30" s="97">
        <f>F12+F14-F28</f>
        <v>4.5474735088646412E-13</v>
      </c>
      <c r="G30" s="96">
        <f>G12+G14-G28</f>
        <v>0</v>
      </c>
      <c r="H30" s="98">
        <f>H12+H14-H28</f>
        <v>-2.2737367544323206E-13</v>
      </c>
      <c r="I30" s="98">
        <f>I12-I28-D30</f>
        <v>-2.2737367544323206E-13</v>
      </c>
      <c r="J30" s="8"/>
    </row>
    <row r="31" spans="2:10" s="1" customFormat="1" ht="15" customHeight="1">
      <c r="B31" s="30"/>
      <c r="C31" s="36"/>
      <c r="D31" s="38"/>
      <c r="E31" s="38"/>
      <c r="F31" s="38"/>
      <c r="G31" s="38"/>
      <c r="H31" s="38"/>
      <c r="I31" s="38"/>
      <c r="J31" s="32"/>
    </row>
    <row r="32" spans="2:10">
      <c r="B32" s="5"/>
      <c r="C32" s="21" t="s">
        <v>1048</v>
      </c>
      <c r="D32" s="39"/>
      <c r="E32" s="39"/>
      <c r="F32" s="39"/>
      <c r="G32" s="39"/>
      <c r="H32" s="39"/>
      <c r="I32" s="39"/>
      <c r="J32" s="8"/>
    </row>
    <row r="33" spans="2:10">
      <c r="B33" s="5"/>
      <c r="C33" s="18" t="s">
        <v>1042</v>
      </c>
      <c r="D33" s="34"/>
      <c r="E33" s="345">
        <f>BP!L58</f>
        <v>563.14784587758732</v>
      </c>
      <c r="F33" s="34"/>
      <c r="G33" s="34"/>
      <c r="H33" s="29"/>
      <c r="I33" s="34"/>
      <c r="J33" s="8"/>
    </row>
    <row r="34" spans="2:10">
      <c r="B34" s="5"/>
      <c r="C34" s="36" t="s">
        <v>1043</v>
      </c>
      <c r="D34" s="39"/>
      <c r="E34" s="345">
        <f>BP!L5</f>
        <v>-3329.4068405013113</v>
      </c>
      <c r="F34" s="39"/>
      <c r="G34" s="39"/>
      <c r="H34" s="29"/>
      <c r="I34" s="39"/>
      <c r="J34" s="8"/>
    </row>
    <row r="35" spans="2:10">
      <c r="B35" s="5"/>
      <c r="C35" s="18" t="s">
        <v>1044</v>
      </c>
      <c r="D35" s="34"/>
      <c r="E35" s="345">
        <f>BP!L19</f>
        <v>9</v>
      </c>
      <c r="F35" s="34"/>
      <c r="G35" s="34"/>
      <c r="H35" s="29"/>
      <c r="I35" s="34"/>
      <c r="J35" s="8"/>
    </row>
    <row r="36" spans="2:10">
      <c r="B36" s="5"/>
      <c r="C36" s="36" t="s">
        <v>1045</v>
      </c>
      <c r="D36" s="34"/>
      <c r="E36" s="345">
        <f>BP!L21+BP!L43</f>
        <v>-3320.4068405013113</v>
      </c>
      <c r="F36" s="34"/>
      <c r="G36" s="34"/>
      <c r="H36" s="29"/>
      <c r="I36" s="34"/>
      <c r="J36" s="8"/>
    </row>
    <row r="37" spans="2:10">
      <c r="B37" s="5"/>
      <c r="C37" s="36"/>
      <c r="D37" s="34"/>
      <c r="E37" s="34"/>
      <c r="F37" s="34"/>
      <c r="G37" s="34"/>
      <c r="H37" s="29"/>
      <c r="I37" s="34"/>
      <c r="J37" s="8"/>
    </row>
    <row r="38" spans="2:10">
      <c r="B38" s="5"/>
      <c r="C38" s="21" t="s">
        <v>683</v>
      </c>
      <c r="D38" s="34"/>
      <c r="E38" s="34"/>
      <c r="F38" s="34"/>
      <c r="G38" s="34"/>
      <c r="H38" s="29"/>
      <c r="I38" s="34"/>
      <c r="J38" s="8"/>
    </row>
    <row r="39" spans="2:10">
      <c r="B39" s="5"/>
      <c r="C39" s="36" t="s">
        <v>1046</v>
      </c>
      <c r="D39" s="34"/>
      <c r="E39" s="34"/>
      <c r="F39" s="34"/>
      <c r="G39" s="34"/>
      <c r="H39" s="29"/>
      <c r="I39" s="34"/>
      <c r="J39" s="8"/>
    </row>
    <row r="40" spans="2:10" ht="15.75" thickBot="1">
      <c r="B40" s="10"/>
      <c r="C40" s="11"/>
      <c r="D40" s="11"/>
      <c r="E40" s="11"/>
      <c r="F40" s="11"/>
      <c r="G40" s="11"/>
      <c r="H40" s="11"/>
      <c r="I40" s="11"/>
      <c r="J40" s="12"/>
    </row>
  </sheetData>
  <mergeCells count="5">
    <mergeCell ref="B2:J2"/>
    <mergeCell ref="B3:J3"/>
    <mergeCell ref="D4:G4"/>
    <mergeCell ref="H4:H5"/>
    <mergeCell ref="I4:I5"/>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70C0"/>
    <pageSetUpPr fitToPage="1"/>
  </sheetPr>
  <dimension ref="A3:E51"/>
  <sheetViews>
    <sheetView topLeftCell="A19" workbookViewId="0"/>
  </sheetViews>
  <sheetFormatPr baseColWidth="10" defaultColWidth="33.5703125" defaultRowHeight="15"/>
  <cols>
    <col min="1" max="1" width="12.85546875" style="2" customWidth="1"/>
    <col min="2" max="2" width="95.42578125" style="2" customWidth="1"/>
    <col min="3" max="3" width="77.28515625" style="2" customWidth="1"/>
    <col min="4" max="4" width="50.85546875" style="2" bestFit="1" customWidth="1"/>
    <col min="5" max="5" width="23.28515625" style="2" bestFit="1" customWidth="1"/>
    <col min="6" max="16384" width="33.5703125" style="2"/>
  </cols>
  <sheetData>
    <row r="3" spans="1:5" s="49" customFormat="1" ht="30" customHeight="1">
      <c r="A3" s="191" t="s">
        <v>1051</v>
      </c>
      <c r="B3" s="191" t="s">
        <v>1052</v>
      </c>
      <c r="C3" s="191" t="s">
        <v>1053</v>
      </c>
      <c r="D3" s="191" t="s">
        <v>1054</v>
      </c>
      <c r="E3" s="191" t="s">
        <v>1055</v>
      </c>
    </row>
    <row r="4" spans="1:5">
      <c r="A4" s="49" t="s">
        <v>1056</v>
      </c>
      <c r="B4" s="29" t="s">
        <v>292</v>
      </c>
      <c r="C4" s="29" t="s">
        <v>1057</v>
      </c>
      <c r="D4" s="29" t="s">
        <v>1058</v>
      </c>
      <c r="E4" s="29" t="s">
        <v>1059</v>
      </c>
    </row>
    <row r="5" spans="1:5">
      <c r="A5" s="49"/>
      <c r="B5" s="29" t="s">
        <v>1060</v>
      </c>
      <c r="C5" s="29" t="s">
        <v>1061</v>
      </c>
      <c r="D5" s="29" t="s">
        <v>1062</v>
      </c>
      <c r="E5" s="29" t="s">
        <v>1063</v>
      </c>
    </row>
    <row r="6" spans="1:5">
      <c r="A6" s="49"/>
      <c r="B6" s="29" t="s">
        <v>1064</v>
      </c>
      <c r="C6" s="29" t="s">
        <v>1065</v>
      </c>
      <c r="D6" s="29" t="s">
        <v>1066</v>
      </c>
      <c r="E6" s="29" t="s">
        <v>1067</v>
      </c>
    </row>
    <row r="7" spans="1:5">
      <c r="A7" s="49"/>
      <c r="B7" s="29" t="s">
        <v>1068</v>
      </c>
      <c r="C7" s="29" t="s">
        <v>1065</v>
      </c>
      <c r="D7" s="29" t="s">
        <v>1069</v>
      </c>
      <c r="E7" s="29" t="s">
        <v>1067</v>
      </c>
    </row>
    <row r="8" spans="1:5">
      <c r="A8" s="49"/>
      <c r="B8" s="29" t="s">
        <v>1070</v>
      </c>
      <c r="C8" s="29" t="s">
        <v>1071</v>
      </c>
      <c r="D8" s="29" t="s">
        <v>1058</v>
      </c>
      <c r="E8" s="29" t="s">
        <v>1059</v>
      </c>
    </row>
    <row r="9" spans="1:5">
      <c r="A9" s="49"/>
      <c r="B9" s="29" t="s">
        <v>1072</v>
      </c>
      <c r="C9" s="29" t="s">
        <v>1073</v>
      </c>
      <c r="D9" s="29" t="s">
        <v>1062</v>
      </c>
      <c r="E9" s="29" t="s">
        <v>1063</v>
      </c>
    </row>
    <row r="10" spans="1:5">
      <c r="A10" s="49"/>
      <c r="B10" s="29" t="s">
        <v>306</v>
      </c>
      <c r="C10" s="29" t="s">
        <v>449</v>
      </c>
      <c r="D10" s="29" t="s">
        <v>1074</v>
      </c>
      <c r="E10" s="29" t="s">
        <v>1063</v>
      </c>
    </row>
    <row r="11" spans="1:5">
      <c r="A11" s="49"/>
    </row>
    <row r="12" spans="1:5">
      <c r="A12" s="49" t="s">
        <v>1075</v>
      </c>
      <c r="B12" s="29" t="s">
        <v>1076</v>
      </c>
      <c r="C12" s="29" t="s">
        <v>1077</v>
      </c>
      <c r="D12" s="29" t="s">
        <v>1078</v>
      </c>
      <c r="E12" s="29" t="s">
        <v>1063</v>
      </c>
    </row>
    <row r="13" spans="1:5">
      <c r="A13" s="49"/>
      <c r="B13" s="29" t="s">
        <v>1079</v>
      </c>
      <c r="C13" s="29" t="s">
        <v>1077</v>
      </c>
      <c r="D13" s="29" t="s">
        <v>1078</v>
      </c>
      <c r="E13" s="29" t="s">
        <v>1063</v>
      </c>
    </row>
    <row r="14" spans="1:5">
      <c r="A14" s="49"/>
      <c r="B14" s="29" t="s">
        <v>1080</v>
      </c>
      <c r="C14" s="29" t="s">
        <v>1081</v>
      </c>
      <c r="D14" s="29" t="s">
        <v>1078</v>
      </c>
      <c r="E14" s="29" t="s">
        <v>1063</v>
      </c>
    </row>
    <row r="15" spans="1:5">
      <c r="A15" s="49"/>
      <c r="B15" s="29" t="s">
        <v>1082</v>
      </c>
      <c r="C15" s="29" t="s">
        <v>1083</v>
      </c>
      <c r="D15" s="29" t="s">
        <v>1078</v>
      </c>
      <c r="E15" s="29" t="s">
        <v>1063</v>
      </c>
    </row>
    <row r="16" spans="1:5">
      <c r="A16" s="49"/>
      <c r="B16" s="29" t="s">
        <v>1084</v>
      </c>
      <c r="C16" s="29" t="s">
        <v>1085</v>
      </c>
      <c r="D16" s="29" t="s">
        <v>1078</v>
      </c>
      <c r="E16" s="29" t="s">
        <v>1063</v>
      </c>
    </row>
    <row r="17" spans="1:5">
      <c r="A17" s="49"/>
      <c r="B17" s="29" t="s">
        <v>323</v>
      </c>
      <c r="C17" s="29" t="s">
        <v>1086</v>
      </c>
      <c r="D17" s="29" t="s">
        <v>1078</v>
      </c>
      <c r="E17" s="29" t="s">
        <v>1063</v>
      </c>
    </row>
    <row r="18" spans="1:5">
      <c r="A18" s="49"/>
      <c r="B18" s="29" t="s">
        <v>1087</v>
      </c>
      <c r="C18" s="29" t="s">
        <v>1088</v>
      </c>
      <c r="D18" s="29" t="s">
        <v>1078</v>
      </c>
      <c r="E18" s="29" t="s">
        <v>1063</v>
      </c>
    </row>
    <row r="19" spans="1:5">
      <c r="A19" s="49"/>
      <c r="B19" s="29" t="s">
        <v>1089</v>
      </c>
      <c r="C19" s="29" t="s">
        <v>1090</v>
      </c>
      <c r="D19" s="29" t="s">
        <v>1078</v>
      </c>
      <c r="E19" s="29" t="s">
        <v>1078</v>
      </c>
    </row>
    <row r="20" spans="1:5">
      <c r="A20" s="49"/>
      <c r="B20" s="29" t="s">
        <v>1091</v>
      </c>
      <c r="C20" s="29" t="s">
        <v>1092</v>
      </c>
      <c r="D20" s="29" t="s">
        <v>1078</v>
      </c>
      <c r="E20" s="29" t="s">
        <v>1078</v>
      </c>
    </row>
    <row r="21" spans="1:5">
      <c r="A21" s="49"/>
      <c r="B21" s="29" t="s">
        <v>1093</v>
      </c>
      <c r="C21" s="29" t="s">
        <v>1094</v>
      </c>
      <c r="D21" s="29" t="s">
        <v>1078</v>
      </c>
      <c r="E21" s="29" t="s">
        <v>1078</v>
      </c>
    </row>
    <row r="22" spans="1:5">
      <c r="A22" s="49"/>
      <c r="B22" s="29" t="s">
        <v>1095</v>
      </c>
      <c r="C22" s="29" t="s">
        <v>1094</v>
      </c>
      <c r="D22" s="29" t="s">
        <v>1078</v>
      </c>
      <c r="E22" s="29" t="s">
        <v>1078</v>
      </c>
    </row>
    <row r="23" spans="1:5">
      <c r="A23" s="49"/>
    </row>
    <row r="24" spans="1:5">
      <c r="A24" s="49" t="s">
        <v>1096</v>
      </c>
      <c r="B24" s="23" t="s">
        <v>57</v>
      </c>
      <c r="C24" s="29"/>
      <c r="D24" s="29"/>
      <c r="E24" s="29"/>
    </row>
    <row r="25" spans="1:5">
      <c r="A25" s="49"/>
      <c r="B25" s="29" t="s">
        <v>1097</v>
      </c>
      <c r="C25" s="29" t="s">
        <v>1098</v>
      </c>
      <c r="D25" s="29" t="s">
        <v>1099</v>
      </c>
      <c r="E25" s="29" t="s">
        <v>1059</v>
      </c>
    </row>
    <row r="26" spans="1:5">
      <c r="A26" s="49"/>
      <c r="B26" s="29" t="s">
        <v>1097</v>
      </c>
      <c r="C26" s="29" t="s">
        <v>1100</v>
      </c>
      <c r="D26" s="29" t="s">
        <v>1101</v>
      </c>
      <c r="E26" s="29" t="s">
        <v>1078</v>
      </c>
    </row>
    <row r="27" spans="1:5">
      <c r="A27" s="49"/>
      <c r="B27" s="29" t="s">
        <v>1097</v>
      </c>
      <c r="C27" s="29" t="s">
        <v>1102</v>
      </c>
      <c r="D27" s="29" t="s">
        <v>1103</v>
      </c>
      <c r="E27" s="29" t="s">
        <v>1078</v>
      </c>
    </row>
    <row r="28" spans="1:5">
      <c r="A28" s="49"/>
      <c r="B28" s="29" t="s">
        <v>650</v>
      </c>
      <c r="C28" s="29" t="s">
        <v>1104</v>
      </c>
      <c r="D28" s="29" t="s">
        <v>1105</v>
      </c>
      <c r="E28" s="29" t="s">
        <v>1078</v>
      </c>
    </row>
    <row r="29" spans="1:5">
      <c r="A29" s="49"/>
      <c r="B29" s="29" t="s">
        <v>651</v>
      </c>
      <c r="C29" s="29" t="s">
        <v>1104</v>
      </c>
      <c r="D29" s="29" t="s">
        <v>1105</v>
      </c>
      <c r="E29" s="29" t="s">
        <v>1078</v>
      </c>
    </row>
    <row r="30" spans="1:5">
      <c r="A30" s="49"/>
      <c r="B30" s="29" t="s">
        <v>652</v>
      </c>
      <c r="C30" s="29" t="s">
        <v>1104</v>
      </c>
      <c r="D30" s="29" t="s">
        <v>1105</v>
      </c>
      <c r="E30" s="29" t="s">
        <v>1078</v>
      </c>
    </row>
    <row r="31" spans="1:5">
      <c r="A31" s="49"/>
    </row>
    <row r="32" spans="1:5">
      <c r="A32" s="49"/>
      <c r="B32" s="23" t="s">
        <v>700</v>
      </c>
      <c r="C32" s="29"/>
      <c r="D32" s="29"/>
      <c r="E32" s="29"/>
    </row>
    <row r="33" spans="1:5">
      <c r="A33" s="49"/>
      <c r="B33" s="29" t="s">
        <v>654</v>
      </c>
      <c r="C33" s="29" t="s">
        <v>1104</v>
      </c>
      <c r="D33" s="29" t="s">
        <v>1105</v>
      </c>
      <c r="E33" s="29"/>
    </row>
    <row r="34" spans="1:5">
      <c r="A34" s="49"/>
      <c r="B34" s="29" t="s">
        <v>760</v>
      </c>
      <c r="C34" s="29" t="s">
        <v>1106</v>
      </c>
      <c r="D34" s="29" t="s">
        <v>1107</v>
      </c>
      <c r="E34" s="29"/>
    </row>
    <row r="35" spans="1:5">
      <c r="A35" s="49"/>
      <c r="B35" s="252" t="s">
        <v>660</v>
      </c>
      <c r="C35" s="29" t="s">
        <v>1104</v>
      </c>
      <c r="D35" s="29" t="s">
        <v>1105</v>
      </c>
      <c r="E35" s="29"/>
    </row>
    <row r="36" spans="1:5">
      <c r="A36" s="49"/>
      <c r="B36" s="253" t="s">
        <v>651</v>
      </c>
      <c r="C36" s="29" t="s">
        <v>1104</v>
      </c>
      <c r="D36" s="29" t="s">
        <v>1105</v>
      </c>
      <c r="E36" s="29"/>
    </row>
    <row r="37" spans="1:5">
      <c r="A37" s="49"/>
      <c r="B37" s="253" t="s">
        <v>661</v>
      </c>
      <c r="C37" s="29" t="s">
        <v>1104</v>
      </c>
      <c r="D37" s="29" t="s">
        <v>1105</v>
      </c>
      <c r="E37" s="29"/>
    </row>
    <row r="38" spans="1:5">
      <c r="A38" s="49"/>
      <c r="B38" s="252" t="s">
        <v>662</v>
      </c>
      <c r="C38" s="29" t="s">
        <v>1104</v>
      </c>
      <c r="D38" s="29" t="s">
        <v>1105</v>
      </c>
      <c r="E38" s="29"/>
    </row>
    <row r="39" spans="1:5">
      <c r="A39" s="49"/>
    </row>
    <row r="40" spans="1:5">
      <c r="A40" s="49" t="s">
        <v>1037</v>
      </c>
      <c r="B40" s="29" t="s">
        <v>1108</v>
      </c>
      <c r="C40" s="29" t="s">
        <v>1109</v>
      </c>
      <c r="D40" s="29" t="s">
        <v>1105</v>
      </c>
      <c r="E40" s="29"/>
    </row>
    <row r="41" spans="1:5">
      <c r="B41" s="29" t="s">
        <v>1110</v>
      </c>
      <c r="C41" s="29" t="s">
        <v>1111</v>
      </c>
      <c r="D41" s="29" t="s">
        <v>1105</v>
      </c>
      <c r="E41" s="29"/>
    </row>
    <row r="42" spans="1:5">
      <c r="B42" s="29" t="s">
        <v>982</v>
      </c>
      <c r="C42" s="29" t="s">
        <v>1112</v>
      </c>
      <c r="D42" s="29" t="s">
        <v>1105</v>
      </c>
      <c r="E42" s="29"/>
    </row>
    <row r="43" spans="1:5">
      <c r="B43" s="29" t="s">
        <v>1113</v>
      </c>
      <c r="C43" s="29" t="s">
        <v>1114</v>
      </c>
      <c r="D43" s="29" t="s">
        <v>1115</v>
      </c>
      <c r="E43" s="29"/>
    </row>
    <row r="45" spans="1:5" ht="15.75" thickBot="1"/>
    <row r="46" spans="1:5">
      <c r="B46" s="963" t="s">
        <v>1116</v>
      </c>
    </row>
    <row r="47" spans="1:5">
      <c r="B47" s="964" t="s">
        <v>1117</v>
      </c>
    </row>
    <row r="48" spans="1:5">
      <c r="B48" s="964" t="s">
        <v>1118</v>
      </c>
    </row>
    <row r="49" spans="2:2">
      <c r="B49" s="964" t="s">
        <v>1119</v>
      </c>
    </row>
    <row r="50" spans="2:2">
      <c r="B50" s="964" t="s">
        <v>1120</v>
      </c>
    </row>
    <row r="51" spans="2:2" ht="15.75" thickBot="1">
      <c r="B51" s="965" t="s">
        <v>1121</v>
      </c>
    </row>
  </sheetData>
  <pageMargins left="0.7" right="0.7" top="0.75" bottom="0.75" header="0.3" footer="0.3"/>
  <pageSetup scale="41"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9" tint="-0.499984740745262"/>
    <pageSetUpPr fitToPage="1"/>
  </sheetPr>
  <dimension ref="B2:C27"/>
  <sheetViews>
    <sheetView showGridLines="0" workbookViewId="0">
      <selection activeCell="FD127" sqref="FD127"/>
    </sheetView>
  </sheetViews>
  <sheetFormatPr baseColWidth="10" defaultColWidth="0.85546875" defaultRowHeight="3" customHeight="1"/>
  <cols>
    <col min="1" max="1" width="0.85546875" style="467"/>
    <col min="2" max="2" width="0.85546875" style="467" customWidth="1"/>
    <col min="3" max="16384" width="0.85546875" style="467"/>
  </cols>
  <sheetData>
    <row r="2" spans="2:3" ht="3" customHeight="1">
      <c r="B2" s="483"/>
    </row>
    <row r="3" spans="2:3" ht="3" customHeight="1">
      <c r="B3" s="483"/>
    </row>
    <row r="4" spans="2:3" ht="3" customHeight="1">
      <c r="B4" s="483"/>
    </row>
    <row r="5" spans="2:3" ht="3" customHeight="1">
      <c r="B5" s="483"/>
    </row>
    <row r="6" spans="2:3" ht="3" customHeight="1">
      <c r="B6" s="483"/>
    </row>
    <row r="7" spans="2:3" ht="3" customHeight="1">
      <c r="B7" s="483"/>
    </row>
    <row r="8" spans="2:3" ht="3" customHeight="1">
      <c r="B8" s="483"/>
    </row>
    <row r="9" spans="2:3" ht="3" customHeight="1">
      <c r="B9" s="483"/>
    </row>
    <row r="10" spans="2:3" ht="3" customHeight="1">
      <c r="B10" s="483"/>
    </row>
    <row r="11" spans="2:3" ht="3" customHeight="1">
      <c r="B11" s="483"/>
    </row>
    <row r="12" spans="2:3" ht="3" customHeight="1">
      <c r="B12" s="483"/>
    </row>
    <row r="13" spans="2:3" ht="3" customHeight="1">
      <c r="B13" s="483"/>
    </row>
    <row r="14" spans="2:3" ht="3" customHeight="1">
      <c r="B14" s="483"/>
    </row>
    <row r="15" spans="2:3" ht="3" customHeight="1">
      <c r="C15" s="483"/>
    </row>
    <row r="16" spans="2:3" ht="3" customHeight="1">
      <c r="C16" s="483"/>
    </row>
    <row r="17" spans="3:3" ht="3" customHeight="1">
      <c r="C17" s="483"/>
    </row>
    <row r="18" spans="3:3" ht="3" customHeight="1">
      <c r="C18" s="483"/>
    </row>
    <row r="19" spans="3:3" ht="3" customHeight="1">
      <c r="C19" s="483"/>
    </row>
    <row r="20" spans="3:3" ht="3" customHeight="1">
      <c r="C20" s="483"/>
    </row>
    <row r="21" spans="3:3" ht="3" customHeight="1">
      <c r="C21" s="483"/>
    </row>
    <row r="22" spans="3:3" ht="3" customHeight="1">
      <c r="C22" s="483"/>
    </row>
    <row r="23" spans="3:3" ht="3" customHeight="1">
      <c r="C23" s="483"/>
    </row>
    <row r="24" spans="3:3" ht="3" customHeight="1">
      <c r="C24" s="483"/>
    </row>
    <row r="25" spans="3:3" ht="3" customHeight="1">
      <c r="C25" s="483"/>
    </row>
    <row r="26" spans="3:3" ht="3" customHeight="1">
      <c r="C26" s="483"/>
    </row>
    <row r="27" spans="3:3" ht="3" customHeight="1">
      <c r="C27" s="483"/>
    </row>
  </sheetData>
  <pageMargins left="1" right="1" top="1.25" bottom="0.25" header="0.6" footer="0.25"/>
  <pageSetup scale="80"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9" tint="-0.499984740745262"/>
    <pageSetUpPr fitToPage="1"/>
  </sheetPr>
  <dimension ref="B2:D33"/>
  <sheetViews>
    <sheetView workbookViewId="0">
      <selection activeCell="GG128" sqref="GG128"/>
    </sheetView>
  </sheetViews>
  <sheetFormatPr baseColWidth="10" defaultColWidth="0.85546875" defaultRowHeight="3" customHeight="1"/>
  <cols>
    <col min="1" max="16384" width="0.85546875" style="518"/>
  </cols>
  <sheetData>
    <row r="2" spans="2:3" ht="3" customHeight="1">
      <c r="B2" s="517"/>
    </row>
    <row r="3" spans="2:3" ht="3" customHeight="1">
      <c r="B3" s="517"/>
    </row>
    <row r="4" spans="2:3" ht="3" customHeight="1">
      <c r="B4" s="517"/>
    </row>
    <row r="5" spans="2:3" ht="3" customHeight="1">
      <c r="B5" s="517"/>
    </row>
    <row r="6" spans="2:3" ht="3" customHeight="1">
      <c r="B6" s="517"/>
    </row>
    <row r="7" spans="2:3" ht="3" customHeight="1">
      <c r="B7" s="517"/>
    </row>
    <row r="8" spans="2:3" ht="3" customHeight="1">
      <c r="B8" s="517"/>
    </row>
    <row r="9" spans="2:3" ht="3" customHeight="1">
      <c r="B9" s="517"/>
    </row>
    <row r="10" spans="2:3" ht="3" customHeight="1">
      <c r="B10" s="517"/>
    </row>
    <row r="11" spans="2:3" ht="3" customHeight="1">
      <c r="B11" s="517"/>
    </row>
    <row r="12" spans="2:3" ht="3" customHeight="1">
      <c r="C12" s="517"/>
    </row>
    <row r="13" spans="2:3" ht="3" customHeight="1">
      <c r="C13" s="517"/>
    </row>
    <row r="14" spans="2:3" ht="3" customHeight="1">
      <c r="C14" s="517"/>
    </row>
    <row r="15" spans="2:3" ht="3" customHeight="1">
      <c r="C15" s="517"/>
    </row>
    <row r="16" spans="2:3" ht="3" customHeight="1">
      <c r="C16" s="517"/>
    </row>
    <row r="17" spans="3:4" ht="3" customHeight="1">
      <c r="C17" s="517"/>
    </row>
    <row r="18" spans="3:4" ht="3" customHeight="1">
      <c r="C18" s="517"/>
    </row>
    <row r="19" spans="3:4" ht="3" customHeight="1">
      <c r="C19" s="517"/>
    </row>
    <row r="20" spans="3:4" ht="3" customHeight="1">
      <c r="C20" s="517"/>
    </row>
    <row r="21" spans="3:4" ht="3" customHeight="1">
      <c r="C21" s="517"/>
    </row>
    <row r="22" spans="3:4" ht="3" customHeight="1">
      <c r="D22" s="517"/>
    </row>
    <row r="23" spans="3:4" ht="3" customHeight="1">
      <c r="D23" s="517"/>
    </row>
    <row r="24" spans="3:4" ht="3" customHeight="1">
      <c r="D24" s="517"/>
    </row>
    <row r="25" spans="3:4" ht="3" customHeight="1">
      <c r="D25" s="517"/>
    </row>
    <row r="26" spans="3:4" ht="3" customHeight="1">
      <c r="D26" s="517"/>
    </row>
    <row r="27" spans="3:4" ht="3" customHeight="1">
      <c r="D27" s="517"/>
    </row>
    <row r="28" spans="3:4" ht="3" customHeight="1">
      <c r="D28" s="517"/>
    </row>
    <row r="29" spans="3:4" ht="3" customHeight="1">
      <c r="D29" s="517"/>
    </row>
    <row r="30" spans="3:4" ht="3" customHeight="1">
      <c r="D30" s="517"/>
    </row>
    <row r="31" spans="3:4" ht="3" customHeight="1">
      <c r="D31" s="517"/>
    </row>
    <row r="32" spans="3:4" ht="3" customHeight="1">
      <c r="D32" s="517"/>
    </row>
    <row r="33" spans="4:4" ht="3" customHeight="1">
      <c r="D33" s="517"/>
    </row>
  </sheetData>
  <pageMargins left="1" right="1" top="1.25" bottom="0.25" header="0.6" footer="0.25"/>
  <pageSetup scale="80"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9" tint="-0.499984740745262"/>
    <pageSetUpPr fitToPage="1"/>
  </sheetPr>
  <dimension ref="B2:D24"/>
  <sheetViews>
    <sheetView showGridLines="0" workbookViewId="0">
      <selection activeCell="FT128" sqref="FT128"/>
    </sheetView>
  </sheetViews>
  <sheetFormatPr baseColWidth="10" defaultColWidth="0.85546875" defaultRowHeight="3" customHeight="1"/>
  <cols>
    <col min="1" max="16384" width="0.85546875" style="467"/>
  </cols>
  <sheetData>
    <row r="2" spans="2:3" ht="3" customHeight="1">
      <c r="B2" s="483"/>
    </row>
    <row r="3" spans="2:3" ht="3" customHeight="1">
      <c r="B3" s="483"/>
    </row>
    <row r="4" spans="2:3" ht="3" customHeight="1">
      <c r="B4" s="483"/>
    </row>
    <row r="5" spans="2:3" ht="3" customHeight="1">
      <c r="B5" s="483"/>
    </row>
    <row r="6" spans="2:3" ht="3" customHeight="1">
      <c r="B6" s="483"/>
    </row>
    <row r="7" spans="2:3" ht="3" customHeight="1">
      <c r="B7" s="483"/>
    </row>
    <row r="8" spans="2:3" ht="3" customHeight="1">
      <c r="B8" s="483"/>
    </row>
    <row r="9" spans="2:3" ht="3" customHeight="1">
      <c r="B9" s="483"/>
    </row>
    <row r="10" spans="2:3" ht="3" customHeight="1">
      <c r="C10" s="483"/>
    </row>
    <row r="11" spans="2:3" ht="3" customHeight="1">
      <c r="C11" s="483"/>
    </row>
    <row r="12" spans="2:3" ht="3" customHeight="1">
      <c r="C12" s="483"/>
    </row>
    <row r="13" spans="2:3" ht="3" customHeight="1">
      <c r="C13" s="483"/>
    </row>
    <row r="14" spans="2:3" ht="3" customHeight="1">
      <c r="C14" s="483"/>
    </row>
    <row r="15" spans="2:3" ht="3" customHeight="1">
      <c r="C15" s="483"/>
    </row>
    <row r="16" spans="2:3" ht="3" customHeight="1">
      <c r="C16" s="483"/>
    </row>
    <row r="17" spans="3:4" ht="3" customHeight="1">
      <c r="C17" s="483"/>
    </row>
    <row r="18" spans="3:4" ht="3" customHeight="1">
      <c r="D18" s="483"/>
    </row>
    <row r="19" spans="3:4" ht="3" customHeight="1">
      <c r="D19" s="483"/>
    </row>
    <row r="20" spans="3:4" ht="3" customHeight="1">
      <c r="D20" s="483"/>
    </row>
    <row r="21" spans="3:4" ht="3" customHeight="1">
      <c r="D21" s="483"/>
    </row>
    <row r="22" spans="3:4" ht="3" customHeight="1">
      <c r="D22" s="483"/>
    </row>
    <row r="23" spans="3:4" ht="3" customHeight="1">
      <c r="D23" s="483"/>
    </row>
    <row r="24" spans="3:4" ht="3" customHeight="1">
      <c r="D24" s="483"/>
    </row>
  </sheetData>
  <pageMargins left="1" right="1" top="1.25" bottom="0.25" header="0.6" footer="0.25"/>
  <pageSetup scale="84"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7030A0"/>
    <pageSetUpPr fitToPage="1"/>
  </sheetPr>
  <dimension ref="B2:C27"/>
  <sheetViews>
    <sheetView showGridLines="0" workbookViewId="0">
      <selection activeCell="P21" sqref="P21"/>
    </sheetView>
  </sheetViews>
  <sheetFormatPr baseColWidth="10" defaultColWidth="9.140625" defaultRowHeight="15" customHeight="1"/>
  <cols>
    <col min="1" max="16384" width="9.140625" style="467"/>
  </cols>
  <sheetData>
    <row r="2" spans="2:3" ht="15" customHeight="1">
      <c r="B2" s="483"/>
    </row>
    <row r="3" spans="2:3" ht="15" customHeight="1">
      <c r="B3" s="483"/>
    </row>
    <row r="4" spans="2:3" ht="15" customHeight="1">
      <c r="B4" s="483"/>
    </row>
    <row r="5" spans="2:3" ht="15" customHeight="1">
      <c r="B5" s="483"/>
    </row>
    <row r="6" spans="2:3" ht="15" customHeight="1">
      <c r="B6" s="483"/>
    </row>
    <row r="7" spans="2:3" ht="15" customHeight="1">
      <c r="B7" s="483"/>
    </row>
    <row r="8" spans="2:3" ht="15" customHeight="1">
      <c r="B8" s="483"/>
    </row>
    <row r="9" spans="2:3" ht="15" customHeight="1">
      <c r="B9" s="483"/>
    </row>
    <row r="10" spans="2:3" ht="15" customHeight="1">
      <c r="B10" s="483"/>
    </row>
    <row r="11" spans="2:3" ht="15" customHeight="1">
      <c r="B11" s="483"/>
    </row>
    <row r="12" spans="2:3" ht="15" customHeight="1">
      <c r="B12" s="483"/>
    </row>
    <row r="13" spans="2:3" ht="15" customHeight="1">
      <c r="B13" s="483"/>
    </row>
    <row r="14" spans="2:3" ht="15" customHeight="1">
      <c r="B14" s="483"/>
    </row>
    <row r="15" spans="2:3" ht="15" customHeight="1">
      <c r="C15" s="483"/>
    </row>
    <row r="16" spans="2:3" ht="15" customHeight="1">
      <c r="C16" s="483"/>
    </row>
    <row r="17" spans="3:3" ht="15" customHeight="1">
      <c r="C17" s="483"/>
    </row>
    <row r="18" spans="3:3" ht="15" customHeight="1">
      <c r="C18" s="483"/>
    </row>
    <row r="19" spans="3:3" ht="15" customHeight="1">
      <c r="C19" s="483"/>
    </row>
    <row r="20" spans="3:3" ht="15" customHeight="1">
      <c r="C20" s="483"/>
    </row>
    <row r="21" spans="3:3" ht="15" customHeight="1">
      <c r="C21" s="483"/>
    </row>
    <row r="22" spans="3:3" ht="15" customHeight="1">
      <c r="C22" s="483"/>
    </row>
    <row r="23" spans="3:3" ht="15" customHeight="1">
      <c r="C23" s="483"/>
    </row>
    <row r="24" spans="3:3" ht="15" customHeight="1">
      <c r="C24" s="483"/>
    </row>
    <row r="25" spans="3:3" ht="15" customHeight="1">
      <c r="C25" s="483"/>
    </row>
    <row r="26" spans="3:3" ht="15" customHeight="1">
      <c r="C26" s="483"/>
    </row>
    <row r="27" spans="3:3" ht="15" customHeight="1">
      <c r="C27" s="483"/>
    </row>
  </sheetData>
  <pageMargins left="1" right="1" top="1.25" bottom="0.25" header="0.6" footer="0.25"/>
  <pageSetup scale="80"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7030A0"/>
    <pageSetUpPr fitToPage="1"/>
  </sheetPr>
  <dimension ref="B2:D33"/>
  <sheetViews>
    <sheetView workbookViewId="0">
      <selection activeCell="Q22" sqref="Q22"/>
    </sheetView>
  </sheetViews>
  <sheetFormatPr baseColWidth="10" defaultColWidth="9.140625" defaultRowHeight="15" customHeight="1"/>
  <cols>
    <col min="1" max="16384" width="9.140625" style="518"/>
  </cols>
  <sheetData>
    <row r="2" spans="2:3" ht="15" customHeight="1">
      <c r="B2" s="517"/>
    </row>
    <row r="3" spans="2:3" ht="15" customHeight="1">
      <c r="B3" s="517"/>
    </row>
    <row r="4" spans="2:3" ht="15" customHeight="1">
      <c r="B4" s="517"/>
    </row>
    <row r="5" spans="2:3" ht="15" customHeight="1">
      <c r="B5" s="517"/>
    </row>
    <row r="6" spans="2:3" ht="15" customHeight="1">
      <c r="B6" s="517"/>
    </row>
    <row r="7" spans="2:3" ht="15" customHeight="1">
      <c r="B7" s="517"/>
    </row>
    <row r="8" spans="2:3" ht="15" customHeight="1">
      <c r="B8" s="517"/>
    </row>
    <row r="9" spans="2:3" ht="15" customHeight="1">
      <c r="B9" s="517"/>
    </row>
    <row r="10" spans="2:3" ht="15" customHeight="1">
      <c r="B10" s="517"/>
    </row>
    <row r="11" spans="2:3" ht="15" customHeight="1">
      <c r="B11" s="517"/>
    </row>
    <row r="12" spans="2:3" ht="15" customHeight="1">
      <c r="C12" s="517"/>
    </row>
    <row r="13" spans="2:3" ht="15" customHeight="1">
      <c r="C13" s="517"/>
    </row>
    <row r="14" spans="2:3" ht="15" customHeight="1">
      <c r="C14" s="517"/>
    </row>
    <row r="15" spans="2:3" ht="15" customHeight="1">
      <c r="C15" s="517"/>
    </row>
    <row r="16" spans="2:3" ht="15" customHeight="1">
      <c r="C16" s="517"/>
    </row>
    <row r="17" spans="3:4" ht="15" customHeight="1">
      <c r="C17" s="517"/>
    </row>
    <row r="18" spans="3:4" ht="15" customHeight="1">
      <c r="C18" s="517"/>
    </row>
    <row r="19" spans="3:4" ht="15" customHeight="1">
      <c r="C19" s="517"/>
    </row>
    <row r="20" spans="3:4" ht="15" customHeight="1">
      <c r="C20" s="517"/>
    </row>
    <row r="21" spans="3:4" ht="15" customHeight="1">
      <c r="C21" s="517"/>
    </row>
    <row r="22" spans="3:4" ht="15" customHeight="1">
      <c r="D22" s="517"/>
    </row>
    <row r="23" spans="3:4" ht="15" customHeight="1">
      <c r="D23" s="517"/>
    </row>
    <row r="24" spans="3:4" ht="15" customHeight="1">
      <c r="D24" s="517"/>
    </row>
    <row r="25" spans="3:4" ht="15" customHeight="1">
      <c r="D25" s="517"/>
    </row>
    <row r="26" spans="3:4" ht="15" customHeight="1">
      <c r="D26" s="517"/>
    </row>
    <row r="27" spans="3:4" ht="15" customHeight="1">
      <c r="D27" s="517"/>
    </row>
    <row r="28" spans="3:4" ht="15" customHeight="1">
      <c r="D28" s="517"/>
    </row>
    <row r="29" spans="3:4" ht="15" customHeight="1">
      <c r="D29" s="517"/>
    </row>
    <row r="30" spans="3:4" ht="15" customHeight="1">
      <c r="D30" s="517"/>
    </row>
    <row r="31" spans="3:4" ht="15" customHeight="1">
      <c r="D31" s="517"/>
    </row>
    <row r="32" spans="3:4" ht="15" customHeight="1">
      <c r="D32" s="517"/>
    </row>
    <row r="33" spans="4:4" ht="15" customHeight="1">
      <c r="D33" s="517"/>
    </row>
  </sheetData>
  <pageMargins left="1" right="1" top="1.25" bottom="0.25" header="0.6" footer="0.25"/>
  <pageSetup scale="80"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7030A0"/>
    <pageSetUpPr fitToPage="1"/>
  </sheetPr>
  <dimension ref="B2:D24"/>
  <sheetViews>
    <sheetView showGridLines="0" workbookViewId="0">
      <selection activeCell="P24" sqref="P24"/>
    </sheetView>
  </sheetViews>
  <sheetFormatPr baseColWidth="10" defaultColWidth="9.140625" defaultRowHeight="15" customHeight="1"/>
  <cols>
    <col min="1" max="6" width="9.140625" style="467"/>
    <col min="7" max="7" width="14.28515625" style="467" customWidth="1"/>
    <col min="8" max="16384" width="9.140625" style="467"/>
  </cols>
  <sheetData>
    <row r="2" spans="2:3" ht="15" customHeight="1">
      <c r="B2" s="483"/>
    </row>
    <row r="3" spans="2:3" ht="15" customHeight="1">
      <c r="B3" s="483"/>
    </row>
    <row r="4" spans="2:3" ht="15" customHeight="1">
      <c r="B4" s="483"/>
    </row>
    <row r="5" spans="2:3" ht="15" customHeight="1">
      <c r="B5" s="483"/>
    </row>
    <row r="6" spans="2:3" ht="15" customHeight="1">
      <c r="B6" s="483"/>
    </row>
    <row r="7" spans="2:3" ht="15" customHeight="1">
      <c r="B7" s="483"/>
    </row>
    <row r="8" spans="2:3" ht="15" customHeight="1">
      <c r="B8" s="483"/>
    </row>
    <row r="9" spans="2:3" ht="15" customHeight="1">
      <c r="B9" s="483"/>
    </row>
    <row r="10" spans="2:3" ht="15" customHeight="1">
      <c r="C10" s="483"/>
    </row>
    <row r="11" spans="2:3" ht="15" customHeight="1">
      <c r="C11" s="483"/>
    </row>
    <row r="12" spans="2:3" ht="15" customHeight="1">
      <c r="C12" s="483"/>
    </row>
    <row r="13" spans="2:3" ht="15" customHeight="1">
      <c r="C13" s="483"/>
    </row>
    <row r="14" spans="2:3" ht="15" customHeight="1">
      <c r="C14" s="483"/>
    </row>
    <row r="15" spans="2:3" ht="15" customHeight="1">
      <c r="C15" s="483"/>
    </row>
    <row r="16" spans="2:3" ht="15" customHeight="1">
      <c r="C16" s="483"/>
    </row>
    <row r="17" spans="3:4" ht="15" customHeight="1">
      <c r="C17" s="483"/>
    </row>
    <row r="18" spans="3:4" ht="15" customHeight="1">
      <c r="D18" s="483"/>
    </row>
    <row r="19" spans="3:4" ht="15" customHeight="1">
      <c r="D19" s="483"/>
    </row>
    <row r="20" spans="3:4" ht="15" customHeight="1">
      <c r="D20" s="483"/>
    </row>
    <row r="21" spans="3:4" ht="15" customHeight="1">
      <c r="D21" s="483"/>
    </row>
    <row r="22" spans="3:4" ht="15" customHeight="1">
      <c r="D22" s="483"/>
    </row>
    <row r="23" spans="3:4" ht="15" customHeight="1">
      <c r="D23" s="483"/>
    </row>
    <row r="24" spans="3:4" ht="15" customHeight="1">
      <c r="D24" s="483"/>
    </row>
  </sheetData>
  <pageMargins left="1" right="1" top="1.25" bottom="0.25" header="0.6" footer="0.25"/>
  <pageSetup scale="8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48</vt:i4>
      </vt:variant>
      <vt:variant>
        <vt:lpstr>Rangos con nombre</vt:lpstr>
      </vt:variant>
      <vt:variant>
        <vt:i4>22</vt:i4>
      </vt:variant>
    </vt:vector>
  </HeadingPairs>
  <TitlesOfParts>
    <vt:vector size="70" baseType="lpstr">
      <vt:lpstr>IMF Tools TOC</vt:lpstr>
      <vt:lpstr>Soluciones</vt:lpstr>
      <vt:lpstr>Cuadro SEFI</vt:lpstr>
      <vt:lpstr>Cuadro PIB</vt:lpstr>
      <vt:lpstr>PIB_Nominal</vt:lpstr>
      <vt:lpstr>LRY</vt:lpstr>
      <vt:lpstr>PIB_real</vt:lpstr>
      <vt:lpstr>Deflactor_PIB</vt:lpstr>
      <vt:lpstr>BP</vt:lpstr>
      <vt:lpstr>PII</vt:lpstr>
      <vt:lpstr>Deuda_EX</vt:lpstr>
      <vt:lpstr>EX_Stock_Ind</vt:lpstr>
      <vt:lpstr>PIB real y brecha del producto</vt:lpstr>
      <vt:lpstr>Inflación</vt:lpstr>
      <vt:lpstr>TC nominal</vt:lpstr>
      <vt:lpstr>Consumo real privado</vt:lpstr>
      <vt:lpstr>Inversión privada real</vt:lpstr>
      <vt:lpstr>Importaciones reales de bienes</vt:lpstr>
      <vt:lpstr>Exportaciones reales de bienes</vt:lpstr>
      <vt:lpstr>Import. y export. nominales</vt:lpstr>
      <vt:lpstr>Servicios</vt:lpstr>
      <vt:lpstr>Ingreso primario</vt:lpstr>
      <vt:lpstr>Ingreso secundario</vt:lpstr>
      <vt:lpstr>Gob_EOG</vt:lpstr>
      <vt:lpstr>Gob_EOG_Ind</vt:lpstr>
      <vt:lpstr>Gob_Balance</vt:lpstr>
      <vt:lpstr>Gob_Stock_Ind</vt:lpstr>
      <vt:lpstr>Gob_GTR_Proy</vt:lpstr>
      <vt:lpstr>Hoja-Gob_Exp_Proy.</vt:lpstr>
      <vt:lpstr>MON_PSD</vt:lpstr>
      <vt:lpstr>Velocidad y demanda de dinero </vt:lpstr>
      <vt:lpstr>DD</vt:lpstr>
      <vt:lpstr>Regla de Taylor </vt:lpstr>
      <vt:lpstr>AEN y OPN totales</vt:lpstr>
      <vt:lpstr>Multiplicador del dinero</vt:lpstr>
      <vt:lpstr>AEN y OPN para BC</vt:lpstr>
      <vt:lpstr>MON_IND</vt:lpstr>
      <vt:lpstr>Flujo_fondos_2011</vt:lpstr>
      <vt:lpstr>Flujo_fondos_2012</vt:lpstr>
      <vt:lpstr>Flujo_fondos_2013</vt:lpstr>
      <vt:lpstr>Flujo_fondos_2014</vt:lpstr>
      <vt:lpstr> Apx - FPP.2x proyección</vt:lpstr>
      <vt:lpstr>Real (hasta 2013)</vt:lpstr>
      <vt:lpstr>Externo (hasta 2013)</vt:lpstr>
      <vt:lpstr>Fiscal y monetario (hasta 2013)</vt:lpstr>
      <vt:lpstr>Real (hasta 2014)</vt:lpstr>
      <vt:lpstr>Externo (hasta 2014) </vt:lpstr>
      <vt:lpstr>Fiscal y monetario (hasta 2014)</vt:lpstr>
      <vt:lpstr>' Apx - FPP.2x proyección'!Área_de_impresión</vt:lpstr>
      <vt:lpstr>'AEN y OPN para BC'!Área_de_impresión</vt:lpstr>
      <vt:lpstr>'AEN y OPN totales'!Área_de_impresión</vt:lpstr>
      <vt:lpstr>'Cuadro PIB'!Área_de_impresión</vt:lpstr>
      <vt:lpstr>'Cuadro SEFI'!Área_de_impresión</vt:lpstr>
      <vt:lpstr>Deflactor_PIB!Área_de_impresión</vt:lpstr>
      <vt:lpstr>EX_Stock_Ind!Área_de_impresión</vt:lpstr>
      <vt:lpstr>'Externo (hasta 2013)'!Área_de_impresión</vt:lpstr>
      <vt:lpstr>'Externo (hasta 2014) '!Área_de_impresión</vt:lpstr>
      <vt:lpstr>'Fiscal y monetario (hasta 2013)'!Área_de_impresión</vt:lpstr>
      <vt:lpstr>'Fiscal y monetario (hasta 2014)'!Área_de_impresión</vt:lpstr>
      <vt:lpstr>Gob_EOG!Área_de_impresión</vt:lpstr>
      <vt:lpstr>Gob_GTR_Proy!Área_de_impresión</vt:lpstr>
      <vt:lpstr>'Hoja-Gob_Exp_Proy.'!Área_de_impresión</vt:lpstr>
      <vt:lpstr>MON_IND!Área_de_impresión</vt:lpstr>
      <vt:lpstr>MON_PSD!Área_de_impresión</vt:lpstr>
      <vt:lpstr>'Multiplicador del dinero'!Área_de_impresión</vt:lpstr>
      <vt:lpstr>PIB_real!Área_de_impresión</vt:lpstr>
      <vt:lpstr>PII!Área_de_impresión</vt:lpstr>
      <vt:lpstr>'Real (hasta 2013)'!Área_de_impresión</vt:lpstr>
      <vt:lpstr>'Real (hasta 2014)'!Área_de_impresión</vt:lpstr>
      <vt:lpstr>'Velocidad y demanda de dinero '!Área_de_impresión</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IMF</dc:creator>
  <cp:lastModifiedBy>Jose Martin Romero Cuevas</cp:lastModifiedBy>
  <cp:lastPrinted>2015-07-01T19:03:30Z</cp:lastPrinted>
  <dcterms:created xsi:type="dcterms:W3CDTF">2013-08-23T05:16:15Z</dcterms:created>
  <dcterms:modified xsi:type="dcterms:W3CDTF">2023-11-17T21:15:11Z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