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hambonniere\Dropbox\Publications\CEA\Paper Lustulia\"/>
    </mc:Choice>
  </mc:AlternateContent>
  <bookViews>
    <workbookView xWindow="28680" yWindow="-120" windowWidth="29040" windowHeight="157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" l="1"/>
  <c r="AC31" i="1" l="1"/>
  <c r="AC30" i="1"/>
  <c r="AC29" i="1"/>
  <c r="L31" i="1"/>
  <c r="L30" i="1"/>
  <c r="L29" i="1"/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62" i="1"/>
  <c r="F63" i="1"/>
  <c r="F64" i="1"/>
  <c r="F65" i="1"/>
  <c r="F66" i="1"/>
  <c r="F67" i="1"/>
  <c r="F71" i="1"/>
  <c r="F72" i="1"/>
  <c r="F73" i="1"/>
  <c r="F74" i="1"/>
  <c r="F75" i="1"/>
  <c r="F76" i="1"/>
  <c r="S23" i="1" l="1"/>
  <c r="I64" i="1" l="1"/>
  <c r="J4" i="1"/>
  <c r="H58" i="1" l="1"/>
  <c r="H56" i="1"/>
  <c r="H55" i="1"/>
  <c r="H54" i="1"/>
  <c r="H53" i="1"/>
  <c r="H52" i="1"/>
  <c r="DJ76" i="1" l="1"/>
  <c r="DJ75" i="1"/>
  <c r="DJ74" i="1"/>
  <c r="DJ73" i="1"/>
  <c r="DJ72" i="1"/>
  <c r="DJ71" i="1"/>
  <c r="DI76" i="1"/>
  <c r="DI75" i="1"/>
  <c r="DI74" i="1"/>
  <c r="DI73" i="1"/>
  <c r="DI72" i="1"/>
  <c r="DI71" i="1"/>
  <c r="AH76" i="1"/>
  <c r="AH75" i="1"/>
  <c r="AH74" i="1"/>
  <c r="AH73" i="1"/>
  <c r="AH72" i="1"/>
  <c r="AH71" i="1"/>
  <c r="AG76" i="1"/>
  <c r="AG75" i="1"/>
  <c r="AG74" i="1"/>
  <c r="AG73" i="1"/>
  <c r="AG72" i="1"/>
  <c r="AG71" i="1"/>
  <c r="AF76" i="1"/>
  <c r="AF75" i="1"/>
  <c r="AF74" i="1"/>
  <c r="AF73" i="1"/>
  <c r="AF72" i="1"/>
  <c r="AF71" i="1"/>
  <c r="R76" i="1"/>
  <c r="AC76" i="1"/>
  <c r="R75" i="1"/>
  <c r="AC75" i="1"/>
  <c r="R74" i="1"/>
  <c r="AC74" i="1"/>
  <c r="R73" i="1"/>
  <c r="AC73" i="1"/>
  <c r="R72" i="1"/>
  <c r="AC72" i="1"/>
  <c r="R71" i="1"/>
  <c r="AC71" i="1"/>
  <c r="G76" i="1"/>
  <c r="G75" i="1"/>
  <c r="G74" i="1"/>
  <c r="G73" i="1"/>
  <c r="G72" i="1"/>
  <c r="G71" i="1"/>
  <c r="S67" i="1" l="1"/>
  <c r="U64" i="1"/>
  <c r="S64" i="1"/>
  <c r="S62" i="1"/>
  <c r="S63" i="1"/>
  <c r="DJ67" i="1"/>
  <c r="DJ66" i="1"/>
  <c r="DJ65" i="1"/>
  <c r="DJ64" i="1"/>
  <c r="DJ63" i="1"/>
  <c r="DJ62" i="1"/>
  <c r="DI67" i="1"/>
  <c r="DI66" i="1"/>
  <c r="DI65" i="1"/>
  <c r="DI64" i="1"/>
  <c r="DI63" i="1"/>
  <c r="DI62" i="1"/>
  <c r="AH67" i="1"/>
  <c r="AH66" i="1"/>
  <c r="AH65" i="1"/>
  <c r="AH64" i="1"/>
  <c r="AH63" i="1"/>
  <c r="AH62" i="1"/>
  <c r="AG67" i="1"/>
  <c r="AG66" i="1"/>
  <c r="AG65" i="1"/>
  <c r="AG64" i="1"/>
  <c r="AG63" i="1"/>
  <c r="AG62" i="1"/>
  <c r="AF67" i="1"/>
  <c r="AF66" i="1"/>
  <c r="AF65" i="1"/>
  <c r="AF64" i="1"/>
  <c r="AF63" i="1"/>
  <c r="AF62" i="1"/>
  <c r="Q67" i="1"/>
  <c r="Q66" i="1"/>
  <c r="Q65" i="1"/>
  <c r="Q64" i="1"/>
  <c r="Q63" i="1"/>
  <c r="Q62" i="1"/>
  <c r="P67" i="1"/>
  <c r="P66" i="1"/>
  <c r="P65" i="1"/>
  <c r="P64" i="1"/>
  <c r="P63" i="1"/>
  <c r="P62" i="1"/>
  <c r="O67" i="1"/>
  <c r="O66" i="1"/>
  <c r="O65" i="1"/>
  <c r="O64" i="1"/>
  <c r="O63" i="1"/>
  <c r="O62" i="1"/>
  <c r="N67" i="1"/>
  <c r="N66" i="1"/>
  <c r="N65" i="1"/>
  <c r="N64" i="1"/>
  <c r="N63" i="1"/>
  <c r="N62" i="1"/>
  <c r="M67" i="1"/>
  <c r="M66" i="1"/>
  <c r="M65" i="1"/>
  <c r="M64" i="1"/>
  <c r="M63" i="1"/>
  <c r="M62" i="1"/>
  <c r="L67" i="1"/>
  <c r="L66" i="1"/>
  <c r="L65" i="1"/>
  <c r="L64" i="1"/>
  <c r="L63" i="1"/>
  <c r="L62" i="1"/>
  <c r="R67" i="1"/>
  <c r="R66" i="1"/>
  <c r="R65" i="1"/>
  <c r="R64" i="1"/>
  <c r="R63" i="1"/>
  <c r="R62" i="1"/>
  <c r="AC67" i="1"/>
  <c r="AC66" i="1"/>
  <c r="AC65" i="1"/>
  <c r="AC64" i="1"/>
  <c r="AC63" i="1"/>
  <c r="AC62" i="1"/>
  <c r="H67" i="1"/>
  <c r="H66" i="1"/>
  <c r="H65" i="1"/>
  <c r="H64" i="1"/>
  <c r="H63" i="1"/>
  <c r="H62" i="1"/>
  <c r="G67" i="1"/>
  <c r="G66" i="1"/>
  <c r="G65" i="1"/>
  <c r="G64" i="1"/>
  <c r="G63" i="1"/>
  <c r="G62" i="1"/>
  <c r="DJ58" i="1" l="1"/>
  <c r="DJ57" i="1"/>
  <c r="DJ56" i="1"/>
  <c r="DJ55" i="1"/>
  <c r="DJ54" i="1"/>
  <c r="DJ53" i="1"/>
  <c r="DJ52" i="1"/>
  <c r="DJ51" i="1"/>
  <c r="DJ50" i="1"/>
  <c r="DI58" i="1"/>
  <c r="DI57" i="1"/>
  <c r="DI56" i="1"/>
  <c r="DI55" i="1"/>
  <c r="DI54" i="1"/>
  <c r="DI53" i="1"/>
  <c r="DI52" i="1"/>
  <c r="DI51" i="1"/>
  <c r="DI50" i="1"/>
  <c r="AH58" i="1"/>
  <c r="AH57" i="1"/>
  <c r="AH56" i="1"/>
  <c r="AH55" i="1"/>
  <c r="AH54" i="1"/>
  <c r="AH53" i="1"/>
  <c r="AH52" i="1"/>
  <c r="AH51" i="1"/>
  <c r="AH50" i="1"/>
  <c r="AG58" i="1"/>
  <c r="AG57" i="1"/>
  <c r="AG56" i="1"/>
  <c r="AG55" i="1"/>
  <c r="AG54" i="1"/>
  <c r="AG53" i="1"/>
  <c r="AG52" i="1"/>
  <c r="AG51" i="1"/>
  <c r="AG50" i="1"/>
  <c r="AF58" i="1"/>
  <c r="AF57" i="1"/>
  <c r="AF56" i="1"/>
  <c r="AF55" i="1"/>
  <c r="AF54" i="1"/>
  <c r="AF53" i="1"/>
  <c r="AF52" i="1"/>
  <c r="AF51" i="1"/>
  <c r="AF50" i="1"/>
  <c r="AC51" i="1"/>
  <c r="AC52" i="1"/>
  <c r="AC53" i="1"/>
  <c r="AC54" i="1"/>
  <c r="AC55" i="1"/>
  <c r="AC56" i="1"/>
  <c r="AC57" i="1"/>
  <c r="AC58" i="1"/>
  <c r="AC50" i="1"/>
  <c r="G58" i="1" l="1"/>
  <c r="G57" i="1"/>
  <c r="G56" i="1"/>
  <c r="H49" i="1" l="1"/>
  <c r="H48" i="1"/>
  <c r="H47" i="1"/>
  <c r="H46" i="1"/>
  <c r="H45" i="1"/>
  <c r="H44" i="1"/>
  <c r="H43" i="1"/>
  <c r="H40" i="1"/>
  <c r="H39" i="1"/>
  <c r="H38" i="1"/>
  <c r="H37" i="1"/>
  <c r="H36" i="1"/>
  <c r="H35" i="1"/>
  <c r="H34" i="1"/>
  <c r="H31" i="1"/>
  <c r="H30" i="1"/>
  <c r="H29" i="1"/>
  <c r="H28" i="1"/>
  <c r="H27" i="1"/>
  <c r="H26" i="1"/>
  <c r="H25" i="1"/>
  <c r="H21" i="1"/>
  <c r="H22" i="1"/>
  <c r="H20" i="1"/>
  <c r="H18" i="1"/>
  <c r="H19" i="1"/>
  <c r="H17" i="1"/>
  <c r="H16" i="1"/>
  <c r="H15" i="1"/>
  <c r="H14" i="1"/>
  <c r="L22" i="1"/>
  <c r="L21" i="1"/>
  <c r="L20" i="1"/>
  <c r="L19" i="1"/>
  <c r="L18" i="1"/>
  <c r="L17" i="1"/>
  <c r="L16" i="1"/>
  <c r="L15" i="1"/>
  <c r="L14" i="1"/>
  <c r="DJ49" i="1" l="1"/>
  <c r="DJ48" i="1"/>
  <c r="DJ47" i="1"/>
  <c r="DJ46" i="1"/>
  <c r="DJ45" i="1"/>
  <c r="DJ44" i="1"/>
  <c r="DJ43" i="1"/>
  <c r="DJ42" i="1"/>
  <c r="DJ41" i="1"/>
  <c r="DI49" i="1"/>
  <c r="DI48" i="1"/>
  <c r="DI47" i="1"/>
  <c r="DI46" i="1"/>
  <c r="DI45" i="1"/>
  <c r="DI44" i="1"/>
  <c r="DH44" i="1"/>
  <c r="DI43" i="1"/>
  <c r="DI42" i="1"/>
  <c r="DI41" i="1"/>
  <c r="DJ40" i="1"/>
  <c r="DI40" i="1"/>
  <c r="DJ39" i="1"/>
  <c r="DI39" i="1"/>
  <c r="DJ38" i="1"/>
  <c r="DI38" i="1"/>
  <c r="DJ37" i="1"/>
  <c r="DI37" i="1"/>
  <c r="DJ36" i="1"/>
  <c r="DI36" i="1"/>
  <c r="DJ35" i="1"/>
  <c r="DI35" i="1"/>
  <c r="DJ34" i="1"/>
  <c r="DI34" i="1"/>
  <c r="DJ33" i="1"/>
  <c r="DI33" i="1"/>
  <c r="DJ32" i="1"/>
  <c r="DI32" i="1"/>
  <c r="DJ31" i="1"/>
  <c r="DJ30" i="1"/>
  <c r="DJ29" i="1"/>
  <c r="DI31" i="1"/>
  <c r="DI30" i="1"/>
  <c r="DI29" i="1"/>
  <c r="DH29" i="1"/>
  <c r="DJ28" i="1"/>
  <c r="DI28" i="1"/>
  <c r="DJ27" i="1"/>
  <c r="DI27" i="1"/>
  <c r="DH28" i="1"/>
  <c r="DH27" i="1"/>
  <c r="DH26" i="1"/>
  <c r="DJ26" i="1"/>
  <c r="DI26" i="1"/>
  <c r="DJ25" i="1"/>
  <c r="DI25" i="1"/>
  <c r="DJ24" i="1"/>
  <c r="DI24" i="1"/>
  <c r="DJ23" i="1"/>
  <c r="DI23" i="1"/>
  <c r="DJ22" i="1"/>
  <c r="DI22" i="1"/>
  <c r="DJ21" i="1"/>
  <c r="DI21" i="1"/>
  <c r="DJ20" i="1"/>
  <c r="DI20" i="1"/>
  <c r="DJ19" i="1"/>
  <c r="DI19" i="1"/>
  <c r="DJ18" i="1"/>
  <c r="DI18" i="1"/>
  <c r="DJ17" i="1"/>
  <c r="DI17" i="1"/>
  <c r="DH19" i="1"/>
  <c r="DH18" i="1"/>
  <c r="DJ16" i="1"/>
  <c r="DI16" i="1"/>
  <c r="DJ15" i="1"/>
  <c r="DI15" i="1"/>
  <c r="DJ14" i="1"/>
  <c r="DI14" i="1"/>
  <c r="DJ4" i="1"/>
  <c r="DI4" i="1"/>
  <c r="H4" i="1"/>
  <c r="Q4" i="1"/>
  <c r="P4" i="1"/>
  <c r="O4" i="1"/>
  <c r="N4" i="1"/>
  <c r="M4" i="1"/>
  <c r="L4" i="1"/>
  <c r="G4" i="1"/>
  <c r="F4" i="1"/>
  <c r="AH49" i="1"/>
  <c r="AH48" i="1"/>
  <c r="AH47" i="1"/>
  <c r="AH46" i="1"/>
  <c r="AH45" i="1"/>
  <c r="AH44" i="1"/>
  <c r="AH43" i="1"/>
  <c r="AH42" i="1"/>
  <c r="AH41" i="1"/>
  <c r="AG49" i="1"/>
  <c r="AG48" i="1"/>
  <c r="AG46" i="1"/>
  <c r="AG47" i="1"/>
  <c r="AG45" i="1"/>
  <c r="AG44" i="1"/>
  <c r="AG43" i="1"/>
  <c r="AG42" i="1"/>
  <c r="AG41" i="1"/>
  <c r="AF49" i="1"/>
  <c r="AF47" i="1"/>
  <c r="AF48" i="1"/>
  <c r="AF46" i="1"/>
  <c r="AF45" i="1"/>
  <c r="AF44" i="1"/>
  <c r="AF43" i="1"/>
  <c r="AF42" i="1"/>
  <c r="AF41" i="1"/>
  <c r="AH40" i="1"/>
  <c r="AH39" i="1"/>
  <c r="AH38" i="1"/>
  <c r="AH37" i="1"/>
  <c r="AH36" i="1"/>
  <c r="AH35" i="1"/>
  <c r="AH34" i="1"/>
  <c r="AH33" i="1"/>
  <c r="AH32" i="1"/>
  <c r="AG40" i="1"/>
  <c r="AG39" i="1"/>
  <c r="AG38" i="1"/>
  <c r="AG37" i="1"/>
  <c r="AG36" i="1"/>
  <c r="AG35" i="1"/>
  <c r="AG34" i="1"/>
  <c r="AG33" i="1"/>
  <c r="AG32" i="1"/>
  <c r="AF40" i="1"/>
  <c r="AF39" i="1"/>
  <c r="AF38" i="1"/>
  <c r="AF37" i="1"/>
  <c r="AF36" i="1"/>
  <c r="AF35" i="1"/>
  <c r="AF34" i="1"/>
  <c r="AF33" i="1"/>
  <c r="AF32" i="1"/>
  <c r="AH31" i="1"/>
  <c r="AH30" i="1"/>
  <c r="AH29" i="1"/>
  <c r="AH28" i="1"/>
  <c r="AH27" i="1"/>
  <c r="AH26" i="1"/>
  <c r="AH25" i="1"/>
  <c r="AH24" i="1"/>
  <c r="AH23" i="1"/>
  <c r="AG31" i="1"/>
  <c r="AG30" i="1"/>
  <c r="AG29" i="1"/>
  <c r="AG28" i="1"/>
  <c r="AG27" i="1"/>
  <c r="AG26" i="1"/>
  <c r="AG25" i="1"/>
  <c r="AG24" i="1"/>
  <c r="AG23" i="1"/>
  <c r="AF31" i="1"/>
  <c r="AF30" i="1"/>
  <c r="AF29" i="1"/>
  <c r="AF28" i="1"/>
  <c r="AF27" i="1"/>
  <c r="AF26" i="1"/>
  <c r="AF25" i="1"/>
  <c r="AF24" i="1"/>
  <c r="AF23" i="1"/>
  <c r="AC23" i="1"/>
  <c r="AC24" i="1"/>
  <c r="AC25" i="1"/>
  <c r="AC26" i="1"/>
  <c r="AC27" i="1"/>
  <c r="AC28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15" i="1"/>
  <c r="AC16" i="1"/>
  <c r="AC17" i="1"/>
  <c r="AC18" i="1"/>
  <c r="AC19" i="1"/>
  <c r="AC20" i="1"/>
  <c r="AC21" i="1"/>
  <c r="AC22" i="1"/>
  <c r="AH22" i="1"/>
  <c r="AH21" i="1"/>
  <c r="AH20" i="1"/>
  <c r="AH19" i="1"/>
  <c r="AH18" i="1"/>
  <c r="AH17" i="1"/>
  <c r="AH16" i="1"/>
  <c r="AH15" i="1"/>
  <c r="AH14" i="1"/>
  <c r="AG22" i="1"/>
  <c r="AG21" i="1"/>
  <c r="AG20" i="1"/>
  <c r="AG19" i="1"/>
  <c r="AG18" i="1"/>
  <c r="AG17" i="1"/>
  <c r="AG16" i="1"/>
  <c r="AG15" i="1"/>
  <c r="AG14" i="1"/>
  <c r="AF22" i="1"/>
  <c r="AF21" i="1"/>
  <c r="AF20" i="1"/>
  <c r="AF19" i="1"/>
  <c r="AF18" i="1"/>
  <c r="AF17" i="1"/>
  <c r="AF16" i="1"/>
  <c r="AF15" i="1"/>
  <c r="AF14" i="1"/>
  <c r="AC14" i="1"/>
  <c r="G49" i="1" l="1"/>
  <c r="G48" i="1"/>
  <c r="G47" i="1"/>
  <c r="G46" i="1"/>
  <c r="G45" i="1"/>
  <c r="G44" i="1"/>
  <c r="G40" i="1"/>
  <c r="G39" i="1"/>
  <c r="G38" i="1"/>
  <c r="G31" i="1"/>
  <c r="G30" i="1"/>
  <c r="G29" i="1"/>
  <c r="G22" i="1"/>
  <c r="G21" i="1"/>
  <c r="G20" i="1"/>
</calcChain>
</file>

<file path=xl/comments1.xml><?xml version="1.0" encoding="utf-8"?>
<comments xmlns="http://schemas.openxmlformats.org/spreadsheetml/2006/main">
  <authors>
    <author>Auteur</author>
    <author>CHAMBONNIERE Paul 265104</author>
  </authors>
  <commentList>
    <comment ref="DL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Taken as the average of the three measurements</t>
        </r>
      </text>
    </comment>
    <comment ref="DM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Calculated as (max - min)/2</t>
        </r>
      </text>
    </comment>
    <comment ref="DQ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Taken as the last measured value</t>
        </r>
      </text>
    </comment>
    <comment ref="ED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Taken as the average of the three measurements</t>
        </r>
      </text>
    </comment>
    <comment ref="EE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Calculated as (max - min)/2</t>
        </r>
      </text>
    </comment>
    <comment ref="EF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Taken as the last measured value</t>
        </r>
      </text>
    </comment>
    <comment ref="K29" authorId="1" shapeId="0">
      <text>
        <r>
          <rPr>
            <b/>
            <sz val="9"/>
            <color indexed="81"/>
            <rFont val="Tahoma"/>
            <family val="2"/>
          </rPr>
          <t>CHAMBONNIERE Paul 265104:</t>
        </r>
        <r>
          <rPr>
            <sz val="9"/>
            <color indexed="81"/>
            <rFont val="Tahoma"/>
            <family val="2"/>
          </rPr>
          <t xml:space="preserve">
Doubt on the dilution factor: likely to be 0,1 mL in 2,1 mL (instead of 0,2 mL in 2,2 mL). Corrected accordingly with no certainty.</t>
        </r>
      </text>
    </comment>
    <comment ref="R40" authorId="1" shapeId="0">
      <text>
        <r>
          <rPr>
            <b/>
            <sz val="9"/>
            <color indexed="81"/>
            <rFont val="Tahoma"/>
            <family val="2"/>
          </rPr>
          <t>CHAMBONNIERE Paul 265104:</t>
        </r>
        <r>
          <rPr>
            <sz val="9"/>
            <color indexed="81"/>
            <rFont val="Tahoma"/>
            <family val="2"/>
          </rPr>
          <t xml:space="preserve">
Error estimation based on the differences for OD measured as sample control and O2 cell measurement</t>
        </r>
      </text>
    </comment>
    <comment ref="H57" authorId="1" shapeId="0">
      <text>
        <r>
          <rPr>
            <b/>
            <sz val="9"/>
            <color indexed="81"/>
            <rFont val="Tahoma"/>
            <family val="2"/>
          </rPr>
          <t>CHAMBONNIERE Paul 265104:</t>
        </r>
        <r>
          <rPr>
            <sz val="9"/>
            <color indexed="81"/>
            <rFont val="Tahoma"/>
            <family val="2"/>
          </rPr>
          <t xml:space="preserve">
12,5 initially but doesn't make sense</t>
        </r>
      </text>
    </comment>
  </commentList>
</comments>
</file>

<file path=xl/sharedStrings.xml><?xml version="1.0" encoding="utf-8"?>
<sst xmlns="http://schemas.openxmlformats.org/spreadsheetml/2006/main" count="548" uniqueCount="260">
  <si>
    <t>Date</t>
  </si>
  <si>
    <t>Dry weight (g/L)</t>
  </si>
  <si>
    <t>Dmean</t>
  </si>
  <si>
    <t>D10</t>
  </si>
  <si>
    <t>D25</t>
  </si>
  <si>
    <t>D50</t>
  </si>
  <si>
    <t>D75</t>
  </si>
  <si>
    <t>D90</t>
  </si>
  <si>
    <t>Volume tested (mL)</t>
  </si>
  <si>
    <t>Dilution tested (Factor)</t>
  </si>
  <si>
    <t>OD880</t>
  </si>
  <si>
    <t>OD683</t>
  </si>
  <si>
    <t>Light intensity 1</t>
  </si>
  <si>
    <t>Error productivity 1</t>
  </si>
  <si>
    <t>N point light 1</t>
  </si>
  <si>
    <t>R2 light 1</t>
  </si>
  <si>
    <t>p value light 1</t>
  </si>
  <si>
    <t>Error respiration 1</t>
  </si>
  <si>
    <t>N point dark 1</t>
  </si>
  <si>
    <t>R2 dark 1</t>
  </si>
  <si>
    <t xml:space="preserve">p value dark 1 </t>
  </si>
  <si>
    <t>Light intensity 2</t>
  </si>
  <si>
    <t>Error productivity 2</t>
  </si>
  <si>
    <t>N point light 2</t>
  </si>
  <si>
    <t>R2 light 2</t>
  </si>
  <si>
    <t>p value light 2</t>
  </si>
  <si>
    <t>Error respiration 2</t>
  </si>
  <si>
    <t>N point dark 2</t>
  </si>
  <si>
    <t>R2 dark 2</t>
  </si>
  <si>
    <t>p value dark 2</t>
  </si>
  <si>
    <t>TOC</t>
  </si>
  <si>
    <t>Optical density</t>
  </si>
  <si>
    <t>Cell count</t>
  </si>
  <si>
    <t>Starch analysis</t>
  </si>
  <si>
    <t>Chlorophyll</t>
  </si>
  <si>
    <t>Photon Flux</t>
  </si>
  <si>
    <t>Lipids analysis</t>
  </si>
  <si>
    <t>Units</t>
  </si>
  <si>
    <t>g/L</t>
  </si>
  <si>
    <t>mg/L</t>
  </si>
  <si>
    <t>/mL</t>
  </si>
  <si>
    <t>g/g</t>
  </si>
  <si>
    <t>mL</t>
  </si>
  <si>
    <t>mumol photons</t>
  </si>
  <si>
    <t>g/g/</t>
  </si>
  <si>
    <t>Day</t>
  </si>
  <si>
    <t>Sample</t>
  </si>
  <si>
    <t>DW1</t>
  </si>
  <si>
    <t>DW2</t>
  </si>
  <si>
    <t>Dilution factor test TOC</t>
  </si>
  <si>
    <t>TC</t>
  </si>
  <si>
    <t>TN</t>
  </si>
  <si>
    <t>Dilution factor OD</t>
  </si>
  <si>
    <t>Abs 880 nm</t>
  </si>
  <si>
    <t>Abs 683 nm</t>
  </si>
  <si>
    <t>Abs 483 nm</t>
  </si>
  <si>
    <t>Abs 441 nm</t>
  </si>
  <si>
    <t>Abs 623 nm</t>
  </si>
  <si>
    <t>Abs 654 nm</t>
  </si>
  <si>
    <t>Dilution factor cell count</t>
  </si>
  <si>
    <t>Cell count 1</t>
  </si>
  <si>
    <t>% 1 (g glucose/g dw)</t>
  </si>
  <si>
    <t>% 2 (g glucose/g dw)</t>
  </si>
  <si>
    <t>Dilution factor chl</t>
  </si>
  <si>
    <t>Volume sampled (mL)</t>
  </si>
  <si>
    <t>Volume extraction (mL)</t>
  </si>
  <si>
    <t>A_665</t>
  </si>
  <si>
    <t>A _649</t>
  </si>
  <si>
    <t>A_480</t>
  </si>
  <si>
    <t>Total light absorbed from the start</t>
  </si>
  <si>
    <t>C4:0</t>
  </si>
  <si>
    <t>C4:0 2</t>
  </si>
  <si>
    <t>C6:0</t>
  </si>
  <si>
    <t>C6:0 2</t>
  </si>
  <si>
    <t>C8:0</t>
  </si>
  <si>
    <t>C8:0 2</t>
  </si>
  <si>
    <t>C10:0</t>
  </si>
  <si>
    <t>C10:0 2</t>
  </si>
  <si>
    <t>C11:0</t>
  </si>
  <si>
    <t>C11:0 2</t>
  </si>
  <si>
    <t>C12:0 - Methyl Laurate</t>
  </si>
  <si>
    <t>C12:0 - Methyl Laurate 2</t>
  </si>
  <si>
    <t>C13:0</t>
  </si>
  <si>
    <t>C13:0 2</t>
  </si>
  <si>
    <t>C14:0</t>
  </si>
  <si>
    <t>C14:0 2</t>
  </si>
  <si>
    <t>C14:1[cis-9]</t>
  </si>
  <si>
    <t>C14:1[cis-9] 2</t>
  </si>
  <si>
    <t>C15:0</t>
  </si>
  <si>
    <t>C15:0 2</t>
  </si>
  <si>
    <t>C15:1[cis-10]</t>
  </si>
  <si>
    <t>C15:1[cis-10] 2</t>
  </si>
  <si>
    <t>C16:0</t>
  </si>
  <si>
    <t>C16:0 2</t>
  </si>
  <si>
    <t>C16:1[cis-9]</t>
  </si>
  <si>
    <t>C16:1[cis-9] 2</t>
  </si>
  <si>
    <t>C17:0</t>
  </si>
  <si>
    <t>C17:0 2</t>
  </si>
  <si>
    <t>C17:1[cis-10]</t>
  </si>
  <si>
    <t>C17:1[cis-10] 2</t>
  </si>
  <si>
    <t>C18:0</t>
  </si>
  <si>
    <t>C18:0 2</t>
  </si>
  <si>
    <t>C18:1[cis-9] - Methyl Ester cis-9-Oleic Acid</t>
  </si>
  <si>
    <t>C18:1[cis-9] - Methyl Ester cis-9-Oleic Acid 2</t>
  </si>
  <si>
    <t>C18:1[cis-11] - Methyl Ester cis-11-Vaccenic</t>
  </si>
  <si>
    <t>C18:1[cis-11] - Methyl Ester cis-11-Vaccenic 2</t>
  </si>
  <si>
    <t>C18:2[cis-9,12]</t>
  </si>
  <si>
    <t>C18:2[cis-9,12] 2</t>
  </si>
  <si>
    <t>C18:2[trans-9,12]</t>
  </si>
  <si>
    <t>C18:2[trans-9,12] 2</t>
  </si>
  <si>
    <t>C18:3[cis-6,9,12] - Methyl Linolenate</t>
  </si>
  <si>
    <t>C18:3[cis-6,9,12] - Methyl Linolenate 2</t>
  </si>
  <si>
    <t>C18:3[cis-9,12,15]</t>
  </si>
  <si>
    <t>C18:3[cis-9,12,15] 2</t>
  </si>
  <si>
    <t>C20:0</t>
  </si>
  <si>
    <t>C20:0 2</t>
  </si>
  <si>
    <t>C20:1[cis-11] - Methyl cis-11-Eicosenoate</t>
  </si>
  <si>
    <t>C20:1[cis-11] - Methyl cis-11-Eicosenoate 2</t>
  </si>
  <si>
    <t>C20:2[cis-11,14]</t>
  </si>
  <si>
    <t>C20:2[cis-11,14] 2</t>
  </si>
  <si>
    <t>C20:3[cis-8,11,14]</t>
  </si>
  <si>
    <t>C20:3[cis-8,11,14] 2</t>
  </si>
  <si>
    <t>C21:0 - Methyl Heinecosanoate</t>
  </si>
  <si>
    <t>C21:0 - Methyl Heinecosanoate 2</t>
  </si>
  <si>
    <t>C20:4[cis-5,8,11,14]</t>
  </si>
  <si>
    <t>C20:4[cis-5,8,11,14] 2</t>
  </si>
  <si>
    <t>C20:3[cis-11,14,17]</t>
  </si>
  <si>
    <t>C20:3[cis-11,14,17] 2</t>
  </si>
  <si>
    <t>Methyl cis 5,8,11,14,17 eicosapentaenoate</t>
  </si>
  <si>
    <t>Methyl cis 5,8,11,14,17 eicosapentaenoate 2</t>
  </si>
  <si>
    <t>C22:0FAME</t>
  </si>
  <si>
    <t>C22:0FAME 2</t>
  </si>
  <si>
    <t>C22:1[cis-13]</t>
  </si>
  <si>
    <t>C22:1[cis-13] 2</t>
  </si>
  <si>
    <t>C22:2[cis-13,16]</t>
  </si>
  <si>
    <t>C22:2[cis-13,16] 2</t>
  </si>
  <si>
    <t>C23:0</t>
  </si>
  <si>
    <t>C23:0 2</t>
  </si>
  <si>
    <t>C24:0</t>
  </si>
  <si>
    <t>C24:0 2</t>
  </si>
  <si>
    <t>C22:6 Methyl docosahexaenoate</t>
  </si>
  <si>
    <t>C22:6 Methyl docosahexaenoate 2</t>
  </si>
  <si>
    <t>C24:1[cis-15]</t>
  </si>
  <si>
    <t>C24:1[cis-15] 2</t>
  </si>
  <si>
    <t>Total FAME</t>
  </si>
  <si>
    <t>Total FAME 2</t>
  </si>
  <si>
    <t>O2 Cell</t>
  </si>
  <si>
    <t>mumol/m2/s</t>
  </si>
  <si>
    <t xml:space="preserve">Productivity 1 </t>
  </si>
  <si>
    <t>mgO2/L/min</t>
  </si>
  <si>
    <t xml:space="preserve">Respiration 1 </t>
  </si>
  <si>
    <t>Mother</t>
  </si>
  <si>
    <t>LoCoLoLi</t>
  </si>
  <si>
    <t>LoCoMeLi</t>
  </si>
  <si>
    <t>LoCoHiLi</t>
  </si>
  <si>
    <t>MeCoMeLi</t>
  </si>
  <si>
    <t>MeCoLoLi</t>
  </si>
  <si>
    <t>MeCoHiLi</t>
  </si>
  <si>
    <t>HiCoLoLi</t>
  </si>
  <si>
    <t>HiCoMeLi</t>
  </si>
  <si>
    <t>HiCoHiLi</t>
  </si>
  <si>
    <t>Concentration</t>
  </si>
  <si>
    <t>Light</t>
  </si>
  <si>
    <t>Productivity 2</t>
  </si>
  <si>
    <t>Respiration 2</t>
  </si>
  <si>
    <t>2.568</t>
  </si>
  <si>
    <t>2.791</t>
  </si>
  <si>
    <t>3.077</t>
  </si>
  <si>
    <t>3.498</t>
  </si>
  <si>
    <t>4.198</t>
  </si>
  <si>
    <t>2.488</t>
  </si>
  <si>
    <t>2.786</t>
  </si>
  <si>
    <t>3.555</t>
  </si>
  <si>
    <t>4.465</t>
  </si>
  <si>
    <t>5.380</t>
  </si>
  <si>
    <t>2.650</t>
  </si>
  <si>
    <t>3.035</t>
  </si>
  <si>
    <t>3.876</t>
  </si>
  <si>
    <t>4.805</t>
  </si>
  <si>
    <t>5.652</t>
  </si>
  <si>
    <t>3.193</t>
  </si>
  <si>
    <t>3.879</t>
  </si>
  <si>
    <t>4.575</t>
  </si>
  <si>
    <t>5.388</t>
  </si>
  <si>
    <t>6.131</t>
  </si>
  <si>
    <t>2.831</t>
  </si>
  <si>
    <t>3.323</t>
  </si>
  <si>
    <t>4.049</t>
  </si>
  <si>
    <t>4.720</t>
  </si>
  <si>
    <t>5.459</t>
  </si>
  <si>
    <t>2.633</t>
  </si>
  <si>
    <t>3.104</t>
  </si>
  <si>
    <t>3.918</t>
  </si>
  <si>
    <t>4.658</t>
  </si>
  <si>
    <t>5.473</t>
  </si>
  <si>
    <t>4.026</t>
  </si>
  <si>
    <t>2.730</t>
  </si>
  <si>
    <t>3.208</t>
  </si>
  <si>
    <t>3.892</t>
  </si>
  <si>
    <t>4.648</t>
  </si>
  <si>
    <t>5.329</t>
  </si>
  <si>
    <t>2.802</t>
  </si>
  <si>
    <t>3.275</t>
  </si>
  <si>
    <t>3.987</t>
  </si>
  <si>
    <t>4.706</t>
  </si>
  <si>
    <t>5.295</t>
  </si>
  <si>
    <t>2.824</t>
  </si>
  <si>
    <t>3.325</t>
  </si>
  <si>
    <t>4.006</t>
  </si>
  <si>
    <t>4.583</t>
  </si>
  <si>
    <t>5.303</t>
  </si>
  <si>
    <t>2.696</t>
  </si>
  <si>
    <t>2.977</t>
  </si>
  <si>
    <t>3.331</t>
  </si>
  <si>
    <t>3.857</t>
  </si>
  <si>
    <t>4.670</t>
  </si>
  <si>
    <t>2.916</t>
  </si>
  <si>
    <t>3.394</t>
  </si>
  <si>
    <t>4.262</t>
  </si>
  <si>
    <t>5.163</t>
  </si>
  <si>
    <t>6.090</t>
  </si>
  <si>
    <t>2.384</t>
  </si>
  <si>
    <t>2.612</t>
  </si>
  <si>
    <t>3.005</t>
  </si>
  <si>
    <t>3.810</t>
  </si>
  <si>
    <t>4.667</t>
  </si>
  <si>
    <t>2.593</t>
  </si>
  <si>
    <t>2.869</t>
  </si>
  <si>
    <t>3.277</t>
  </si>
  <si>
    <t>4.128</t>
  </si>
  <si>
    <t>5.068</t>
  </si>
  <si>
    <t>2.860</t>
  </si>
  <si>
    <t>3.197</t>
  </si>
  <si>
    <t>3.865</t>
  </si>
  <si>
    <t>5.519</t>
  </si>
  <si>
    <t>2.642</t>
  </si>
  <si>
    <t>3.112</t>
  </si>
  <si>
    <t>3.877</t>
  </si>
  <si>
    <t>4.690</t>
  </si>
  <si>
    <t>5.394</t>
  </si>
  <si>
    <t>2.985</t>
  </si>
  <si>
    <t>3.748</t>
  </si>
  <si>
    <t>4.420</t>
  </si>
  <si>
    <t>5.126</t>
  </si>
  <si>
    <t>Light absorbed delta t</t>
  </si>
  <si>
    <t>R1</t>
  </si>
  <si>
    <t>Reactor depth (m)</t>
  </si>
  <si>
    <t>Reactor volume (mL)</t>
  </si>
  <si>
    <t>Volume sampled</t>
  </si>
  <si>
    <t>Light intensity (mumol/m2/s)</t>
  </si>
  <si>
    <t>Transmittance filter</t>
  </si>
  <si>
    <t>Pm cell</t>
  </si>
  <si>
    <t>K cell</t>
  </si>
  <si>
    <t>25%</t>
  </si>
  <si>
    <t>50%</t>
  </si>
  <si>
    <t>100%</t>
  </si>
  <si>
    <r>
      <t>0.1 g</t>
    </r>
    <r>
      <rPr>
        <sz val="11"/>
        <color theme="1"/>
        <rFont val="Calibri"/>
        <family val="2"/>
      </rPr>
      <t>.</t>
    </r>
    <r>
      <rPr>
        <sz val="9.35"/>
        <color theme="1"/>
        <rFont val="Calibri"/>
        <family val="2"/>
      </rPr>
      <t>L-1</t>
    </r>
  </si>
  <si>
    <r>
      <t>0.1 g.</t>
    </r>
    <r>
      <rPr>
        <sz val="9.35"/>
        <color theme="1"/>
        <rFont val="Calibri"/>
        <family val="2"/>
      </rPr>
      <t>L-1</t>
    </r>
  </si>
  <si>
    <r>
      <t>0.3 g</t>
    </r>
    <r>
      <rPr>
        <sz val="11"/>
        <color theme="1"/>
        <rFont val="Calibri"/>
        <family val="2"/>
      </rPr>
      <t>.</t>
    </r>
    <r>
      <rPr>
        <sz val="9.35"/>
        <color theme="1"/>
        <rFont val="Calibri"/>
        <family val="2"/>
      </rPr>
      <t>L-1</t>
    </r>
  </si>
  <si>
    <r>
      <t>1.0 g</t>
    </r>
    <r>
      <rPr>
        <sz val="11"/>
        <color theme="1"/>
        <rFont val="Calibri"/>
        <family val="2"/>
      </rPr>
      <t>.</t>
    </r>
    <r>
      <rPr>
        <sz val="9.35"/>
        <color theme="1"/>
        <rFont val="Calibri"/>
        <family val="2"/>
      </rPr>
      <t>L-1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</si>
</sst>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9" applyNumberFormat="0" applyFill="0" applyAlignment="0" applyProtection="0"/>
    <xf numFmtId="0" fontId="8" fillId="0" borderId="20" applyNumberFormat="0" applyFill="0" applyAlignment="0" applyProtection="0"/>
    <xf numFmtId="0" fontId="9" fillId="0" borderId="21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22" applyNumberFormat="0" applyAlignment="0" applyProtection="0"/>
    <xf numFmtId="0" fontId="14" fillId="6" borderId="23" applyNumberFormat="0" applyAlignment="0" applyProtection="0"/>
    <xf numFmtId="0" fontId="15" fillId="6" borderId="22" applyNumberFormat="0" applyAlignment="0" applyProtection="0"/>
    <xf numFmtId="0" fontId="16" fillId="0" borderId="24" applyNumberFormat="0" applyFill="0" applyAlignment="0" applyProtection="0"/>
    <xf numFmtId="0" fontId="17" fillId="7" borderId="25" applyNumberFormat="0" applyAlignment="0" applyProtection="0"/>
    <xf numFmtId="0" fontId="18" fillId="0" borderId="0" applyNumberFormat="0" applyFill="0" applyBorder="0" applyAlignment="0" applyProtection="0"/>
    <xf numFmtId="0" fontId="5" fillId="8" borderId="26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27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0" fillId="32" borderId="0" applyNumberFormat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9" fontId="1" fillId="0" borderId="7" xfId="0" applyNumberFormat="1" applyFont="1" applyBorder="1" applyAlignment="1">
      <alignment wrapText="1"/>
    </xf>
    <xf numFmtId="9" fontId="1" fillId="0" borderId="8" xfId="0" applyNumberFormat="1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9" xfId="0" applyNumberFormat="1" applyBorder="1"/>
    <xf numFmtId="14" fontId="0" fillId="0" borderId="2" xfId="0" applyNumberFormat="1" applyBorder="1"/>
    <xf numFmtId="0" fontId="0" fillId="0" borderId="4" xfId="0" applyBorder="1"/>
    <xf numFmtId="0" fontId="0" fillId="0" borderId="2" xfId="0" applyBorder="1"/>
    <xf numFmtId="0" fontId="0" fillId="0" borderId="12" xfId="0" applyBorder="1"/>
    <xf numFmtId="11" fontId="0" fillId="0" borderId="3" xfId="0" applyNumberFormat="1" applyBorder="1"/>
    <xf numFmtId="11" fontId="0" fillId="0" borderId="0" xfId="0" applyNumberFormat="1"/>
    <xf numFmtId="11" fontId="0" fillId="0" borderId="13" xfId="0" applyNumberFormat="1" applyBorder="1"/>
    <xf numFmtId="0" fontId="4" fillId="0" borderId="13" xfId="0" applyFont="1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4" fillId="0" borderId="3" xfId="0" applyFont="1" applyBorder="1" applyAlignment="1">
      <alignment wrapText="1"/>
    </xf>
    <xf numFmtId="0" fontId="4" fillId="0" borderId="0" xfId="0" applyFont="1" applyAlignment="1">
      <alignment wrapText="1"/>
    </xf>
    <xf numFmtId="164" fontId="0" fillId="0" borderId="2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164" fontId="0" fillId="0" borderId="12" xfId="0" applyNumberFormat="1" applyBorder="1"/>
    <xf numFmtId="0" fontId="0" fillId="0" borderId="14" xfId="0" applyBorder="1"/>
    <xf numFmtId="11" fontId="0" fillId="0" borderId="1" xfId="0" applyNumberFormat="1" applyBorder="1"/>
    <xf numFmtId="11" fontId="0" fillId="0" borderId="11" xfId="0" applyNumberFormat="1" applyBorder="1"/>
    <xf numFmtId="11" fontId="0" fillId="0" borderId="15" xfId="0" applyNumberFormat="1" applyBorder="1"/>
    <xf numFmtId="11" fontId="1" fillId="0" borderId="1" xfId="0" applyNumberFormat="1" applyFont="1" applyBorder="1"/>
    <xf numFmtId="11" fontId="1" fillId="0" borderId="11" xfId="0" applyNumberFormat="1" applyFont="1" applyBorder="1"/>
    <xf numFmtId="11" fontId="1" fillId="0" borderId="5" xfId="0" applyNumberFormat="1" applyFont="1" applyBorder="1" applyAlignment="1">
      <alignment wrapText="1"/>
    </xf>
    <xf numFmtId="11" fontId="0" fillId="0" borderId="2" xfId="0" applyNumberFormat="1" applyBorder="1"/>
    <xf numFmtId="11" fontId="0" fillId="0" borderId="9" xfId="0" applyNumberFormat="1" applyBorder="1"/>
    <xf numFmtId="11" fontId="0" fillId="0" borderId="12" xfId="0" applyNumberFormat="1" applyBorder="1"/>
    <xf numFmtId="2" fontId="0" fillId="0" borderId="0" xfId="0" applyNumberFormat="1"/>
    <xf numFmtId="11" fontId="0" fillId="0" borderId="4" xfId="0" applyNumberFormat="1" applyBorder="1"/>
    <xf numFmtId="11" fontId="0" fillId="0" borderId="10" xfId="0" applyNumberFormat="1" applyBorder="1"/>
    <xf numFmtId="11" fontId="0" fillId="0" borderId="14" xfId="0" applyNumberFormat="1" applyBorder="1"/>
    <xf numFmtId="11" fontId="0" fillId="0" borderId="6" xfId="0" applyNumberFormat="1" applyBorder="1"/>
    <xf numFmtId="11" fontId="0" fillId="0" borderId="8" xfId="0" applyNumberFormat="1" applyBorder="1"/>
    <xf numFmtId="164" fontId="0" fillId="0" borderId="3" xfId="0" applyNumberFormat="1" applyBorder="1"/>
    <xf numFmtId="164" fontId="0" fillId="0" borderId="0" xfId="0" applyNumberFormat="1"/>
    <xf numFmtId="164" fontId="0" fillId="0" borderId="13" xfId="0" applyNumberFormat="1" applyBorder="1"/>
    <xf numFmtId="9" fontId="0" fillId="0" borderId="4" xfId="0" quotePrefix="1" applyNumberFormat="1" applyBorder="1"/>
    <xf numFmtId="9" fontId="0" fillId="0" borderId="10" xfId="0" quotePrefix="1" applyNumberFormat="1" applyBorder="1"/>
    <xf numFmtId="9" fontId="0" fillId="0" borderId="14" xfId="0" quotePrefix="1" applyNumberFormat="1" applyBorder="1"/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N77"/>
  <sheetViews>
    <sheetView tabSelected="1" zoomScale="85" zoomScaleNormal="85" workbookViewId="0">
      <pane xSplit="5" ySplit="3" topLeftCell="DR52" activePane="bottomRight" state="frozen"/>
      <selection pane="topRight" activeCell="D1" sqref="D1"/>
      <selection pane="bottomLeft" activeCell="A4" sqref="A4"/>
      <selection pane="bottomRight" activeCell="EB65" sqref="EB65"/>
    </sheetView>
  </sheetViews>
  <sheetFormatPr baseColWidth="10" defaultColWidth="10.88671875" defaultRowHeight="14.4" x14ac:dyDescent="0.3"/>
  <cols>
    <col min="1" max="1" width="10.6640625" style="19" bestFit="1" customWidth="1"/>
    <col min="2" max="2" width="5.5546875" bestFit="1" customWidth="1"/>
    <col min="3" max="3" width="10" bestFit="1" customWidth="1"/>
    <col min="4" max="4" width="12.5546875" bestFit="1" customWidth="1"/>
    <col min="5" max="5" width="7.6640625" style="20" bestFit="1" customWidth="1"/>
    <col min="6" max="6" width="12.44140625" style="19" bestFit="1" customWidth="1"/>
    <col min="7" max="7" width="6.109375" style="20" bestFit="1" customWidth="1"/>
    <col min="8" max="8" width="12.44140625" style="19" bestFit="1" customWidth="1"/>
    <col min="9" max="9" width="9.33203125" bestFit="1" customWidth="1"/>
    <col min="10" max="10" width="6.109375" style="20" bestFit="1" customWidth="1"/>
    <col min="11" max="11" width="9.5546875" bestFit="1" customWidth="1"/>
    <col min="16" max="16" width="11.5546875" style="19"/>
    <col min="17" max="17" width="11.5546875" style="20"/>
    <col min="18" max="18" width="9.6640625" bestFit="1" customWidth="1"/>
    <col min="19" max="19" width="11.5546875" customWidth="1"/>
    <col min="20" max="20" width="7.33203125" bestFit="1" customWidth="1"/>
    <col min="21" max="24" width="6.109375" bestFit="1" customWidth="1"/>
    <col min="25" max="25" width="6.109375" style="20" bestFit="1" customWidth="1"/>
    <col min="26" max="26" width="11.5546875" style="19" customWidth="1"/>
    <col min="27" max="27" width="11.5546875" customWidth="1"/>
    <col min="28" max="28" width="11.5546875" style="20" customWidth="1"/>
    <col min="29" max="29" width="11.5546875" customWidth="1"/>
    <col min="30" max="30" width="12.6640625" bestFit="1" customWidth="1"/>
    <col min="31" max="31" width="10" bestFit="1" customWidth="1"/>
    <col min="32" max="32" width="6.33203125" bestFit="1" customWidth="1"/>
    <col min="33" max="33" width="6.88671875" bestFit="1" customWidth="1"/>
    <col min="34" max="34" width="6.33203125" bestFit="1" customWidth="1"/>
    <col min="35" max="35" width="11.5546875" style="43" customWidth="1"/>
    <col min="36" max="109" width="11.5546875" customWidth="1"/>
    <col min="110" max="110" width="11.109375" style="19" bestFit="1" customWidth="1"/>
    <col min="111" max="111" width="12.6640625" bestFit="1" customWidth="1"/>
    <col min="112" max="112" width="11.5546875" style="19"/>
    <col min="113" max="135" width="11.5546875"/>
    <col min="136" max="136" width="11.5546875" style="20"/>
    <col min="137" max="137" width="11.5546875" style="19"/>
    <col min="138" max="141" width="11.5546875"/>
    <col min="142" max="142" width="11.5546875" style="20"/>
    <col min="143" max="143" width="11.5546875" style="19"/>
    <col min="144" max="144" width="11.5546875" style="20"/>
  </cols>
  <sheetData>
    <row r="1" spans="1:144" s="6" customFormat="1" x14ac:dyDescent="0.3">
      <c r="A1" s="3"/>
      <c r="B1" s="4"/>
      <c r="C1" s="4"/>
      <c r="D1" s="4"/>
      <c r="E1" s="24" t="s">
        <v>245</v>
      </c>
      <c r="F1" s="63" t="s">
        <v>1</v>
      </c>
      <c r="G1" s="64"/>
      <c r="H1" s="63" t="s">
        <v>30</v>
      </c>
      <c r="I1" s="65"/>
      <c r="J1" s="64"/>
      <c r="K1" s="63" t="s">
        <v>31</v>
      </c>
      <c r="L1" s="65"/>
      <c r="M1" s="65"/>
      <c r="N1" s="65"/>
      <c r="O1" s="65"/>
      <c r="P1" s="65"/>
      <c r="Q1" s="64"/>
      <c r="R1" s="63" t="s">
        <v>32</v>
      </c>
      <c r="S1" s="65"/>
      <c r="T1" s="65"/>
      <c r="U1" s="65"/>
      <c r="V1" s="65"/>
      <c r="W1" s="65"/>
      <c r="X1" s="65"/>
      <c r="Y1" s="64"/>
      <c r="Z1" s="3" t="s">
        <v>33</v>
      </c>
      <c r="AA1" s="4"/>
      <c r="AB1" s="5"/>
      <c r="AC1" s="4" t="s">
        <v>34</v>
      </c>
      <c r="AD1" s="4"/>
      <c r="AE1" s="4"/>
      <c r="AF1" s="4"/>
      <c r="AG1" s="4"/>
      <c r="AH1" s="4"/>
      <c r="AI1" s="45" t="s">
        <v>35</v>
      </c>
      <c r="AJ1" s="4" t="s">
        <v>36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3"/>
      <c r="DG1" s="4"/>
      <c r="DH1" s="3" t="s">
        <v>146</v>
      </c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5"/>
      <c r="EG1" s="3"/>
      <c r="EH1" s="4"/>
      <c r="EI1" s="4"/>
      <c r="EJ1" s="4"/>
      <c r="EK1" s="4"/>
      <c r="EL1" s="5"/>
      <c r="EM1" s="3"/>
      <c r="EN1" s="5"/>
    </row>
    <row r="2" spans="1:144" s="6" customFormat="1" ht="15" thickBot="1" x14ac:dyDescent="0.35">
      <c r="A2" s="66" t="s">
        <v>37</v>
      </c>
      <c r="B2" s="67"/>
      <c r="C2" s="67"/>
      <c r="D2" s="67"/>
      <c r="E2" s="68"/>
      <c r="F2" s="7" t="s">
        <v>38</v>
      </c>
      <c r="G2" s="8" t="s">
        <v>38</v>
      </c>
      <c r="H2" s="7"/>
      <c r="I2" s="9" t="s">
        <v>39</v>
      </c>
      <c r="J2" s="8" t="s">
        <v>39</v>
      </c>
      <c r="K2" s="9"/>
      <c r="L2" s="9"/>
      <c r="M2" s="9"/>
      <c r="N2" s="9"/>
      <c r="O2" s="9"/>
      <c r="P2" s="7"/>
      <c r="Q2" s="8"/>
      <c r="R2" s="9"/>
      <c r="S2" s="9" t="s">
        <v>40</v>
      </c>
      <c r="T2" s="9"/>
      <c r="U2" s="9"/>
      <c r="V2" s="9"/>
      <c r="W2" s="9"/>
      <c r="X2" s="9"/>
      <c r="Y2" s="8"/>
      <c r="Z2" s="10"/>
      <c r="AA2" s="6" t="s">
        <v>41</v>
      </c>
      <c r="AB2" s="11" t="s">
        <v>41</v>
      </c>
      <c r="AE2" s="6" t="s">
        <v>42</v>
      </c>
      <c r="AI2" s="46" t="s">
        <v>43</v>
      </c>
      <c r="AJ2" s="6" t="s">
        <v>44</v>
      </c>
      <c r="AK2" s="6" t="s">
        <v>44</v>
      </c>
      <c r="AL2" s="6" t="s">
        <v>44</v>
      </c>
      <c r="AM2" s="6" t="s">
        <v>44</v>
      </c>
      <c r="AN2" s="6" t="s">
        <v>44</v>
      </c>
      <c r="AO2" s="6" t="s">
        <v>44</v>
      </c>
      <c r="AP2" s="6" t="s">
        <v>44</v>
      </c>
      <c r="AQ2" s="6" t="s">
        <v>44</v>
      </c>
      <c r="AR2" s="6" t="s">
        <v>44</v>
      </c>
      <c r="AS2" s="6" t="s">
        <v>44</v>
      </c>
      <c r="AT2" s="6" t="s">
        <v>44</v>
      </c>
      <c r="AU2" s="6" t="s">
        <v>44</v>
      </c>
      <c r="AV2" s="6" t="s">
        <v>44</v>
      </c>
      <c r="AW2" s="6" t="s">
        <v>44</v>
      </c>
      <c r="AX2" s="6" t="s">
        <v>44</v>
      </c>
      <c r="AY2" s="6" t="s">
        <v>44</v>
      </c>
      <c r="AZ2" s="6" t="s">
        <v>44</v>
      </c>
      <c r="BA2" s="6" t="s">
        <v>44</v>
      </c>
      <c r="BB2" s="6" t="s">
        <v>44</v>
      </c>
      <c r="BC2" s="6" t="s">
        <v>44</v>
      </c>
      <c r="BD2" s="6" t="s">
        <v>44</v>
      </c>
      <c r="BE2" s="6" t="s">
        <v>44</v>
      </c>
      <c r="BF2" s="6" t="s">
        <v>44</v>
      </c>
      <c r="BG2" s="6" t="s">
        <v>44</v>
      </c>
      <c r="BH2" s="6" t="s">
        <v>44</v>
      </c>
      <c r="BI2" s="6" t="s">
        <v>44</v>
      </c>
      <c r="BJ2" s="6" t="s">
        <v>44</v>
      </c>
      <c r="BK2" s="6" t="s">
        <v>44</v>
      </c>
      <c r="BL2" s="6" t="s">
        <v>44</v>
      </c>
      <c r="BM2" s="6" t="s">
        <v>44</v>
      </c>
      <c r="BN2" s="6" t="s">
        <v>44</v>
      </c>
      <c r="BO2" s="6" t="s">
        <v>44</v>
      </c>
      <c r="BP2" s="6" t="s">
        <v>44</v>
      </c>
      <c r="BQ2" s="6" t="s">
        <v>44</v>
      </c>
      <c r="BR2" s="6" t="s">
        <v>44</v>
      </c>
      <c r="BS2" s="6" t="s">
        <v>44</v>
      </c>
      <c r="BT2" s="6" t="s">
        <v>44</v>
      </c>
      <c r="BU2" s="6" t="s">
        <v>44</v>
      </c>
      <c r="BV2" s="6" t="s">
        <v>44</v>
      </c>
      <c r="BW2" s="6" t="s">
        <v>44</v>
      </c>
      <c r="BX2" s="6" t="s">
        <v>44</v>
      </c>
      <c r="BY2" s="6" t="s">
        <v>44</v>
      </c>
      <c r="BZ2" s="6" t="s">
        <v>44</v>
      </c>
      <c r="CA2" s="6" t="s">
        <v>44</v>
      </c>
      <c r="CB2" s="6" t="s">
        <v>44</v>
      </c>
      <c r="CC2" s="6" t="s">
        <v>44</v>
      </c>
      <c r="CD2" s="6" t="s">
        <v>44</v>
      </c>
      <c r="CE2" s="6" t="s">
        <v>44</v>
      </c>
      <c r="CF2" s="6" t="s">
        <v>44</v>
      </c>
      <c r="CG2" s="6" t="s">
        <v>44</v>
      </c>
      <c r="CH2" s="6" t="s">
        <v>44</v>
      </c>
      <c r="CI2" s="6" t="s">
        <v>44</v>
      </c>
      <c r="CJ2" s="6" t="s">
        <v>44</v>
      </c>
      <c r="CK2" s="6" t="s">
        <v>44</v>
      </c>
      <c r="CL2" s="6" t="s">
        <v>44</v>
      </c>
      <c r="CM2" s="6" t="s">
        <v>44</v>
      </c>
      <c r="CN2" s="6" t="s">
        <v>44</v>
      </c>
      <c r="CO2" s="6" t="s">
        <v>44</v>
      </c>
      <c r="CP2" s="6" t="s">
        <v>44</v>
      </c>
      <c r="CQ2" s="6" t="s">
        <v>44</v>
      </c>
      <c r="CR2" s="6" t="s">
        <v>44</v>
      </c>
      <c r="CS2" s="6" t="s">
        <v>44</v>
      </c>
      <c r="CT2" s="6" t="s">
        <v>44</v>
      </c>
      <c r="CU2" s="6" t="s">
        <v>44</v>
      </c>
      <c r="CV2" s="6" t="s">
        <v>44</v>
      </c>
      <c r="CW2" s="6" t="s">
        <v>44</v>
      </c>
      <c r="CX2" s="6" t="s">
        <v>44</v>
      </c>
      <c r="CY2" s="6" t="s">
        <v>44</v>
      </c>
      <c r="CZ2" s="6" t="s">
        <v>44</v>
      </c>
      <c r="DA2" s="6" t="s">
        <v>44</v>
      </c>
      <c r="DB2" s="6" t="s">
        <v>44</v>
      </c>
      <c r="DC2" s="6" t="s">
        <v>44</v>
      </c>
      <c r="DD2" s="6" t="s">
        <v>44</v>
      </c>
      <c r="DE2" s="6" t="s">
        <v>44</v>
      </c>
      <c r="DF2" s="10" t="s">
        <v>44</v>
      </c>
      <c r="DG2" s="6" t="s">
        <v>44</v>
      </c>
      <c r="DH2" s="10"/>
      <c r="DK2" s="6" t="s">
        <v>147</v>
      </c>
      <c r="DL2" s="6" t="s">
        <v>149</v>
      </c>
      <c r="DM2" s="6" t="s">
        <v>149</v>
      </c>
      <c r="DQ2" s="6" t="s">
        <v>149</v>
      </c>
      <c r="DR2" s="6" t="s">
        <v>149</v>
      </c>
      <c r="DV2" s="6" t="s">
        <v>147</v>
      </c>
      <c r="DW2" s="6" t="s">
        <v>149</v>
      </c>
      <c r="DX2" s="6" t="s">
        <v>149</v>
      </c>
      <c r="EB2" s="6" t="s">
        <v>149</v>
      </c>
      <c r="EC2" s="6" t="s">
        <v>149</v>
      </c>
      <c r="EF2" s="11"/>
      <c r="EG2" s="10"/>
      <c r="EL2" s="11"/>
      <c r="EM2" s="10"/>
      <c r="EN2" s="11"/>
    </row>
    <row r="3" spans="1:144" s="13" customFormat="1" ht="58.2" thickBot="1" x14ac:dyDescent="0.35">
      <c r="A3" s="12" t="s">
        <v>0</v>
      </c>
      <c r="B3" s="13" t="s">
        <v>45</v>
      </c>
      <c r="C3" s="13" t="s">
        <v>46</v>
      </c>
      <c r="D3" s="13" t="s">
        <v>161</v>
      </c>
      <c r="E3" s="14" t="s">
        <v>162</v>
      </c>
      <c r="F3" s="12" t="s">
        <v>47</v>
      </c>
      <c r="G3" s="14" t="s">
        <v>48</v>
      </c>
      <c r="H3" s="12" t="s">
        <v>49</v>
      </c>
      <c r="I3" s="13" t="s">
        <v>50</v>
      </c>
      <c r="J3" s="14" t="s">
        <v>51</v>
      </c>
      <c r="K3" s="13" t="s">
        <v>52</v>
      </c>
      <c r="L3" s="13" t="s">
        <v>53</v>
      </c>
      <c r="M3" s="13" t="s">
        <v>54</v>
      </c>
      <c r="N3" s="13" t="s">
        <v>55</v>
      </c>
      <c r="O3" s="13" t="s">
        <v>56</v>
      </c>
      <c r="P3" s="12" t="s">
        <v>57</v>
      </c>
      <c r="Q3" s="14" t="s">
        <v>58</v>
      </c>
      <c r="R3" s="13" t="s">
        <v>59</v>
      </c>
      <c r="S3" s="13" t="s">
        <v>60</v>
      </c>
      <c r="T3" s="13" t="s">
        <v>2</v>
      </c>
      <c r="U3" s="13" t="s">
        <v>3</v>
      </c>
      <c r="V3" s="13" t="s">
        <v>4</v>
      </c>
      <c r="W3" s="13" t="s">
        <v>5</v>
      </c>
      <c r="X3" s="13" t="s">
        <v>6</v>
      </c>
      <c r="Y3" s="14" t="s">
        <v>7</v>
      </c>
      <c r="Z3" s="12" t="s">
        <v>8</v>
      </c>
      <c r="AA3" s="15" t="s">
        <v>61</v>
      </c>
      <c r="AB3" s="16" t="s">
        <v>62</v>
      </c>
      <c r="AC3" s="13" t="s">
        <v>63</v>
      </c>
      <c r="AD3" s="13" t="s">
        <v>64</v>
      </c>
      <c r="AE3" s="13" t="s">
        <v>65</v>
      </c>
      <c r="AF3" s="13" t="s">
        <v>66</v>
      </c>
      <c r="AG3" s="13" t="s">
        <v>67</v>
      </c>
      <c r="AH3" s="13" t="s">
        <v>68</v>
      </c>
      <c r="AI3" s="47" t="s">
        <v>69</v>
      </c>
      <c r="AJ3" s="18" t="s">
        <v>70</v>
      </c>
      <c r="AK3" s="18" t="s">
        <v>71</v>
      </c>
      <c r="AL3" s="18" t="s">
        <v>72</v>
      </c>
      <c r="AM3" s="18" t="s">
        <v>73</v>
      </c>
      <c r="AN3" s="18" t="s">
        <v>74</v>
      </c>
      <c r="AO3" s="18" t="s">
        <v>75</v>
      </c>
      <c r="AP3" s="18" t="s">
        <v>76</v>
      </c>
      <c r="AQ3" s="18" t="s">
        <v>77</v>
      </c>
      <c r="AR3" s="18" t="s">
        <v>78</v>
      </c>
      <c r="AS3" s="18" t="s">
        <v>79</v>
      </c>
      <c r="AT3" s="18" t="s">
        <v>80</v>
      </c>
      <c r="AU3" s="18" t="s">
        <v>81</v>
      </c>
      <c r="AV3" s="18" t="s">
        <v>82</v>
      </c>
      <c r="AW3" s="18" t="s">
        <v>83</v>
      </c>
      <c r="AX3" s="18" t="s">
        <v>84</v>
      </c>
      <c r="AY3" s="18" t="s">
        <v>85</v>
      </c>
      <c r="AZ3" s="18" t="s">
        <v>86</v>
      </c>
      <c r="BA3" s="18" t="s">
        <v>87</v>
      </c>
      <c r="BB3" s="18" t="s">
        <v>88</v>
      </c>
      <c r="BC3" s="18" t="s">
        <v>89</v>
      </c>
      <c r="BD3" s="18" t="s">
        <v>90</v>
      </c>
      <c r="BE3" s="18" t="s">
        <v>91</v>
      </c>
      <c r="BF3" s="18" t="s">
        <v>92</v>
      </c>
      <c r="BG3" s="18" t="s">
        <v>93</v>
      </c>
      <c r="BH3" s="18" t="s">
        <v>94</v>
      </c>
      <c r="BI3" s="18" t="s">
        <v>95</v>
      </c>
      <c r="BJ3" s="18" t="s">
        <v>96</v>
      </c>
      <c r="BK3" s="18" t="s">
        <v>97</v>
      </c>
      <c r="BL3" s="18" t="s">
        <v>98</v>
      </c>
      <c r="BM3" s="18" t="s">
        <v>99</v>
      </c>
      <c r="BN3" s="18" t="s">
        <v>100</v>
      </c>
      <c r="BO3" s="18" t="s">
        <v>101</v>
      </c>
      <c r="BP3" s="18" t="s">
        <v>102</v>
      </c>
      <c r="BQ3" s="18" t="s">
        <v>103</v>
      </c>
      <c r="BR3" s="18" t="s">
        <v>104</v>
      </c>
      <c r="BS3" s="18" t="s">
        <v>105</v>
      </c>
      <c r="BT3" s="18" t="s">
        <v>106</v>
      </c>
      <c r="BU3" s="18" t="s">
        <v>107</v>
      </c>
      <c r="BV3" s="18" t="s">
        <v>108</v>
      </c>
      <c r="BW3" s="18" t="s">
        <v>109</v>
      </c>
      <c r="BX3" s="18" t="s">
        <v>110</v>
      </c>
      <c r="BY3" s="18" t="s">
        <v>111</v>
      </c>
      <c r="BZ3" s="18" t="s">
        <v>112</v>
      </c>
      <c r="CA3" s="18" t="s">
        <v>113</v>
      </c>
      <c r="CB3" s="18" t="s">
        <v>114</v>
      </c>
      <c r="CC3" s="18" t="s">
        <v>115</v>
      </c>
      <c r="CD3" s="18" t="s">
        <v>116</v>
      </c>
      <c r="CE3" s="18" t="s">
        <v>117</v>
      </c>
      <c r="CF3" s="18" t="s">
        <v>118</v>
      </c>
      <c r="CG3" s="18" t="s">
        <v>119</v>
      </c>
      <c r="CH3" s="18" t="s">
        <v>120</v>
      </c>
      <c r="CI3" s="18" t="s">
        <v>121</v>
      </c>
      <c r="CJ3" s="18" t="s">
        <v>122</v>
      </c>
      <c r="CK3" s="18" t="s">
        <v>123</v>
      </c>
      <c r="CL3" s="18" t="s">
        <v>124</v>
      </c>
      <c r="CM3" s="18" t="s">
        <v>125</v>
      </c>
      <c r="CN3" s="18" t="s">
        <v>126</v>
      </c>
      <c r="CO3" s="18" t="s">
        <v>127</v>
      </c>
      <c r="CP3" s="18" t="s">
        <v>128</v>
      </c>
      <c r="CQ3" s="18" t="s">
        <v>129</v>
      </c>
      <c r="CR3" s="18" t="s">
        <v>130</v>
      </c>
      <c r="CS3" s="18" t="s">
        <v>131</v>
      </c>
      <c r="CT3" s="18" t="s">
        <v>132</v>
      </c>
      <c r="CU3" s="18" t="s">
        <v>133</v>
      </c>
      <c r="CV3" s="18" t="s">
        <v>134</v>
      </c>
      <c r="CW3" s="18" t="s">
        <v>135</v>
      </c>
      <c r="CX3" s="18" t="s">
        <v>136</v>
      </c>
      <c r="CY3" s="18" t="s">
        <v>137</v>
      </c>
      <c r="CZ3" s="18" t="s">
        <v>138</v>
      </c>
      <c r="DA3" s="18" t="s">
        <v>139</v>
      </c>
      <c r="DB3" s="18" t="s">
        <v>140</v>
      </c>
      <c r="DC3" s="18" t="s">
        <v>141</v>
      </c>
      <c r="DD3" s="18" t="s">
        <v>142</v>
      </c>
      <c r="DE3" s="18" t="s">
        <v>143</v>
      </c>
      <c r="DF3" s="17" t="s">
        <v>144</v>
      </c>
      <c r="DG3" s="18" t="s">
        <v>145</v>
      </c>
      <c r="DH3" s="12" t="s">
        <v>9</v>
      </c>
      <c r="DI3" s="13" t="s">
        <v>10</v>
      </c>
      <c r="DJ3" s="13" t="s">
        <v>11</v>
      </c>
      <c r="DK3" s="13" t="s">
        <v>12</v>
      </c>
      <c r="DL3" s="13" t="s">
        <v>148</v>
      </c>
      <c r="DM3" s="13" t="s">
        <v>13</v>
      </c>
      <c r="DN3" s="13" t="s">
        <v>14</v>
      </c>
      <c r="DO3" s="13" t="s">
        <v>15</v>
      </c>
      <c r="DP3" s="13" t="s">
        <v>16</v>
      </c>
      <c r="DQ3" s="13" t="s">
        <v>150</v>
      </c>
      <c r="DR3" s="13" t="s">
        <v>17</v>
      </c>
      <c r="DS3" s="13" t="s">
        <v>18</v>
      </c>
      <c r="DT3" s="13" t="s">
        <v>19</v>
      </c>
      <c r="DU3" s="13" t="s">
        <v>20</v>
      </c>
      <c r="DV3" s="13" t="s">
        <v>21</v>
      </c>
      <c r="DW3" s="13" t="s">
        <v>163</v>
      </c>
      <c r="DX3" s="13" t="s">
        <v>22</v>
      </c>
      <c r="DY3" s="13" t="s">
        <v>23</v>
      </c>
      <c r="DZ3" s="13" t="s">
        <v>24</v>
      </c>
      <c r="EA3" s="13" t="s">
        <v>25</v>
      </c>
      <c r="EB3" s="13" t="s">
        <v>164</v>
      </c>
      <c r="EC3" s="13" t="s">
        <v>26</v>
      </c>
      <c r="ED3" s="13" t="s">
        <v>27</v>
      </c>
      <c r="EE3" s="13" t="s">
        <v>28</v>
      </c>
      <c r="EF3" s="13" t="s">
        <v>29</v>
      </c>
      <c r="EG3" s="12" t="s">
        <v>244</v>
      </c>
      <c r="EH3" s="13" t="s">
        <v>249</v>
      </c>
      <c r="EI3" s="13" t="s">
        <v>250</v>
      </c>
      <c r="EJ3" s="13" t="s">
        <v>246</v>
      </c>
      <c r="EK3" s="13" t="s">
        <v>248</v>
      </c>
      <c r="EL3" s="14" t="s">
        <v>247</v>
      </c>
      <c r="EM3" s="12" t="s">
        <v>251</v>
      </c>
      <c r="EN3" s="14" t="s">
        <v>252</v>
      </c>
    </row>
    <row r="4" spans="1:144" s="2" customFormat="1" ht="15" thickBot="1" x14ac:dyDescent="0.35">
      <c r="A4" s="23">
        <v>44494</v>
      </c>
      <c r="B4" s="2">
        <v>0</v>
      </c>
      <c r="C4" s="2" t="s">
        <v>151</v>
      </c>
      <c r="E4" s="24"/>
      <c r="F4" s="37">
        <f>(0.09685-0.09354)/3*1000</f>
        <v>1.1033333333333357</v>
      </c>
      <c r="G4" s="38">
        <f>(0.09664-0.09329)/3*1000</f>
        <v>1.1166666666666685</v>
      </c>
      <c r="H4" s="25">
        <f>50/2</f>
        <v>25</v>
      </c>
      <c r="I4" s="2">
        <v>21.05</v>
      </c>
      <c r="J4" s="24">
        <f>6.078</f>
        <v>6.0780000000000003</v>
      </c>
      <c r="K4" s="2">
        <v>11</v>
      </c>
      <c r="L4" s="2">
        <f>0.219-0.079</f>
        <v>0.14000000000000001</v>
      </c>
      <c r="M4" s="2">
        <f>0.371-0.056</f>
        <v>0.315</v>
      </c>
      <c r="N4" s="2">
        <f>0.368-0.059</f>
        <v>0.309</v>
      </c>
      <c r="O4" s="2">
        <f>0.396-0.06</f>
        <v>0.33600000000000002</v>
      </c>
      <c r="P4" s="25">
        <f>0.258-0.058</f>
        <v>0.2</v>
      </c>
      <c r="Q4" s="24">
        <f>0.29-0.057</f>
        <v>0.23299999999999998</v>
      </c>
      <c r="R4" s="2">
        <v>1111</v>
      </c>
      <c r="S4" s="2">
        <v>24661</v>
      </c>
      <c r="T4" s="2">
        <v>4.3120000000000003</v>
      </c>
      <c r="U4" s="2">
        <v>2.948</v>
      </c>
      <c r="V4" s="2">
        <v>3.4449999999999998</v>
      </c>
      <c r="W4" s="2">
        <v>4.1139999999999999</v>
      </c>
      <c r="X4" s="2">
        <v>4.9219999999999997</v>
      </c>
      <c r="Y4" s="24">
        <v>5.6619999999999999</v>
      </c>
      <c r="Z4" s="25"/>
      <c r="AA4" s="2">
        <v>0.15206137428843469</v>
      </c>
      <c r="AB4" s="24">
        <v>0.1445749413643945</v>
      </c>
      <c r="AI4" s="42"/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1.1889715405084761E-3</v>
      </c>
      <c r="AU4" s="2">
        <v>1.1425368863056784E-3</v>
      </c>
      <c r="AV4" s="2">
        <v>7.3989955578405173E-4</v>
      </c>
      <c r="AW4" s="2">
        <v>6.7068399040281384E-4</v>
      </c>
      <c r="AX4" s="2">
        <v>9.0135162648259486E-3</v>
      </c>
      <c r="AY4" s="2">
        <v>8.4339995607291898E-3</v>
      </c>
      <c r="AZ4" s="2">
        <v>2.2474983616446197E-3</v>
      </c>
      <c r="BA4" s="2">
        <v>2.6530596788500688E-3</v>
      </c>
      <c r="BD4" s="2">
        <v>2.6816012802115632E-3</v>
      </c>
      <c r="BE4" s="2">
        <v>2.6649301919545437E-3</v>
      </c>
      <c r="BF4" s="2">
        <v>1.3604742699127564E-2</v>
      </c>
      <c r="BG4" s="2">
        <v>1.4131845850876989E-2</v>
      </c>
      <c r="BH4" s="2">
        <v>1.5148694951370584E-2</v>
      </c>
      <c r="BI4" s="2">
        <v>1.6037063204145156E-2</v>
      </c>
      <c r="BJ4" s="2">
        <v>5.3247106760181762E-3</v>
      </c>
      <c r="BK4" s="2">
        <v>5.2081876245882218E-3</v>
      </c>
      <c r="BL4" s="2">
        <v>1.195386854575968E-3</v>
      </c>
      <c r="BM4" s="2">
        <v>1.4066558028802379E-3</v>
      </c>
      <c r="BN4" s="2">
        <v>1.4413072271631528E-3</v>
      </c>
      <c r="BO4" s="2">
        <v>1.6321955518652548E-3</v>
      </c>
      <c r="BP4" s="2">
        <v>2.4570652878493509E-2</v>
      </c>
      <c r="BQ4" s="2">
        <v>2.4672861487650417E-2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1.3743741170589885E-2</v>
      </c>
      <c r="BY4" s="2">
        <v>1.3446323719093581E-2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37">
        <v>9.0900723460313484E-2</v>
      </c>
      <c r="DG4" s="57">
        <v>9.210034354934217E-2</v>
      </c>
      <c r="DH4" s="25">
        <v>10</v>
      </c>
      <c r="DI4" s="2">
        <f>0.239-0.076</f>
        <v>0.16299999999999998</v>
      </c>
      <c r="DJ4" s="2">
        <f>0.417-0.052</f>
        <v>0.36499999999999999</v>
      </c>
      <c r="DK4">
        <v>98.497510230642206</v>
      </c>
      <c r="DL4">
        <v>0.14849130327604099</v>
      </c>
      <c r="DM4">
        <v>4.3418357096419599E-4</v>
      </c>
      <c r="DN4">
        <v>147</v>
      </c>
      <c r="DO4">
        <v>0.99875330696380304</v>
      </c>
      <c r="DP4" s="28">
        <v>1.11413277888152E-212</v>
      </c>
      <c r="DQ4">
        <v>-2.8997180081833E-2</v>
      </c>
      <c r="DR4">
        <v>3.94980017474791E-4</v>
      </c>
      <c r="DS4">
        <v>97</v>
      </c>
      <c r="DT4">
        <v>0.98249663262068498</v>
      </c>
      <c r="DU4" s="28">
        <v>1.76976159037567E-85</v>
      </c>
      <c r="DV4">
        <v>98.594954907642801</v>
      </c>
      <c r="DW4">
        <v>0.14691411174173299</v>
      </c>
      <c r="DX4">
        <v>4.0027017954856697E-4</v>
      </c>
      <c r="DY4">
        <v>145</v>
      </c>
      <c r="DZ4">
        <v>0.99893222147415395</v>
      </c>
      <c r="EA4" s="28">
        <v>1.3923647909680401E-214</v>
      </c>
      <c r="EB4">
        <v>-4.2833189895947199E-2</v>
      </c>
      <c r="EC4">
        <v>2.5368933759536402E-4</v>
      </c>
      <c r="ED4">
        <v>144</v>
      </c>
      <c r="EE4">
        <v>0.99500860773386901</v>
      </c>
      <c r="EF4" s="28">
        <v>1.5256322178899799E-165</v>
      </c>
      <c r="EG4" s="49">
        <v>0</v>
      </c>
      <c r="EH4">
        <v>0</v>
      </c>
      <c r="EI4" s="57">
        <v>1</v>
      </c>
      <c r="EJ4" s="28">
        <v>5.5577071443009017E-2</v>
      </c>
      <c r="EK4" s="51"/>
      <c r="EL4" s="20"/>
      <c r="EM4" s="55">
        <v>3.8872448566040199E-11</v>
      </c>
      <c r="EN4" s="56">
        <v>5.1879999999999998E-5</v>
      </c>
    </row>
    <row r="5" spans="1:144" s="2" customFormat="1" x14ac:dyDescent="0.3">
      <c r="A5" s="23">
        <v>44494</v>
      </c>
      <c r="B5" s="2">
        <v>0</v>
      </c>
      <c r="C5" s="2" t="s">
        <v>152</v>
      </c>
      <c r="D5" s="2" t="s">
        <v>256</v>
      </c>
      <c r="E5" s="60" t="s">
        <v>253</v>
      </c>
      <c r="F5" s="37">
        <v>1.1033333333333357</v>
      </c>
      <c r="G5" s="24">
        <v>1.1166666666666685</v>
      </c>
      <c r="H5" s="25">
        <v>25</v>
      </c>
      <c r="I5" s="2">
        <v>21.05</v>
      </c>
      <c r="J5" s="31">
        <v>6.0780000000000003</v>
      </c>
      <c r="K5" s="2">
        <v>11</v>
      </c>
      <c r="L5" s="35">
        <v>0.14000000000000001</v>
      </c>
      <c r="M5" s="2">
        <v>0.315</v>
      </c>
      <c r="N5" s="2">
        <v>0.309</v>
      </c>
      <c r="O5" s="2">
        <v>0.33600000000000002</v>
      </c>
      <c r="P5" s="25">
        <v>0.2</v>
      </c>
      <c r="Q5" s="24">
        <v>0.23299999999999998</v>
      </c>
      <c r="R5" s="25">
        <v>1111</v>
      </c>
      <c r="S5" s="27">
        <v>24661</v>
      </c>
      <c r="T5" s="2">
        <v>4.3120000000000003</v>
      </c>
      <c r="U5" s="2">
        <v>2.948</v>
      </c>
      <c r="V5" s="2">
        <v>3.4449999999999998</v>
      </c>
      <c r="W5" s="2">
        <v>4.1139999999999999</v>
      </c>
      <c r="X5" s="2">
        <v>4.9219999999999997</v>
      </c>
      <c r="Y5" s="24">
        <v>5.6619999999999999</v>
      </c>
      <c r="Z5" s="25"/>
      <c r="AA5" s="2">
        <v>0.15206137428843469</v>
      </c>
      <c r="AB5" s="24">
        <v>0.1445749413643945</v>
      </c>
      <c r="AI5" s="4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1.1889715405084761E-3</v>
      </c>
      <c r="AU5" s="2">
        <v>1.1425368863056784E-3</v>
      </c>
      <c r="AV5" s="2">
        <v>7.3989955578405173E-4</v>
      </c>
      <c r="AW5" s="2">
        <v>6.7068399040281384E-4</v>
      </c>
      <c r="AX5" s="2">
        <v>9.0135162648259486E-3</v>
      </c>
      <c r="AY5" s="2">
        <v>8.4339995607291898E-3</v>
      </c>
      <c r="AZ5" s="2">
        <v>2.2474983616446197E-3</v>
      </c>
      <c r="BA5" s="2">
        <v>2.6530596788500688E-3</v>
      </c>
      <c r="BD5" s="2">
        <v>2.6816012802115632E-3</v>
      </c>
      <c r="BE5" s="2">
        <v>2.6649301919545437E-3</v>
      </c>
      <c r="BF5" s="2">
        <v>1.3604742699127564E-2</v>
      </c>
      <c r="BG5" s="2">
        <v>1.4131845850876989E-2</v>
      </c>
      <c r="BH5" s="2">
        <v>1.5148694951370584E-2</v>
      </c>
      <c r="BI5" s="2">
        <v>1.6037063204145156E-2</v>
      </c>
      <c r="BJ5" s="2">
        <v>5.3247106760181762E-3</v>
      </c>
      <c r="BK5" s="2">
        <v>5.2081876245882218E-3</v>
      </c>
      <c r="BL5" s="2">
        <v>1.195386854575968E-3</v>
      </c>
      <c r="BM5" s="2">
        <v>1.4066558028802379E-3</v>
      </c>
      <c r="BN5" s="2">
        <v>1.4413072271631528E-3</v>
      </c>
      <c r="BO5" s="2">
        <v>1.6321955518652548E-3</v>
      </c>
      <c r="BP5" s="2">
        <v>2.4570652878493509E-2</v>
      </c>
      <c r="BQ5" s="2">
        <v>2.4672861487650417E-2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1.3743741170589885E-2</v>
      </c>
      <c r="BY5" s="2">
        <v>1.3446323719093581E-2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37">
        <v>9.0900723460313484E-2</v>
      </c>
      <c r="DG5" s="57">
        <v>9.210034354934217E-2</v>
      </c>
      <c r="DH5" s="25">
        <v>10</v>
      </c>
      <c r="DI5" s="2">
        <v>0.16299999999999998</v>
      </c>
      <c r="DJ5" s="2">
        <v>0.36499999999999999</v>
      </c>
      <c r="DK5" s="2">
        <v>98.497510230642206</v>
      </c>
      <c r="DL5" s="2">
        <v>0.14849130327604099</v>
      </c>
      <c r="DM5" s="2">
        <v>4.3418357096419599E-4</v>
      </c>
      <c r="DN5" s="2">
        <v>147</v>
      </c>
      <c r="DO5" s="2">
        <v>0.99875330696380304</v>
      </c>
      <c r="DP5" s="27">
        <v>1.11413277888152E-212</v>
      </c>
      <c r="DQ5" s="2">
        <v>-2.8997180081833E-2</v>
      </c>
      <c r="DR5" s="27">
        <v>3.94980017474791E-4</v>
      </c>
      <c r="DS5" s="2">
        <v>97</v>
      </c>
      <c r="DT5" s="2">
        <v>0.98249663262068498</v>
      </c>
      <c r="DU5" s="27">
        <v>1.76976159037567E-85</v>
      </c>
      <c r="DV5" s="2">
        <v>98.594954907642801</v>
      </c>
      <c r="DW5" s="2">
        <v>0.14691411174173299</v>
      </c>
      <c r="DX5" s="2">
        <v>4.0027017954856697E-4</v>
      </c>
      <c r="DY5" s="2">
        <v>145</v>
      </c>
      <c r="DZ5" s="2">
        <v>0.99893222147415395</v>
      </c>
      <c r="EA5" s="27">
        <v>1.3923647909680401E-214</v>
      </c>
      <c r="EB5" s="2">
        <v>-4.2833189895947199E-2</v>
      </c>
      <c r="EC5" s="2">
        <v>2.5368933759536402E-4</v>
      </c>
      <c r="ED5" s="2">
        <v>144</v>
      </c>
      <c r="EE5" s="2">
        <v>0.99500860773386901</v>
      </c>
      <c r="EF5" s="27">
        <v>1.5256322178899799E-165</v>
      </c>
      <c r="EG5" s="48">
        <v>0</v>
      </c>
      <c r="EH5" s="2">
        <v>210</v>
      </c>
      <c r="EI5" s="57">
        <v>0.25</v>
      </c>
      <c r="EJ5" s="27">
        <v>5.5577071443009017E-2</v>
      </c>
      <c r="EK5" s="2">
        <v>0</v>
      </c>
      <c r="EL5" s="24">
        <v>550</v>
      </c>
      <c r="EM5" s="49">
        <v>3.8872448566040199E-11</v>
      </c>
      <c r="EN5" s="53">
        <v>5.1879999999999998E-5</v>
      </c>
    </row>
    <row r="6" spans="1:144" x14ac:dyDescent="0.3">
      <c r="B6">
        <v>0</v>
      </c>
      <c r="C6" t="s">
        <v>153</v>
      </c>
      <c r="D6" t="s">
        <v>257</v>
      </c>
      <c r="E6" s="61" t="s">
        <v>254</v>
      </c>
      <c r="F6" s="19">
        <v>1.1033333333333357</v>
      </c>
      <c r="G6" s="20">
        <v>1.1166666666666685</v>
      </c>
      <c r="H6" s="19">
        <v>25</v>
      </c>
      <c r="I6">
        <v>21.05</v>
      </c>
      <c r="J6" s="32">
        <v>6.0780000000000003</v>
      </c>
      <c r="K6">
        <v>11</v>
      </c>
      <c r="L6" s="36">
        <v>0.14000000000000001</v>
      </c>
      <c r="M6">
        <v>0.315</v>
      </c>
      <c r="N6">
        <v>0.309</v>
      </c>
      <c r="O6">
        <v>0.33600000000000002</v>
      </c>
      <c r="P6" s="19">
        <v>0.2</v>
      </c>
      <c r="Q6" s="20">
        <v>0.23299999999999998</v>
      </c>
      <c r="R6" s="19">
        <v>1111</v>
      </c>
      <c r="S6" s="28">
        <v>24661</v>
      </c>
      <c r="T6">
        <v>4.3120000000000003</v>
      </c>
      <c r="U6">
        <v>2.948</v>
      </c>
      <c r="V6">
        <v>3.4449999999999998</v>
      </c>
      <c r="W6">
        <v>4.1139999999999999</v>
      </c>
      <c r="X6">
        <v>4.9219999999999997</v>
      </c>
      <c r="Y6" s="20">
        <v>5.6619999999999999</v>
      </c>
      <c r="AA6">
        <v>0.15206137428843469</v>
      </c>
      <c r="AB6" s="20">
        <v>0.1445749413643945</v>
      </c>
      <c r="AI6" s="43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1.1889715405084761E-3</v>
      </c>
      <c r="AU6">
        <v>1.1425368863056784E-3</v>
      </c>
      <c r="AV6">
        <v>7.3989955578405173E-4</v>
      </c>
      <c r="AW6">
        <v>6.7068399040281384E-4</v>
      </c>
      <c r="AX6">
        <v>9.0135162648259486E-3</v>
      </c>
      <c r="AY6">
        <v>8.4339995607291898E-3</v>
      </c>
      <c r="AZ6">
        <v>2.2474983616446197E-3</v>
      </c>
      <c r="BA6">
        <v>2.6530596788500688E-3</v>
      </c>
      <c r="BD6">
        <v>2.6816012802115632E-3</v>
      </c>
      <c r="BE6">
        <v>2.6649301919545437E-3</v>
      </c>
      <c r="BF6">
        <v>1.3604742699127564E-2</v>
      </c>
      <c r="BG6">
        <v>1.4131845850876989E-2</v>
      </c>
      <c r="BH6">
        <v>1.5148694951370584E-2</v>
      </c>
      <c r="BI6">
        <v>1.6037063204145156E-2</v>
      </c>
      <c r="BJ6">
        <v>5.3247106760181762E-3</v>
      </c>
      <c r="BK6">
        <v>5.2081876245882218E-3</v>
      </c>
      <c r="BL6">
        <v>1.195386854575968E-3</v>
      </c>
      <c r="BM6">
        <v>1.4066558028802379E-3</v>
      </c>
      <c r="BN6">
        <v>1.4413072271631528E-3</v>
      </c>
      <c r="BO6">
        <v>1.6321955518652548E-3</v>
      </c>
      <c r="BP6">
        <v>2.4570652878493509E-2</v>
      </c>
      <c r="BQ6">
        <v>2.4672861487650417E-2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1.3743741170589885E-2</v>
      </c>
      <c r="BY6">
        <v>1.3446323719093581E-2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 s="39">
        <v>9.0900723460313484E-2</v>
      </c>
      <c r="DG6" s="58">
        <v>9.210034354934217E-2</v>
      </c>
      <c r="DH6" s="19">
        <v>10</v>
      </c>
      <c r="DI6">
        <v>0.16299999999999998</v>
      </c>
      <c r="DJ6">
        <v>0.36499999999999999</v>
      </c>
      <c r="DK6">
        <v>98.497510230642206</v>
      </c>
      <c r="DL6">
        <v>0.14849130327604099</v>
      </c>
      <c r="DM6">
        <v>4.3418357096419599E-4</v>
      </c>
      <c r="DN6">
        <v>147</v>
      </c>
      <c r="DO6">
        <v>0.99875330696380304</v>
      </c>
      <c r="DP6" s="28">
        <v>1.11413277888152E-212</v>
      </c>
      <c r="DQ6">
        <v>-2.8997180081833E-2</v>
      </c>
      <c r="DR6">
        <v>3.94980017474791E-4</v>
      </c>
      <c r="DS6">
        <v>97</v>
      </c>
      <c r="DT6">
        <v>0.98249663262068498</v>
      </c>
      <c r="DU6" s="28">
        <v>1.76976159037567E-85</v>
      </c>
      <c r="DV6">
        <v>98.594954907642801</v>
      </c>
      <c r="DW6">
        <v>0.14691411174173299</v>
      </c>
      <c r="DX6">
        <v>4.0027017954856697E-4</v>
      </c>
      <c r="DY6">
        <v>145</v>
      </c>
      <c r="DZ6">
        <v>0.99893222147415395</v>
      </c>
      <c r="EA6" s="28">
        <v>1.3923647909680401E-214</v>
      </c>
      <c r="EB6">
        <v>-4.2833189895947199E-2</v>
      </c>
      <c r="EC6">
        <v>2.5368933759536402E-4</v>
      </c>
      <c r="ED6">
        <v>144</v>
      </c>
      <c r="EE6">
        <v>0.99500860773386901</v>
      </c>
      <c r="EF6" s="28">
        <v>1.5256322178899799E-165</v>
      </c>
      <c r="EG6" s="49">
        <v>0</v>
      </c>
      <c r="EH6">
        <v>224</v>
      </c>
      <c r="EI6" s="58">
        <v>0.5</v>
      </c>
      <c r="EJ6" s="28">
        <v>5.5577071443009017E-2</v>
      </c>
      <c r="EK6">
        <v>0</v>
      </c>
      <c r="EL6" s="20">
        <v>550</v>
      </c>
      <c r="EM6" s="49">
        <v>3.8872448566040199E-11</v>
      </c>
      <c r="EN6" s="53">
        <v>5.1879999999999998E-5</v>
      </c>
    </row>
    <row r="7" spans="1:144" x14ac:dyDescent="0.3">
      <c r="B7">
        <v>0</v>
      </c>
      <c r="C7" t="s">
        <v>154</v>
      </c>
      <c r="D7" t="s">
        <v>256</v>
      </c>
      <c r="E7" s="61" t="s">
        <v>255</v>
      </c>
      <c r="F7" s="19">
        <v>1.1033333333333357</v>
      </c>
      <c r="G7" s="20">
        <v>1.1166666666666685</v>
      </c>
      <c r="H7" s="19">
        <v>25</v>
      </c>
      <c r="I7">
        <v>21.05</v>
      </c>
      <c r="J7" s="32">
        <v>6.0780000000000003</v>
      </c>
      <c r="K7">
        <v>11</v>
      </c>
      <c r="L7" s="36">
        <v>0.14000000000000001</v>
      </c>
      <c r="M7">
        <v>0.315</v>
      </c>
      <c r="N7">
        <v>0.309</v>
      </c>
      <c r="O7">
        <v>0.33600000000000002</v>
      </c>
      <c r="P7" s="19">
        <v>0.2</v>
      </c>
      <c r="Q7" s="20">
        <v>0.23299999999999998</v>
      </c>
      <c r="R7" s="19">
        <v>1111</v>
      </c>
      <c r="S7" s="28">
        <v>24661</v>
      </c>
      <c r="T7">
        <v>4.3120000000000003</v>
      </c>
      <c r="U7">
        <v>2.948</v>
      </c>
      <c r="V7">
        <v>3.4449999999999998</v>
      </c>
      <c r="W7">
        <v>4.1139999999999999</v>
      </c>
      <c r="X7">
        <v>4.9219999999999997</v>
      </c>
      <c r="Y7" s="20">
        <v>5.6619999999999999</v>
      </c>
      <c r="AA7">
        <v>0.15206137428843469</v>
      </c>
      <c r="AB7" s="20">
        <v>0.1445749413643945</v>
      </c>
      <c r="AI7" s="43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1.1889715405084761E-3</v>
      </c>
      <c r="AU7">
        <v>1.1425368863056784E-3</v>
      </c>
      <c r="AV7">
        <v>7.3989955578405173E-4</v>
      </c>
      <c r="AW7">
        <v>6.7068399040281384E-4</v>
      </c>
      <c r="AX7">
        <v>9.0135162648259486E-3</v>
      </c>
      <c r="AY7">
        <v>8.4339995607291898E-3</v>
      </c>
      <c r="AZ7">
        <v>2.2474983616446197E-3</v>
      </c>
      <c r="BA7">
        <v>2.6530596788500688E-3</v>
      </c>
      <c r="BD7">
        <v>2.6816012802115632E-3</v>
      </c>
      <c r="BE7">
        <v>2.6649301919545437E-3</v>
      </c>
      <c r="BF7">
        <v>1.3604742699127564E-2</v>
      </c>
      <c r="BG7">
        <v>1.4131845850876989E-2</v>
      </c>
      <c r="BH7">
        <v>1.5148694951370584E-2</v>
      </c>
      <c r="BI7">
        <v>1.6037063204145156E-2</v>
      </c>
      <c r="BJ7">
        <v>5.3247106760181762E-3</v>
      </c>
      <c r="BK7">
        <v>5.2081876245882218E-3</v>
      </c>
      <c r="BL7">
        <v>1.195386854575968E-3</v>
      </c>
      <c r="BM7">
        <v>1.4066558028802379E-3</v>
      </c>
      <c r="BN7">
        <v>1.4413072271631528E-3</v>
      </c>
      <c r="BO7">
        <v>1.6321955518652548E-3</v>
      </c>
      <c r="BP7">
        <v>2.4570652878493509E-2</v>
      </c>
      <c r="BQ7">
        <v>2.4672861487650417E-2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1.3743741170589885E-2</v>
      </c>
      <c r="BY7">
        <v>1.3446323719093581E-2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 s="39">
        <v>9.0900723460313484E-2</v>
      </c>
      <c r="DG7" s="58">
        <v>9.210034354934217E-2</v>
      </c>
      <c r="DH7" s="19">
        <v>10</v>
      </c>
      <c r="DI7">
        <v>0.16299999999999998</v>
      </c>
      <c r="DJ7">
        <v>0.36499999999999999</v>
      </c>
      <c r="DK7">
        <v>98.497510230642206</v>
      </c>
      <c r="DL7">
        <v>0.14849130327604099</v>
      </c>
      <c r="DM7">
        <v>4.3418357096419599E-4</v>
      </c>
      <c r="DN7">
        <v>147</v>
      </c>
      <c r="DO7">
        <v>0.99875330696380304</v>
      </c>
      <c r="DP7" s="28">
        <v>1.11413277888152E-212</v>
      </c>
      <c r="DQ7">
        <v>-2.8997180081833E-2</v>
      </c>
      <c r="DR7">
        <v>3.94980017474791E-4</v>
      </c>
      <c r="DS7">
        <v>97</v>
      </c>
      <c r="DT7">
        <v>0.98249663262068498</v>
      </c>
      <c r="DU7" s="28">
        <v>1.76976159037567E-85</v>
      </c>
      <c r="DV7">
        <v>98.594954907642801</v>
      </c>
      <c r="DW7">
        <v>0.14691411174173299</v>
      </c>
      <c r="DX7" s="28">
        <v>4.0027017954856697E-4</v>
      </c>
      <c r="DY7">
        <v>145</v>
      </c>
      <c r="DZ7">
        <v>0.99893222147415395</v>
      </c>
      <c r="EA7" s="28">
        <v>1.3923647909680401E-214</v>
      </c>
      <c r="EB7">
        <v>-4.2833189895947199E-2</v>
      </c>
      <c r="EC7">
        <v>2.5368933759536402E-4</v>
      </c>
      <c r="ED7">
        <v>144</v>
      </c>
      <c r="EE7">
        <v>0.99500860773386901</v>
      </c>
      <c r="EF7" s="28">
        <v>1.5256322178899799E-165</v>
      </c>
      <c r="EG7" s="49">
        <v>0</v>
      </c>
      <c r="EH7">
        <v>198</v>
      </c>
      <c r="EI7" s="58">
        <v>1</v>
      </c>
      <c r="EJ7" s="28">
        <v>5.5577071443009017E-2</v>
      </c>
      <c r="EK7">
        <v>0</v>
      </c>
      <c r="EL7" s="20">
        <v>550</v>
      </c>
      <c r="EM7" s="49">
        <v>3.8872448566040199E-11</v>
      </c>
      <c r="EN7" s="53">
        <v>5.1879999999999998E-5</v>
      </c>
    </row>
    <row r="8" spans="1:144" x14ac:dyDescent="0.3">
      <c r="B8">
        <v>0</v>
      </c>
      <c r="C8" t="s">
        <v>156</v>
      </c>
      <c r="D8" t="s">
        <v>258</v>
      </c>
      <c r="E8" s="61" t="s">
        <v>253</v>
      </c>
      <c r="F8" s="19">
        <v>1.1033333333333357</v>
      </c>
      <c r="G8" s="20">
        <v>1.1166666666666685</v>
      </c>
      <c r="H8" s="19">
        <v>25</v>
      </c>
      <c r="I8">
        <v>21.05</v>
      </c>
      <c r="J8" s="32">
        <v>6.0780000000000003</v>
      </c>
      <c r="K8">
        <v>11</v>
      </c>
      <c r="L8" s="36">
        <v>0.14000000000000001</v>
      </c>
      <c r="M8">
        <v>0.315</v>
      </c>
      <c r="N8">
        <v>0.309</v>
      </c>
      <c r="O8">
        <v>0.33600000000000002</v>
      </c>
      <c r="P8" s="19">
        <v>0.2</v>
      </c>
      <c r="Q8" s="20">
        <v>0.23299999999999998</v>
      </c>
      <c r="R8" s="19">
        <v>1111</v>
      </c>
      <c r="S8" s="28">
        <v>24661</v>
      </c>
      <c r="T8">
        <v>4.3120000000000003</v>
      </c>
      <c r="U8">
        <v>2.948</v>
      </c>
      <c r="V8">
        <v>3.4449999999999998</v>
      </c>
      <c r="W8">
        <v>4.1139999999999999</v>
      </c>
      <c r="X8">
        <v>4.9219999999999997</v>
      </c>
      <c r="Y8" s="20">
        <v>5.6619999999999999</v>
      </c>
      <c r="AA8">
        <v>0.15206137428843469</v>
      </c>
      <c r="AB8" s="20">
        <v>0.1445749413643945</v>
      </c>
      <c r="AI8" s="43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1.1889715405084761E-3</v>
      </c>
      <c r="AU8">
        <v>1.1425368863056784E-3</v>
      </c>
      <c r="AV8">
        <v>7.3989955578405173E-4</v>
      </c>
      <c r="AW8">
        <v>6.7068399040281384E-4</v>
      </c>
      <c r="AX8">
        <v>9.0135162648259486E-3</v>
      </c>
      <c r="AY8">
        <v>8.4339995607291898E-3</v>
      </c>
      <c r="AZ8">
        <v>2.2474983616446197E-3</v>
      </c>
      <c r="BA8">
        <v>2.6530596788500688E-3</v>
      </c>
      <c r="BD8">
        <v>2.6816012802115632E-3</v>
      </c>
      <c r="BE8">
        <v>2.6649301919545437E-3</v>
      </c>
      <c r="BF8">
        <v>1.3604742699127564E-2</v>
      </c>
      <c r="BG8">
        <v>1.4131845850876989E-2</v>
      </c>
      <c r="BH8">
        <v>1.5148694951370584E-2</v>
      </c>
      <c r="BI8">
        <v>1.6037063204145156E-2</v>
      </c>
      <c r="BJ8">
        <v>5.3247106760181762E-3</v>
      </c>
      <c r="BK8">
        <v>5.2081876245882218E-3</v>
      </c>
      <c r="BL8">
        <v>1.195386854575968E-3</v>
      </c>
      <c r="BM8">
        <v>1.4066558028802379E-3</v>
      </c>
      <c r="BN8">
        <v>1.4413072271631528E-3</v>
      </c>
      <c r="BO8">
        <v>1.6321955518652548E-3</v>
      </c>
      <c r="BP8">
        <v>2.4570652878493509E-2</v>
      </c>
      <c r="BQ8">
        <v>2.4672861487650417E-2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1.3743741170589885E-2</v>
      </c>
      <c r="BY8">
        <v>1.3446323719093581E-2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 s="39">
        <v>9.0900723460313484E-2</v>
      </c>
      <c r="DG8" s="58">
        <v>9.210034354934217E-2</v>
      </c>
      <c r="DH8" s="19">
        <v>10</v>
      </c>
      <c r="DI8">
        <v>0.16299999999999998</v>
      </c>
      <c r="DJ8">
        <v>0.36499999999999999</v>
      </c>
      <c r="DK8">
        <v>98.497510230642206</v>
      </c>
      <c r="DL8">
        <v>0.14849130327604099</v>
      </c>
      <c r="DM8">
        <v>4.3418357096419599E-4</v>
      </c>
      <c r="DN8">
        <v>147</v>
      </c>
      <c r="DO8">
        <v>0.99875330696380304</v>
      </c>
      <c r="DP8" s="28">
        <v>1.11413277888152E-212</v>
      </c>
      <c r="DQ8">
        <v>-2.8997180081833E-2</v>
      </c>
      <c r="DR8">
        <v>3.94980017474791E-4</v>
      </c>
      <c r="DS8">
        <v>97</v>
      </c>
      <c r="DT8">
        <v>0.98249663262068498</v>
      </c>
      <c r="DU8" s="28">
        <v>1.76976159037567E-85</v>
      </c>
      <c r="DV8">
        <v>98.594954907642801</v>
      </c>
      <c r="DW8">
        <v>0.14691411174173299</v>
      </c>
      <c r="DX8">
        <v>4.0027017954856697E-4</v>
      </c>
      <c r="DY8">
        <v>145</v>
      </c>
      <c r="DZ8">
        <v>0.99893222147415395</v>
      </c>
      <c r="EA8" s="28">
        <v>1.3923647909680401E-214</v>
      </c>
      <c r="EB8">
        <v>-4.2833189895947199E-2</v>
      </c>
      <c r="EC8" s="28">
        <v>2.5368933759536402E-4</v>
      </c>
      <c r="ED8">
        <v>144</v>
      </c>
      <c r="EE8">
        <v>0.99500860773386901</v>
      </c>
      <c r="EF8" s="28">
        <v>1.5256322178899799E-165</v>
      </c>
      <c r="EG8" s="49">
        <v>0</v>
      </c>
      <c r="EH8">
        <v>222</v>
      </c>
      <c r="EI8" s="58">
        <v>0.25</v>
      </c>
      <c r="EJ8" s="28">
        <v>5.5577071443009017E-2</v>
      </c>
      <c r="EK8">
        <v>0</v>
      </c>
      <c r="EL8" s="20">
        <v>550</v>
      </c>
      <c r="EM8" s="49">
        <v>3.8872448566040199E-11</v>
      </c>
      <c r="EN8" s="53">
        <v>5.1879999999999998E-5</v>
      </c>
    </row>
    <row r="9" spans="1:144" x14ac:dyDescent="0.3">
      <c r="B9">
        <v>0</v>
      </c>
      <c r="C9" t="s">
        <v>155</v>
      </c>
      <c r="D9" t="s">
        <v>258</v>
      </c>
      <c r="E9" s="61" t="s">
        <v>254</v>
      </c>
      <c r="F9" s="19">
        <v>1.1033333333333357</v>
      </c>
      <c r="G9" s="20">
        <v>1.1166666666666685</v>
      </c>
      <c r="H9" s="19">
        <v>25</v>
      </c>
      <c r="I9">
        <v>21.05</v>
      </c>
      <c r="J9" s="32">
        <v>6.0780000000000003</v>
      </c>
      <c r="K9">
        <v>11</v>
      </c>
      <c r="L9" s="36">
        <v>0.14000000000000001</v>
      </c>
      <c r="M9">
        <v>0.315</v>
      </c>
      <c r="N9">
        <v>0.309</v>
      </c>
      <c r="O9">
        <v>0.33600000000000002</v>
      </c>
      <c r="P9" s="19">
        <v>0.2</v>
      </c>
      <c r="Q9" s="20">
        <v>0.23299999999999998</v>
      </c>
      <c r="R9" s="19">
        <v>1111</v>
      </c>
      <c r="S9" s="28">
        <v>24661</v>
      </c>
      <c r="T9">
        <v>4.3120000000000003</v>
      </c>
      <c r="U9">
        <v>2.948</v>
      </c>
      <c r="V9">
        <v>3.4449999999999998</v>
      </c>
      <c r="W9">
        <v>4.1139999999999999</v>
      </c>
      <c r="X9">
        <v>4.9219999999999997</v>
      </c>
      <c r="Y9" s="20">
        <v>5.6619999999999999</v>
      </c>
      <c r="AA9">
        <v>0.15206137428843469</v>
      </c>
      <c r="AB9" s="20">
        <v>0.1445749413643945</v>
      </c>
      <c r="AI9" s="43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1.1889715405084761E-3</v>
      </c>
      <c r="AU9">
        <v>1.1425368863056784E-3</v>
      </c>
      <c r="AV9">
        <v>7.3989955578405173E-4</v>
      </c>
      <c r="AW9">
        <v>6.7068399040281384E-4</v>
      </c>
      <c r="AX9">
        <v>9.0135162648259486E-3</v>
      </c>
      <c r="AY9">
        <v>8.4339995607291898E-3</v>
      </c>
      <c r="AZ9">
        <v>2.2474983616446197E-3</v>
      </c>
      <c r="BA9">
        <v>2.6530596788500688E-3</v>
      </c>
      <c r="BD9">
        <v>2.6816012802115632E-3</v>
      </c>
      <c r="BE9">
        <v>2.6649301919545437E-3</v>
      </c>
      <c r="BF9">
        <v>1.3604742699127564E-2</v>
      </c>
      <c r="BG9">
        <v>1.4131845850876989E-2</v>
      </c>
      <c r="BH9">
        <v>1.5148694951370584E-2</v>
      </c>
      <c r="BI9">
        <v>1.6037063204145156E-2</v>
      </c>
      <c r="BJ9">
        <v>5.3247106760181762E-3</v>
      </c>
      <c r="BK9">
        <v>5.2081876245882218E-3</v>
      </c>
      <c r="BL9">
        <v>1.195386854575968E-3</v>
      </c>
      <c r="BM9">
        <v>1.4066558028802379E-3</v>
      </c>
      <c r="BN9">
        <v>1.4413072271631528E-3</v>
      </c>
      <c r="BO9">
        <v>1.6321955518652548E-3</v>
      </c>
      <c r="BP9">
        <v>2.4570652878493509E-2</v>
      </c>
      <c r="BQ9">
        <v>2.4672861487650417E-2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1.3743741170589885E-2</v>
      </c>
      <c r="BY9">
        <v>1.3446323719093581E-2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 s="39">
        <v>9.0900723460313484E-2</v>
      </c>
      <c r="DG9" s="58">
        <v>9.210034354934217E-2</v>
      </c>
      <c r="DH9" s="19">
        <v>10</v>
      </c>
      <c r="DI9">
        <v>0.16299999999999998</v>
      </c>
      <c r="DJ9">
        <v>0.36499999999999999</v>
      </c>
      <c r="DK9">
        <v>98.497510230642206</v>
      </c>
      <c r="DL9">
        <v>0.14849130327604099</v>
      </c>
      <c r="DM9" s="28">
        <v>4.3418357096419599E-4</v>
      </c>
      <c r="DN9">
        <v>147</v>
      </c>
      <c r="DO9">
        <v>0.99875330696380304</v>
      </c>
      <c r="DP9" s="28">
        <v>1.11413277888152E-212</v>
      </c>
      <c r="DQ9">
        <v>-2.8997180081833E-2</v>
      </c>
      <c r="DR9" s="28">
        <v>3.94980017474791E-4</v>
      </c>
      <c r="DS9">
        <v>97</v>
      </c>
      <c r="DT9">
        <v>0.98249663262068498</v>
      </c>
      <c r="DU9" s="28">
        <v>1.76976159037567E-85</v>
      </c>
      <c r="DV9">
        <v>98.594954907642801</v>
      </c>
      <c r="DW9">
        <v>0.14691411174173299</v>
      </c>
      <c r="DX9" s="28">
        <v>4.0027017954856697E-4</v>
      </c>
      <c r="DY9">
        <v>145</v>
      </c>
      <c r="DZ9">
        <v>0.99893222147415395</v>
      </c>
      <c r="EA9" s="28">
        <v>1.3923647909680401E-214</v>
      </c>
      <c r="EB9">
        <v>-4.2833189895947199E-2</v>
      </c>
      <c r="EC9" s="28">
        <v>2.5368933759536402E-4</v>
      </c>
      <c r="ED9">
        <v>144</v>
      </c>
      <c r="EE9">
        <v>0.99500860773386901</v>
      </c>
      <c r="EF9" s="28">
        <v>1.5256322178899799E-165</v>
      </c>
      <c r="EG9" s="49">
        <v>0</v>
      </c>
      <c r="EH9">
        <v>234</v>
      </c>
      <c r="EI9" s="58">
        <v>0.5</v>
      </c>
      <c r="EJ9" s="28">
        <v>5.5577071443009017E-2</v>
      </c>
      <c r="EK9">
        <v>0</v>
      </c>
      <c r="EL9" s="20">
        <v>550</v>
      </c>
      <c r="EM9" s="49">
        <v>3.8872448566040199E-11</v>
      </c>
      <c r="EN9" s="53">
        <v>5.1879999999999998E-5</v>
      </c>
    </row>
    <row r="10" spans="1:144" x14ac:dyDescent="0.3">
      <c r="B10">
        <v>0</v>
      </c>
      <c r="C10" t="s">
        <v>157</v>
      </c>
      <c r="D10" t="s">
        <v>258</v>
      </c>
      <c r="E10" s="61" t="s">
        <v>255</v>
      </c>
      <c r="F10" s="19">
        <v>1.1033333333333357</v>
      </c>
      <c r="G10" s="20">
        <v>1.1166666666666685</v>
      </c>
      <c r="H10" s="19">
        <v>25</v>
      </c>
      <c r="I10">
        <v>21.05</v>
      </c>
      <c r="J10" s="32">
        <v>6.0780000000000003</v>
      </c>
      <c r="K10">
        <v>11</v>
      </c>
      <c r="L10" s="36">
        <v>0.14000000000000001</v>
      </c>
      <c r="M10">
        <v>0.315</v>
      </c>
      <c r="N10">
        <v>0.309</v>
      </c>
      <c r="O10">
        <v>0.33600000000000002</v>
      </c>
      <c r="P10" s="19">
        <v>0.2</v>
      </c>
      <c r="Q10" s="20">
        <v>0.23299999999999998</v>
      </c>
      <c r="R10" s="19">
        <v>1111</v>
      </c>
      <c r="S10" s="28">
        <v>24661</v>
      </c>
      <c r="T10">
        <v>4.3120000000000003</v>
      </c>
      <c r="U10">
        <v>2.948</v>
      </c>
      <c r="V10">
        <v>3.4449999999999998</v>
      </c>
      <c r="W10">
        <v>4.1139999999999999</v>
      </c>
      <c r="X10">
        <v>4.9219999999999997</v>
      </c>
      <c r="Y10" s="20">
        <v>5.6619999999999999</v>
      </c>
      <c r="AA10">
        <v>0.15206137428843469</v>
      </c>
      <c r="AB10" s="20">
        <v>0.1445749413643945</v>
      </c>
      <c r="AI10" s="43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1.1889715405084761E-3</v>
      </c>
      <c r="AU10">
        <v>1.1425368863056784E-3</v>
      </c>
      <c r="AV10">
        <v>7.3989955578405173E-4</v>
      </c>
      <c r="AW10">
        <v>6.7068399040281384E-4</v>
      </c>
      <c r="AX10">
        <v>9.0135162648259486E-3</v>
      </c>
      <c r="AY10">
        <v>8.4339995607291898E-3</v>
      </c>
      <c r="AZ10">
        <v>2.2474983616446197E-3</v>
      </c>
      <c r="BA10">
        <v>2.6530596788500688E-3</v>
      </c>
      <c r="BD10">
        <v>2.6816012802115632E-3</v>
      </c>
      <c r="BE10">
        <v>2.6649301919545437E-3</v>
      </c>
      <c r="BF10">
        <v>1.3604742699127564E-2</v>
      </c>
      <c r="BG10">
        <v>1.4131845850876989E-2</v>
      </c>
      <c r="BH10">
        <v>1.5148694951370584E-2</v>
      </c>
      <c r="BI10">
        <v>1.6037063204145156E-2</v>
      </c>
      <c r="BJ10">
        <v>5.3247106760181762E-3</v>
      </c>
      <c r="BK10">
        <v>5.2081876245882218E-3</v>
      </c>
      <c r="BL10">
        <v>1.195386854575968E-3</v>
      </c>
      <c r="BM10">
        <v>1.4066558028802379E-3</v>
      </c>
      <c r="BN10">
        <v>1.4413072271631528E-3</v>
      </c>
      <c r="BO10">
        <v>1.6321955518652548E-3</v>
      </c>
      <c r="BP10">
        <v>2.4570652878493509E-2</v>
      </c>
      <c r="BQ10">
        <v>2.4672861487650417E-2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1.3743741170589885E-2</v>
      </c>
      <c r="BY10">
        <v>1.3446323719093581E-2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 s="39">
        <v>9.0900723460313484E-2</v>
      </c>
      <c r="DG10" s="58">
        <v>9.210034354934217E-2</v>
      </c>
      <c r="DH10" s="19">
        <v>10</v>
      </c>
      <c r="DI10">
        <v>0.16299999999999998</v>
      </c>
      <c r="DJ10">
        <v>0.36499999999999999</v>
      </c>
      <c r="DK10">
        <v>98.497510230642206</v>
      </c>
      <c r="DL10">
        <v>0.14849130327604099</v>
      </c>
      <c r="DM10">
        <v>4.3418357096419599E-4</v>
      </c>
      <c r="DN10">
        <v>147</v>
      </c>
      <c r="DO10">
        <v>0.99875330696380304</v>
      </c>
      <c r="DP10" s="28">
        <v>1.11413277888152E-212</v>
      </c>
      <c r="DQ10">
        <v>-2.8997180081833E-2</v>
      </c>
      <c r="DR10">
        <v>3.94980017474791E-4</v>
      </c>
      <c r="DS10">
        <v>97</v>
      </c>
      <c r="DT10">
        <v>0.98249663262068498</v>
      </c>
      <c r="DU10" s="28">
        <v>1.76976159037567E-85</v>
      </c>
      <c r="DV10">
        <v>98.594954907642801</v>
      </c>
      <c r="DW10">
        <v>0.14691411174173299</v>
      </c>
      <c r="DX10">
        <v>4.0027017954856697E-4</v>
      </c>
      <c r="DY10">
        <v>145</v>
      </c>
      <c r="DZ10">
        <v>0.99893222147415395</v>
      </c>
      <c r="EA10" s="28">
        <v>1.3923647909680401E-214</v>
      </c>
      <c r="EB10">
        <v>-4.2833189895947199E-2</v>
      </c>
      <c r="EC10" s="28">
        <v>2.5368933759536402E-4</v>
      </c>
      <c r="ED10">
        <v>144</v>
      </c>
      <c r="EE10">
        <v>0.99500860773386901</v>
      </c>
      <c r="EF10" s="28">
        <v>1.5256322178899799E-165</v>
      </c>
      <c r="EG10" s="49">
        <v>0</v>
      </c>
      <c r="EH10">
        <v>212</v>
      </c>
      <c r="EI10" s="58">
        <v>1</v>
      </c>
      <c r="EJ10" s="28">
        <v>5.5577071443009017E-2</v>
      </c>
      <c r="EK10">
        <v>0</v>
      </c>
      <c r="EL10" s="20">
        <v>550</v>
      </c>
      <c r="EM10" s="49">
        <v>3.8872448566040199E-11</v>
      </c>
      <c r="EN10" s="53">
        <v>5.1879999999999998E-5</v>
      </c>
    </row>
    <row r="11" spans="1:144" x14ac:dyDescent="0.3">
      <c r="B11">
        <v>0</v>
      </c>
      <c r="C11" t="s">
        <v>158</v>
      </c>
      <c r="D11" t="s">
        <v>259</v>
      </c>
      <c r="E11" s="61" t="s">
        <v>253</v>
      </c>
      <c r="F11" s="19">
        <v>1.1033333333333357</v>
      </c>
      <c r="G11" s="20">
        <v>1.1166666666666685</v>
      </c>
      <c r="H11" s="19">
        <v>25</v>
      </c>
      <c r="I11">
        <v>21.05</v>
      </c>
      <c r="J11" s="32">
        <v>6.0780000000000003</v>
      </c>
      <c r="K11">
        <v>11</v>
      </c>
      <c r="L11" s="36">
        <v>0.14000000000000001</v>
      </c>
      <c r="M11">
        <v>0.315</v>
      </c>
      <c r="N11">
        <v>0.309</v>
      </c>
      <c r="O11">
        <v>0.33600000000000002</v>
      </c>
      <c r="P11" s="19">
        <v>0.2</v>
      </c>
      <c r="Q11" s="20">
        <v>0.23299999999999998</v>
      </c>
      <c r="R11" s="19">
        <v>1111</v>
      </c>
      <c r="S11" s="28">
        <v>24661</v>
      </c>
      <c r="T11">
        <v>4.3120000000000003</v>
      </c>
      <c r="U11">
        <v>2.948</v>
      </c>
      <c r="V11">
        <v>3.4449999999999998</v>
      </c>
      <c r="W11">
        <v>4.1139999999999999</v>
      </c>
      <c r="X11">
        <v>4.9219999999999997</v>
      </c>
      <c r="Y11" s="20">
        <v>5.6619999999999999</v>
      </c>
      <c r="AA11">
        <v>0.15206137428843469</v>
      </c>
      <c r="AB11" s="20">
        <v>0.1445749413643945</v>
      </c>
      <c r="AI11" s="43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1.1889715405084761E-3</v>
      </c>
      <c r="AU11">
        <v>1.1425368863056784E-3</v>
      </c>
      <c r="AV11">
        <v>7.3989955578405173E-4</v>
      </c>
      <c r="AW11">
        <v>6.7068399040281384E-4</v>
      </c>
      <c r="AX11">
        <v>9.0135162648259486E-3</v>
      </c>
      <c r="AY11">
        <v>8.4339995607291898E-3</v>
      </c>
      <c r="AZ11">
        <v>2.2474983616446197E-3</v>
      </c>
      <c r="BA11">
        <v>2.6530596788500688E-3</v>
      </c>
      <c r="BD11">
        <v>2.6816012802115632E-3</v>
      </c>
      <c r="BE11">
        <v>2.6649301919545437E-3</v>
      </c>
      <c r="BF11">
        <v>1.3604742699127564E-2</v>
      </c>
      <c r="BG11">
        <v>1.4131845850876989E-2</v>
      </c>
      <c r="BH11">
        <v>1.5148694951370584E-2</v>
      </c>
      <c r="BI11">
        <v>1.6037063204145156E-2</v>
      </c>
      <c r="BJ11">
        <v>5.3247106760181762E-3</v>
      </c>
      <c r="BK11">
        <v>5.2081876245882218E-3</v>
      </c>
      <c r="BL11">
        <v>1.195386854575968E-3</v>
      </c>
      <c r="BM11">
        <v>1.4066558028802379E-3</v>
      </c>
      <c r="BN11">
        <v>1.4413072271631528E-3</v>
      </c>
      <c r="BO11">
        <v>1.6321955518652548E-3</v>
      </c>
      <c r="BP11">
        <v>2.4570652878493509E-2</v>
      </c>
      <c r="BQ11">
        <v>2.4672861487650417E-2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1.3743741170589885E-2</v>
      </c>
      <c r="BY11">
        <v>1.3446323719093581E-2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 s="39">
        <v>9.0900723460313484E-2</v>
      </c>
      <c r="DG11" s="58">
        <v>9.210034354934217E-2</v>
      </c>
      <c r="DH11" s="19">
        <v>10</v>
      </c>
      <c r="DI11">
        <v>0.16299999999999998</v>
      </c>
      <c r="DJ11">
        <v>0.36499999999999999</v>
      </c>
      <c r="DK11">
        <v>98.497510230642206</v>
      </c>
      <c r="DL11">
        <v>0.14849130327604099</v>
      </c>
      <c r="DM11">
        <v>4.3418357096419599E-4</v>
      </c>
      <c r="DN11">
        <v>147</v>
      </c>
      <c r="DO11">
        <v>0.99875330696380304</v>
      </c>
      <c r="DP11" s="28">
        <v>1.11413277888152E-212</v>
      </c>
      <c r="DQ11">
        <v>-2.8997180081833E-2</v>
      </c>
      <c r="DR11">
        <v>3.94980017474791E-4</v>
      </c>
      <c r="DS11">
        <v>97</v>
      </c>
      <c r="DT11">
        <v>0.98249663262068498</v>
      </c>
      <c r="DU11" s="28">
        <v>1.76976159037567E-85</v>
      </c>
      <c r="DV11">
        <v>98.594954907642801</v>
      </c>
      <c r="DW11">
        <v>0.14691411174173299</v>
      </c>
      <c r="DX11">
        <v>4.0027017954856697E-4</v>
      </c>
      <c r="DY11">
        <v>145</v>
      </c>
      <c r="DZ11">
        <v>0.99893222147415395</v>
      </c>
      <c r="EA11" s="28">
        <v>1.3923647909680401E-214</v>
      </c>
      <c r="EB11">
        <v>-4.2833189895947199E-2</v>
      </c>
      <c r="EC11">
        <v>2.5368933759536402E-4</v>
      </c>
      <c r="ED11">
        <v>144</v>
      </c>
      <c r="EE11">
        <v>0.99500860773386901</v>
      </c>
      <c r="EF11" s="28">
        <v>1.5256322178899799E-165</v>
      </c>
      <c r="EG11" s="49">
        <v>0</v>
      </c>
      <c r="EH11">
        <v>224</v>
      </c>
      <c r="EI11" s="58">
        <v>0.25</v>
      </c>
      <c r="EJ11" s="28">
        <v>5.5577071443009017E-2</v>
      </c>
      <c r="EK11">
        <v>0</v>
      </c>
      <c r="EL11" s="20">
        <v>550</v>
      </c>
      <c r="EM11" s="49">
        <v>3.8872448566040199E-11</v>
      </c>
      <c r="EN11" s="53">
        <v>5.1879999999999998E-5</v>
      </c>
    </row>
    <row r="12" spans="1:144" x14ac:dyDescent="0.3">
      <c r="B12">
        <v>0</v>
      </c>
      <c r="C12" t="s">
        <v>159</v>
      </c>
      <c r="D12" t="s">
        <v>259</v>
      </c>
      <c r="E12" s="61" t="s">
        <v>254</v>
      </c>
      <c r="F12" s="19">
        <v>1.1033333333333357</v>
      </c>
      <c r="G12" s="20">
        <v>1.1166666666666685</v>
      </c>
      <c r="H12" s="19">
        <v>25</v>
      </c>
      <c r="I12">
        <v>21.05</v>
      </c>
      <c r="J12" s="32">
        <v>6.0780000000000003</v>
      </c>
      <c r="K12">
        <v>11</v>
      </c>
      <c r="L12" s="36">
        <v>0.14000000000000001</v>
      </c>
      <c r="M12">
        <v>0.315</v>
      </c>
      <c r="N12">
        <v>0.309</v>
      </c>
      <c r="O12">
        <v>0.33600000000000002</v>
      </c>
      <c r="P12" s="19">
        <v>0.2</v>
      </c>
      <c r="Q12" s="20">
        <v>0.23299999999999998</v>
      </c>
      <c r="R12" s="19">
        <v>1111</v>
      </c>
      <c r="S12" s="28">
        <v>24661</v>
      </c>
      <c r="T12">
        <v>4.3120000000000003</v>
      </c>
      <c r="U12">
        <v>2.948</v>
      </c>
      <c r="V12">
        <v>3.4449999999999998</v>
      </c>
      <c r="W12">
        <v>4.1139999999999999</v>
      </c>
      <c r="X12">
        <v>4.9219999999999997</v>
      </c>
      <c r="Y12" s="20">
        <v>5.6619999999999999</v>
      </c>
      <c r="AA12">
        <v>0.15206137428843469</v>
      </c>
      <c r="AB12" s="20">
        <v>0.1445749413643945</v>
      </c>
      <c r="AI12" s="43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1.1889715405084761E-3</v>
      </c>
      <c r="AU12">
        <v>1.1425368863056784E-3</v>
      </c>
      <c r="AV12">
        <v>7.3989955578405173E-4</v>
      </c>
      <c r="AW12">
        <v>6.7068399040281384E-4</v>
      </c>
      <c r="AX12">
        <v>9.0135162648259486E-3</v>
      </c>
      <c r="AY12">
        <v>8.4339995607291898E-3</v>
      </c>
      <c r="AZ12">
        <v>2.2474983616446197E-3</v>
      </c>
      <c r="BA12">
        <v>2.6530596788500688E-3</v>
      </c>
      <c r="BD12">
        <v>2.6816012802115632E-3</v>
      </c>
      <c r="BE12">
        <v>2.6649301919545437E-3</v>
      </c>
      <c r="BF12">
        <v>1.3604742699127564E-2</v>
      </c>
      <c r="BG12">
        <v>1.4131845850876989E-2</v>
      </c>
      <c r="BH12">
        <v>1.5148694951370584E-2</v>
      </c>
      <c r="BI12">
        <v>1.6037063204145156E-2</v>
      </c>
      <c r="BJ12">
        <v>5.3247106760181762E-3</v>
      </c>
      <c r="BK12">
        <v>5.2081876245882218E-3</v>
      </c>
      <c r="BL12">
        <v>1.195386854575968E-3</v>
      </c>
      <c r="BM12">
        <v>1.4066558028802379E-3</v>
      </c>
      <c r="BN12">
        <v>1.4413072271631528E-3</v>
      </c>
      <c r="BO12">
        <v>1.6321955518652548E-3</v>
      </c>
      <c r="BP12">
        <v>2.4570652878493509E-2</v>
      </c>
      <c r="BQ12">
        <v>2.4672861487650417E-2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1.3743741170589885E-2</v>
      </c>
      <c r="BY12">
        <v>1.3446323719093581E-2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 s="39">
        <v>9.0900723460313484E-2</v>
      </c>
      <c r="DG12" s="58">
        <v>9.210034354934217E-2</v>
      </c>
      <c r="DH12" s="19">
        <v>10</v>
      </c>
      <c r="DI12">
        <v>0.16299999999999998</v>
      </c>
      <c r="DJ12">
        <v>0.36499999999999999</v>
      </c>
      <c r="DK12">
        <v>98.497510230642206</v>
      </c>
      <c r="DL12">
        <v>0.14849130327604099</v>
      </c>
      <c r="DM12">
        <v>4.3418357096419599E-4</v>
      </c>
      <c r="DN12">
        <v>147</v>
      </c>
      <c r="DO12">
        <v>0.99875330696380304</v>
      </c>
      <c r="DP12" s="28">
        <v>1.11413277888152E-212</v>
      </c>
      <c r="DQ12">
        <v>-2.8997180081833E-2</v>
      </c>
      <c r="DR12">
        <v>3.94980017474791E-4</v>
      </c>
      <c r="DS12">
        <v>97</v>
      </c>
      <c r="DT12">
        <v>0.98249663262068498</v>
      </c>
      <c r="DU12" s="28">
        <v>1.76976159037567E-85</v>
      </c>
      <c r="DV12">
        <v>98.594954907642801</v>
      </c>
      <c r="DW12">
        <v>0.14691411174173299</v>
      </c>
      <c r="DX12">
        <v>4.0027017954856697E-4</v>
      </c>
      <c r="DY12">
        <v>145</v>
      </c>
      <c r="DZ12">
        <v>0.99893222147415395</v>
      </c>
      <c r="EA12" s="28">
        <v>1.3923647909680401E-214</v>
      </c>
      <c r="EB12">
        <v>-4.2833189895947199E-2</v>
      </c>
      <c r="EC12">
        <v>2.5368933759536402E-4</v>
      </c>
      <c r="ED12">
        <v>144</v>
      </c>
      <c r="EE12">
        <v>0.99500860773386901</v>
      </c>
      <c r="EF12" s="28">
        <v>1.5256322178899799E-165</v>
      </c>
      <c r="EG12" s="49">
        <v>0</v>
      </c>
      <c r="EH12">
        <v>231</v>
      </c>
      <c r="EI12" s="58">
        <v>0.5</v>
      </c>
      <c r="EJ12" s="28">
        <v>5.5577071443009017E-2</v>
      </c>
      <c r="EK12">
        <v>0</v>
      </c>
      <c r="EL12" s="20">
        <v>550</v>
      </c>
      <c r="EM12" s="49">
        <v>3.8872448566040199E-11</v>
      </c>
      <c r="EN12" s="53">
        <v>5.1879999999999998E-5</v>
      </c>
    </row>
    <row r="13" spans="1:144" s="34" customFormat="1" ht="15" thickBot="1" x14ac:dyDescent="0.35">
      <c r="A13" s="26"/>
      <c r="B13" s="34">
        <v>0</v>
      </c>
      <c r="C13" s="34" t="s">
        <v>160</v>
      </c>
      <c r="D13" t="s">
        <v>259</v>
      </c>
      <c r="E13" s="62" t="s">
        <v>255</v>
      </c>
      <c r="F13" s="26">
        <v>1.1033333333333357</v>
      </c>
      <c r="G13" s="41">
        <v>1.1166666666666685</v>
      </c>
      <c r="H13" s="26">
        <v>25</v>
      </c>
      <c r="I13" s="34">
        <v>21.05</v>
      </c>
      <c r="J13" s="33">
        <v>6.0780000000000003</v>
      </c>
      <c r="K13" s="34">
        <v>11</v>
      </c>
      <c r="L13" s="30">
        <v>0.14000000000000001</v>
      </c>
      <c r="M13" s="34">
        <v>0.315</v>
      </c>
      <c r="N13" s="34">
        <v>0.309</v>
      </c>
      <c r="O13" s="34">
        <v>0.33600000000000002</v>
      </c>
      <c r="P13" s="26">
        <v>0.2</v>
      </c>
      <c r="Q13" s="41">
        <v>0.23299999999999998</v>
      </c>
      <c r="R13" s="26">
        <v>1111</v>
      </c>
      <c r="S13" s="29">
        <v>24661</v>
      </c>
      <c r="T13" s="34">
        <v>4.3120000000000003</v>
      </c>
      <c r="U13" s="34">
        <v>2.948</v>
      </c>
      <c r="V13" s="34">
        <v>3.4449999999999998</v>
      </c>
      <c r="W13" s="34">
        <v>4.1139999999999999</v>
      </c>
      <c r="X13" s="34">
        <v>4.9219999999999997</v>
      </c>
      <c r="Y13" s="41">
        <v>5.6619999999999999</v>
      </c>
      <c r="Z13" s="26"/>
      <c r="AA13" s="34">
        <v>0.15206137428843469</v>
      </c>
      <c r="AB13" s="41">
        <v>0.1445749413643945</v>
      </c>
      <c r="AI13" s="44">
        <v>0</v>
      </c>
      <c r="AJ13" s="34">
        <v>0</v>
      </c>
      <c r="AK13" s="34">
        <v>0</v>
      </c>
      <c r="AL13" s="34">
        <v>0</v>
      </c>
      <c r="AM13" s="34">
        <v>0</v>
      </c>
      <c r="AN13" s="34">
        <v>0</v>
      </c>
      <c r="AO13" s="34">
        <v>0</v>
      </c>
      <c r="AP13" s="34">
        <v>0</v>
      </c>
      <c r="AQ13" s="34">
        <v>0</v>
      </c>
      <c r="AR13" s="34">
        <v>0</v>
      </c>
      <c r="AS13" s="34">
        <v>0</v>
      </c>
      <c r="AT13" s="34">
        <v>1.1889715405084761E-3</v>
      </c>
      <c r="AU13" s="34">
        <v>1.1425368863056784E-3</v>
      </c>
      <c r="AV13" s="34">
        <v>7.3989955578405173E-4</v>
      </c>
      <c r="AW13" s="34">
        <v>6.7068399040281384E-4</v>
      </c>
      <c r="AX13" s="34">
        <v>9.0135162648259486E-3</v>
      </c>
      <c r="AY13" s="34">
        <v>8.4339995607291898E-3</v>
      </c>
      <c r="AZ13" s="34">
        <v>2.2474983616446197E-3</v>
      </c>
      <c r="BA13" s="34">
        <v>2.6530596788500688E-3</v>
      </c>
      <c r="BD13" s="34">
        <v>2.6816012802115632E-3</v>
      </c>
      <c r="BE13" s="34">
        <v>2.6649301919545437E-3</v>
      </c>
      <c r="BF13" s="34">
        <v>1.3604742699127564E-2</v>
      </c>
      <c r="BG13" s="34">
        <v>1.4131845850876989E-2</v>
      </c>
      <c r="BH13" s="34">
        <v>1.5148694951370584E-2</v>
      </c>
      <c r="BI13" s="34">
        <v>1.6037063204145156E-2</v>
      </c>
      <c r="BJ13" s="34">
        <v>5.3247106760181762E-3</v>
      </c>
      <c r="BK13" s="34">
        <v>5.2081876245882218E-3</v>
      </c>
      <c r="BL13" s="34">
        <v>1.195386854575968E-3</v>
      </c>
      <c r="BM13" s="34">
        <v>1.4066558028802379E-3</v>
      </c>
      <c r="BN13" s="34">
        <v>1.4413072271631528E-3</v>
      </c>
      <c r="BO13" s="34">
        <v>1.6321955518652548E-3</v>
      </c>
      <c r="BP13" s="34">
        <v>2.4570652878493509E-2</v>
      </c>
      <c r="BQ13" s="34">
        <v>2.4672861487650417E-2</v>
      </c>
      <c r="BR13" s="34">
        <v>0</v>
      </c>
      <c r="BS13" s="34">
        <v>0</v>
      </c>
      <c r="BT13" s="34">
        <v>0</v>
      </c>
      <c r="BU13" s="34">
        <v>0</v>
      </c>
      <c r="BV13" s="34">
        <v>0</v>
      </c>
      <c r="BW13" s="34">
        <v>0</v>
      </c>
      <c r="BX13" s="34">
        <v>1.3743741170589885E-2</v>
      </c>
      <c r="BY13" s="34">
        <v>1.3446323719093581E-2</v>
      </c>
      <c r="BZ13" s="34">
        <v>0</v>
      </c>
      <c r="CA13" s="34">
        <v>0</v>
      </c>
      <c r="CB13" s="34">
        <v>0</v>
      </c>
      <c r="CC13" s="34">
        <v>0</v>
      </c>
      <c r="CD13" s="34">
        <v>0</v>
      </c>
      <c r="CE13" s="34">
        <v>0</v>
      </c>
      <c r="CF13" s="34">
        <v>0</v>
      </c>
      <c r="CG13" s="34">
        <v>0</v>
      </c>
      <c r="CH13" s="34">
        <v>0</v>
      </c>
      <c r="CI13" s="34">
        <v>0</v>
      </c>
      <c r="CJ13" s="34">
        <v>0</v>
      </c>
      <c r="CK13" s="34">
        <v>0</v>
      </c>
      <c r="CL13" s="34">
        <v>0</v>
      </c>
      <c r="CM13" s="34">
        <v>0</v>
      </c>
      <c r="CN13" s="34">
        <v>0</v>
      </c>
      <c r="CO13" s="34">
        <v>0</v>
      </c>
      <c r="CP13" s="34">
        <v>0</v>
      </c>
      <c r="CQ13" s="34">
        <v>0</v>
      </c>
      <c r="CR13" s="34">
        <v>0</v>
      </c>
      <c r="CS13" s="34">
        <v>0</v>
      </c>
      <c r="CT13" s="34">
        <v>0</v>
      </c>
      <c r="CU13" s="34">
        <v>0</v>
      </c>
      <c r="CV13" s="34">
        <v>0</v>
      </c>
      <c r="CW13" s="34">
        <v>0</v>
      </c>
      <c r="CX13" s="34">
        <v>0</v>
      </c>
      <c r="CY13" s="34">
        <v>0</v>
      </c>
      <c r="CZ13" s="34">
        <v>0</v>
      </c>
      <c r="DA13" s="34">
        <v>0</v>
      </c>
      <c r="DB13" s="34">
        <v>0</v>
      </c>
      <c r="DC13" s="34">
        <v>0</v>
      </c>
      <c r="DD13" s="34">
        <v>0</v>
      </c>
      <c r="DE13" s="34">
        <v>0</v>
      </c>
      <c r="DF13" s="40">
        <v>9.0900723460313484E-2</v>
      </c>
      <c r="DG13" s="59">
        <v>9.210034354934217E-2</v>
      </c>
      <c r="DH13" s="26">
        <v>10</v>
      </c>
      <c r="DI13" s="34">
        <v>0.16299999999999998</v>
      </c>
      <c r="DJ13" s="34">
        <v>0.36499999999999999</v>
      </c>
      <c r="DK13" s="34">
        <v>98.497510230642206</v>
      </c>
      <c r="DL13" s="34">
        <v>0.14849130327604099</v>
      </c>
      <c r="DM13" s="34">
        <v>4.3418357096419599E-4</v>
      </c>
      <c r="DN13" s="34">
        <v>147</v>
      </c>
      <c r="DO13" s="34">
        <v>0.99875330696380304</v>
      </c>
      <c r="DP13" s="29">
        <v>1.11413277888152E-212</v>
      </c>
      <c r="DQ13" s="34">
        <v>-2.8997180081833E-2</v>
      </c>
      <c r="DR13" s="34">
        <v>3.94980017474791E-4</v>
      </c>
      <c r="DS13" s="34">
        <v>97</v>
      </c>
      <c r="DT13" s="34">
        <v>0.98249663262068498</v>
      </c>
      <c r="DU13" s="29">
        <v>1.76976159037567E-85</v>
      </c>
      <c r="DV13" s="34">
        <v>98.594954907642801</v>
      </c>
      <c r="DW13" s="34">
        <v>0.14691411174173299</v>
      </c>
      <c r="DX13" s="34">
        <v>4.0027017954856697E-4</v>
      </c>
      <c r="DY13" s="34">
        <v>145</v>
      </c>
      <c r="DZ13" s="34">
        <v>0.99893222147415395</v>
      </c>
      <c r="EA13" s="29">
        <v>1.3923647909680401E-214</v>
      </c>
      <c r="EB13" s="34">
        <v>-4.2833189895947199E-2</v>
      </c>
      <c r="EC13" s="34">
        <v>2.5368933759536402E-4</v>
      </c>
      <c r="ED13" s="34">
        <v>144</v>
      </c>
      <c r="EE13" s="34">
        <v>0.99500860773386901</v>
      </c>
      <c r="EF13" s="29">
        <v>1.5256322178899799E-165</v>
      </c>
      <c r="EG13" s="50">
        <v>0</v>
      </c>
      <c r="EH13" s="34">
        <v>212</v>
      </c>
      <c r="EI13" s="59">
        <v>1</v>
      </c>
      <c r="EJ13" s="29">
        <v>5.5577071443009017E-2</v>
      </c>
      <c r="EK13" s="34">
        <v>0</v>
      </c>
      <c r="EL13" s="41">
        <v>550</v>
      </c>
      <c r="EM13" s="50">
        <v>3.8872448566040199E-11</v>
      </c>
      <c r="EN13" s="54">
        <v>5.1879999999999998E-5</v>
      </c>
    </row>
    <row r="14" spans="1:144" s="2" customFormat="1" x14ac:dyDescent="0.3">
      <c r="A14" s="23">
        <v>44495</v>
      </c>
      <c r="B14" s="57">
        <v>0.75</v>
      </c>
      <c r="C14" s="2" t="s">
        <v>152</v>
      </c>
      <c r="D14" s="2" t="s">
        <v>256</v>
      </c>
      <c r="E14" s="60" t="s">
        <v>253</v>
      </c>
      <c r="F14" s="25">
        <f>(0.09192-0.09027)/9*1000</f>
        <v>0.18333333333333321</v>
      </c>
      <c r="G14" s="24"/>
      <c r="H14" s="25">
        <f>50/10</f>
        <v>5</v>
      </c>
      <c r="I14" s="2">
        <v>13.956666666666665</v>
      </c>
      <c r="J14" s="31">
        <v>2.3433333333333333</v>
      </c>
      <c r="K14" s="2">
        <v>1</v>
      </c>
      <c r="L14" s="35">
        <f>0.285-0.063</f>
        <v>0.22199999999999998</v>
      </c>
      <c r="M14" s="2">
        <v>0.40500000000000003</v>
      </c>
      <c r="N14" s="2">
        <v>0.41300000000000003</v>
      </c>
      <c r="O14" s="2">
        <v>0.44500000000000001</v>
      </c>
      <c r="P14" s="25">
        <v>0.28800000000000003</v>
      </c>
      <c r="Q14" s="24">
        <v>0.317</v>
      </c>
      <c r="R14" s="25">
        <v>1</v>
      </c>
      <c r="S14" s="27">
        <v>8757000</v>
      </c>
      <c r="T14" s="2">
        <v>3.774</v>
      </c>
      <c r="U14" s="2" t="s">
        <v>170</v>
      </c>
      <c r="V14" s="2" t="s">
        <v>171</v>
      </c>
      <c r="W14" s="2" t="s">
        <v>172</v>
      </c>
      <c r="X14" s="2" t="s">
        <v>173</v>
      </c>
      <c r="Y14" s="24" t="s">
        <v>174</v>
      </c>
      <c r="Z14" s="25"/>
      <c r="AA14" s="2">
        <v>0.24458667154888275</v>
      </c>
      <c r="AB14" s="24">
        <v>0.20098435249603303</v>
      </c>
      <c r="AC14" s="2">
        <f>K14</f>
        <v>1</v>
      </c>
      <c r="AD14" s="2">
        <v>1</v>
      </c>
      <c r="AE14" s="2">
        <v>1</v>
      </c>
      <c r="AF14" s="2">
        <f>0.316-0.035</f>
        <v>0.28100000000000003</v>
      </c>
      <c r="AG14" s="2">
        <f>0.175-0.034</f>
        <v>0.14099999999999999</v>
      </c>
      <c r="AH14" s="2">
        <f>0.357-0.034</f>
        <v>0.32299999999999995</v>
      </c>
      <c r="AI14" s="42">
        <v>42234.521396041251</v>
      </c>
      <c r="AJ14" s="2">
        <v>0</v>
      </c>
      <c r="AL14" s="2">
        <v>0</v>
      </c>
      <c r="AN14" s="2">
        <v>0</v>
      </c>
      <c r="AP14" s="2">
        <v>0</v>
      </c>
      <c r="AR14" s="2">
        <v>0</v>
      </c>
      <c r="AT14" s="2">
        <v>1.0968354108534513E-3</v>
      </c>
      <c r="AV14" s="2">
        <v>3.6145712403125101E-4</v>
      </c>
      <c r="AX14" s="2">
        <v>4.79865492248385E-3</v>
      </c>
      <c r="AZ14" s="2">
        <v>1.5663142041354211E-3</v>
      </c>
      <c r="BD14" s="2">
        <v>1.4624472144712686E-3</v>
      </c>
      <c r="BF14" s="2">
        <v>1.9946616695103864E-2</v>
      </c>
      <c r="BH14" s="2">
        <v>1.2867042679595223E-2</v>
      </c>
      <c r="BJ14" s="2">
        <v>6.5810124651207082E-3</v>
      </c>
      <c r="BL14" s="2">
        <v>8.6832803359231559E-4</v>
      </c>
      <c r="BN14" s="2">
        <v>2.403066672869834E-2</v>
      </c>
      <c r="BP14" s="2">
        <v>2.4196853912160986E-2</v>
      </c>
      <c r="BR14" s="2">
        <v>0</v>
      </c>
      <c r="BT14" s="2">
        <v>0</v>
      </c>
      <c r="BV14" s="2">
        <v>0</v>
      </c>
      <c r="BX14" s="2">
        <v>1.5393087868227415E-2</v>
      </c>
      <c r="BZ14" s="2">
        <v>0</v>
      </c>
      <c r="CB14" s="2">
        <v>0</v>
      </c>
      <c r="CD14" s="2">
        <v>0</v>
      </c>
      <c r="CF14" s="2">
        <v>0</v>
      </c>
      <c r="CH14" s="2">
        <v>0</v>
      </c>
      <c r="CJ14" s="2">
        <v>0</v>
      </c>
      <c r="CL14" s="2">
        <v>0</v>
      </c>
      <c r="CN14" s="2">
        <v>0</v>
      </c>
      <c r="CP14" s="2">
        <v>0</v>
      </c>
      <c r="CR14" s="2">
        <v>0</v>
      </c>
      <c r="CT14" s="2">
        <v>0</v>
      </c>
      <c r="CV14" s="2">
        <v>0</v>
      </c>
      <c r="CX14" s="2">
        <v>0</v>
      </c>
      <c r="CZ14" s="2">
        <v>0</v>
      </c>
      <c r="DB14" s="2">
        <v>0</v>
      </c>
      <c r="DD14" s="2">
        <v>0</v>
      </c>
      <c r="DF14" s="37">
        <v>0.11316931725847411</v>
      </c>
      <c r="DG14" s="57"/>
      <c r="DH14" s="25">
        <v>2</v>
      </c>
      <c r="DI14" s="2">
        <f>0.191-0.083</f>
        <v>0.108</v>
      </c>
      <c r="DJ14" s="2">
        <f>0.258-0.059</f>
        <v>0.19900000000000001</v>
      </c>
      <c r="DK14" s="2">
        <v>98.954132399777507</v>
      </c>
      <c r="DL14" s="2">
        <v>-1.7480912138471801E-2</v>
      </c>
      <c r="DM14" s="2">
        <v>1.8921360285854101E-4</v>
      </c>
      <c r="DN14" s="2">
        <v>147</v>
      </c>
      <c r="DO14" s="2">
        <v>0.98318048301342598</v>
      </c>
      <c r="DP14" s="27">
        <v>9.5322043752206708E-131</v>
      </c>
      <c r="DQ14" s="2">
        <v>-5.1142751599040699E-2</v>
      </c>
      <c r="DR14" s="27">
        <v>2.1608775326433199E-4</v>
      </c>
      <c r="DS14" s="2">
        <v>153</v>
      </c>
      <c r="DT14" s="2">
        <v>0.99729375837672996</v>
      </c>
      <c r="DU14" s="27">
        <v>5.4897694409221398E-196</v>
      </c>
      <c r="DV14" s="2">
        <v>48.5314940111545</v>
      </c>
      <c r="DW14" s="2">
        <v>-2.5444219360890401E-2</v>
      </c>
      <c r="DX14" s="2">
        <v>3.4776469997104703E-4</v>
      </c>
      <c r="DY14" s="2">
        <v>99</v>
      </c>
      <c r="DZ14" s="2">
        <v>0.98201875633096303</v>
      </c>
      <c r="EA14" s="27">
        <v>1.1323381814723001E-86</v>
      </c>
      <c r="EB14" s="2">
        <v>-5.2198085422311601E-2</v>
      </c>
      <c r="EC14" s="2">
        <v>3.01775344436782E-4</v>
      </c>
      <c r="ED14" s="2">
        <v>149</v>
      </c>
      <c r="EE14" s="2">
        <v>0.99507743487540801</v>
      </c>
      <c r="EF14" s="27">
        <v>9.5116068212732001E-172</v>
      </c>
      <c r="EG14" s="48">
        <v>42234.521396041251</v>
      </c>
      <c r="EH14" s="2">
        <v>210</v>
      </c>
      <c r="EI14" s="57">
        <v>0.25</v>
      </c>
      <c r="EJ14" s="27">
        <v>4.7359656239091524E-2</v>
      </c>
      <c r="EK14" s="2">
        <v>80</v>
      </c>
      <c r="EL14" s="24">
        <v>470</v>
      </c>
      <c r="EM14" s="48">
        <v>1.2280444474694299E-11</v>
      </c>
      <c r="EN14" s="52">
        <v>5.1879999999999998E-5</v>
      </c>
    </row>
    <row r="15" spans="1:144" x14ac:dyDescent="0.3">
      <c r="B15">
        <v>0.75</v>
      </c>
      <c r="C15" t="s">
        <v>153</v>
      </c>
      <c r="D15" t="s">
        <v>257</v>
      </c>
      <c r="E15" s="61" t="s">
        <v>254</v>
      </c>
      <c r="F15" s="19">
        <f>(9402-9197)/900</f>
        <v>0.22777777777777777</v>
      </c>
      <c r="H15" s="19">
        <f>50/10</f>
        <v>5</v>
      </c>
      <c r="I15">
        <v>19.583333333333332</v>
      </c>
      <c r="J15" s="32">
        <v>2.4540000000000002</v>
      </c>
      <c r="K15">
        <v>1</v>
      </c>
      <c r="L15" s="36">
        <f>0.339-0.063</f>
        <v>0.27600000000000002</v>
      </c>
      <c r="M15">
        <v>0.43400000000000005</v>
      </c>
      <c r="N15">
        <v>0.45300000000000001</v>
      </c>
      <c r="O15">
        <v>0.48400000000000004</v>
      </c>
      <c r="P15" s="19">
        <v>0.33800000000000002</v>
      </c>
      <c r="Q15" s="20">
        <v>0.36400000000000005</v>
      </c>
      <c r="R15" s="19">
        <v>1</v>
      </c>
      <c r="S15" s="28">
        <v>7439000</v>
      </c>
      <c r="T15">
        <v>4.0330000000000004</v>
      </c>
      <c r="U15" t="s">
        <v>175</v>
      </c>
      <c r="V15" t="s">
        <v>176</v>
      </c>
      <c r="W15" t="s">
        <v>177</v>
      </c>
      <c r="X15" t="s">
        <v>178</v>
      </c>
      <c r="Y15" s="20" t="s">
        <v>179</v>
      </c>
      <c r="AA15">
        <v>0.29027696814353704</v>
      </c>
      <c r="AB15" s="20">
        <v>0.27997597949468989</v>
      </c>
      <c r="AC15">
        <f t="shared" ref="AC15:AC76" si="0">K15</f>
        <v>1</v>
      </c>
      <c r="AD15">
        <v>1</v>
      </c>
      <c r="AE15">
        <v>1</v>
      </c>
      <c r="AF15">
        <f>0.286-0.035</f>
        <v>0.251</v>
      </c>
      <c r="AG15">
        <f>0.155-0.034</f>
        <v>0.121</v>
      </c>
      <c r="AH15">
        <f>0.301-0.034</f>
        <v>0.26700000000000002</v>
      </c>
      <c r="AI15" s="43">
        <v>90398.916421515678</v>
      </c>
      <c r="AJ15">
        <v>0</v>
      </c>
      <c r="AL15">
        <v>0</v>
      </c>
      <c r="AN15">
        <v>0</v>
      </c>
      <c r="AP15">
        <v>0</v>
      </c>
      <c r="AR15">
        <v>0</v>
      </c>
      <c r="AT15">
        <v>1.1077108956535802E-3</v>
      </c>
      <c r="AV15">
        <v>2.523356866546766E-4</v>
      </c>
      <c r="AX15">
        <v>2.549018122816733E-3</v>
      </c>
      <c r="AZ15">
        <v>1.1034340196085857E-3</v>
      </c>
      <c r="BD15">
        <v>1.180417788418487E-3</v>
      </c>
      <c r="BF15">
        <v>2.3030977502295484E-2</v>
      </c>
      <c r="BH15">
        <v>1.0020720573422157E-2</v>
      </c>
      <c r="BJ15">
        <v>9.2637135134581265E-3</v>
      </c>
      <c r="BL15">
        <v>7.3562267973905726E-4</v>
      </c>
      <c r="BN15">
        <v>5.271677413060244E-2</v>
      </c>
      <c r="BP15">
        <v>1.8899515242830778E-2</v>
      </c>
      <c r="BR15">
        <v>0</v>
      </c>
      <c r="BT15">
        <v>0</v>
      </c>
      <c r="BV15">
        <v>0</v>
      </c>
      <c r="BX15">
        <v>1.9036375276270601E-2</v>
      </c>
      <c r="BZ15">
        <v>0</v>
      </c>
      <c r="CB15">
        <v>0</v>
      </c>
      <c r="CD15">
        <v>0</v>
      </c>
      <c r="CF15">
        <v>0</v>
      </c>
      <c r="CH15">
        <v>0</v>
      </c>
      <c r="CJ15">
        <v>0</v>
      </c>
      <c r="CL15">
        <v>0</v>
      </c>
      <c r="CN15">
        <v>0</v>
      </c>
      <c r="CP15">
        <v>0</v>
      </c>
      <c r="CR15">
        <v>0</v>
      </c>
      <c r="CT15">
        <v>0</v>
      </c>
      <c r="CV15">
        <v>0</v>
      </c>
      <c r="CX15">
        <v>0</v>
      </c>
      <c r="CZ15">
        <v>0</v>
      </c>
      <c r="DB15">
        <v>0</v>
      </c>
      <c r="DD15">
        <v>0</v>
      </c>
      <c r="DF15" s="39">
        <v>0.1398966154317707</v>
      </c>
      <c r="DG15" s="58"/>
      <c r="DH15" s="19">
        <v>2</v>
      </c>
      <c r="DI15">
        <f>0.208-0.081</f>
        <v>0.127</v>
      </c>
      <c r="DJ15">
        <f>0.26-0.057</f>
        <v>0.20300000000000001</v>
      </c>
      <c r="DK15">
        <v>48.538122437363</v>
      </c>
      <c r="DL15">
        <v>1.2528194018276401E-4</v>
      </c>
      <c r="DM15">
        <v>4.4536940853226199E-4</v>
      </c>
      <c r="DN15">
        <v>73</v>
      </c>
      <c r="DO15">
        <v>-1.2955573894881001E-2</v>
      </c>
      <c r="DP15" s="28">
        <v>0.77929931924135798</v>
      </c>
      <c r="DQ15">
        <v>-3.2118336460371801E-2</v>
      </c>
      <c r="DR15">
        <v>2.22111722222226E-4</v>
      </c>
      <c r="DS15">
        <v>162</v>
      </c>
      <c r="DT15">
        <v>0.99235896278541202</v>
      </c>
      <c r="DU15" s="28">
        <v>1.7240502285113501E-171</v>
      </c>
      <c r="DV15">
        <v>99.943577752172502</v>
      </c>
      <c r="DW15">
        <v>2.0965485874713301E-2</v>
      </c>
      <c r="DX15">
        <v>3.1343435698308802E-4</v>
      </c>
      <c r="DY15">
        <v>102</v>
      </c>
      <c r="DZ15">
        <v>0.97791969939054302</v>
      </c>
      <c r="EA15" s="28">
        <v>7.7578163369798705E-85</v>
      </c>
      <c r="EB15">
        <v>-3.2525282551003697E-2</v>
      </c>
      <c r="EC15">
        <v>2.5816010058394602E-4</v>
      </c>
      <c r="ED15">
        <v>140</v>
      </c>
      <c r="EE15">
        <v>0.99131856559102005</v>
      </c>
      <c r="EF15" s="28">
        <v>2.3961551503620299E-144</v>
      </c>
      <c r="EG15" s="49">
        <v>90398.916421515678</v>
      </c>
      <c r="EH15">
        <v>224</v>
      </c>
      <c r="EI15" s="58">
        <v>0.5</v>
      </c>
      <c r="EJ15" s="28">
        <v>4.7359656239091524E-2</v>
      </c>
      <c r="EK15">
        <v>80</v>
      </c>
      <c r="EL15" s="20">
        <v>470</v>
      </c>
      <c r="EM15" s="49">
        <v>1.9269583907492299E-11</v>
      </c>
      <c r="EN15" s="53">
        <v>5.1879999999999998E-5</v>
      </c>
    </row>
    <row r="16" spans="1:144" x14ac:dyDescent="0.3">
      <c r="B16">
        <v>0.75</v>
      </c>
      <c r="C16" t="s">
        <v>154</v>
      </c>
      <c r="D16" t="s">
        <v>256</v>
      </c>
      <c r="E16" s="61" t="s">
        <v>255</v>
      </c>
      <c r="F16" s="19">
        <f>(9406-9167)/900</f>
        <v>0.26555555555555554</v>
      </c>
      <c r="H16" s="19">
        <f>25/10</f>
        <v>2.5</v>
      </c>
      <c r="I16">
        <v>36.946666666666665</v>
      </c>
      <c r="J16" s="32">
        <v>4.2386666666666661</v>
      </c>
      <c r="K16">
        <v>1</v>
      </c>
      <c r="L16" s="36">
        <f>0.369-0.063</f>
        <v>0.30599999999999999</v>
      </c>
      <c r="M16">
        <v>0.44900000000000001</v>
      </c>
      <c r="N16">
        <v>0.47400000000000003</v>
      </c>
      <c r="O16">
        <v>0.503</v>
      </c>
      <c r="P16" s="19">
        <v>0.36400000000000005</v>
      </c>
      <c r="Q16" s="20">
        <v>0.38800000000000001</v>
      </c>
      <c r="R16" s="19">
        <v>1</v>
      </c>
      <c r="S16" s="28">
        <v>5384000</v>
      </c>
      <c r="T16">
        <v>4.6829999999999998</v>
      </c>
      <c r="U16" t="s">
        <v>180</v>
      </c>
      <c r="V16" t="s">
        <v>181</v>
      </c>
      <c r="W16" t="s">
        <v>182</v>
      </c>
      <c r="X16" t="s">
        <v>183</v>
      </c>
      <c r="Y16" s="20" t="s">
        <v>184</v>
      </c>
      <c r="AA16">
        <v>0.33434893952623718</v>
      </c>
      <c r="AB16" s="20">
        <v>0.26250379592334905</v>
      </c>
      <c r="AC16">
        <f t="shared" si="0"/>
        <v>1</v>
      </c>
      <c r="AD16">
        <v>1</v>
      </c>
      <c r="AE16">
        <v>1</v>
      </c>
      <c r="AF16">
        <f>0.25-0.035</f>
        <v>0.215</v>
      </c>
      <c r="AG16">
        <f>0.124-0.034</f>
        <v>0.09</v>
      </c>
      <c r="AH16">
        <f>0.244-0.034</f>
        <v>0.21</v>
      </c>
      <c r="AI16" s="43">
        <v>160026.52144186903</v>
      </c>
      <c r="AJ16">
        <v>0</v>
      </c>
      <c r="AL16">
        <v>0</v>
      </c>
      <c r="AN16">
        <v>0</v>
      </c>
      <c r="AP16">
        <v>0</v>
      </c>
      <c r="AR16">
        <v>0</v>
      </c>
      <c r="AT16">
        <v>1.0512701544040624E-3</v>
      </c>
      <c r="AV16">
        <v>2.6937307811260563E-4</v>
      </c>
      <c r="AX16">
        <v>2.2574894245366147E-3</v>
      </c>
      <c r="AZ16">
        <v>8.8201804337755809E-4</v>
      </c>
      <c r="BD16">
        <v>6.0310963506627626E-4</v>
      </c>
      <c r="BF16">
        <v>2.1320998324240215E-2</v>
      </c>
      <c r="BH16">
        <v>9.4089870735438418E-3</v>
      </c>
      <c r="BJ16">
        <v>9.5019565429809369E-3</v>
      </c>
      <c r="BL16">
        <v>5.3874615622521126E-4</v>
      </c>
      <c r="BN16">
        <v>5.4949724102421868E-2</v>
      </c>
      <c r="BP16">
        <v>1.6338788295431849E-2</v>
      </c>
      <c r="BR16">
        <v>0</v>
      </c>
      <c r="BT16">
        <v>0</v>
      </c>
      <c r="BV16">
        <v>0</v>
      </c>
      <c r="BX16">
        <v>1.924468017347845E-2</v>
      </c>
      <c r="BZ16">
        <v>0</v>
      </c>
      <c r="CB16">
        <v>2.7890840831128189E-4</v>
      </c>
      <c r="CD16">
        <v>0</v>
      </c>
      <c r="CF16">
        <v>0</v>
      </c>
      <c r="CH16">
        <v>0</v>
      </c>
      <c r="CJ16">
        <v>0</v>
      </c>
      <c r="CL16">
        <v>0</v>
      </c>
      <c r="CN16">
        <v>0</v>
      </c>
      <c r="CP16">
        <v>0</v>
      </c>
      <c r="CR16">
        <v>0</v>
      </c>
      <c r="CT16">
        <v>0</v>
      </c>
      <c r="CV16">
        <v>0</v>
      </c>
      <c r="CX16">
        <v>0</v>
      </c>
      <c r="CZ16">
        <v>0</v>
      </c>
      <c r="DB16">
        <v>0</v>
      </c>
      <c r="DD16">
        <v>0</v>
      </c>
      <c r="DF16" s="39">
        <v>0.13664604941213077</v>
      </c>
      <c r="DG16" s="58"/>
      <c r="DH16" s="19">
        <v>2</v>
      </c>
      <c r="DI16">
        <f>0.201-0.079</f>
        <v>0.12200000000000001</v>
      </c>
      <c r="DJ16">
        <f>0.236-0.054</f>
        <v>0.182</v>
      </c>
      <c r="DK16">
        <v>99.877425994884803</v>
      </c>
      <c r="DL16">
        <v>1.4055412826849199E-3</v>
      </c>
      <c r="DM16">
        <v>1.2207321913141101E-4</v>
      </c>
      <c r="DN16">
        <v>178</v>
      </c>
      <c r="DO16">
        <v>0.42638689211460401</v>
      </c>
      <c r="DP16" s="28">
        <v>3.16799408585025E-23</v>
      </c>
      <c r="DQ16">
        <v>-3.3697809346082699E-2</v>
      </c>
      <c r="DR16">
        <v>1.5283754072595299E-4</v>
      </c>
      <c r="DS16">
        <v>162</v>
      </c>
      <c r="DT16">
        <v>0.99669892384441106</v>
      </c>
      <c r="DU16" s="28">
        <v>1.19090802449656E-200</v>
      </c>
      <c r="DV16">
        <v>48.577656219769302</v>
      </c>
      <c r="DW16">
        <v>-7.6703156664352902E-3</v>
      </c>
      <c r="DX16" s="28">
        <v>2.7948643921183898E-5</v>
      </c>
      <c r="DY16">
        <v>505</v>
      </c>
      <c r="DZ16">
        <v>0.99335285954978603</v>
      </c>
      <c r="EA16">
        <v>0</v>
      </c>
      <c r="EB16">
        <v>-3.5299753670461897E-2</v>
      </c>
      <c r="EC16">
        <v>3.97738163245627E-4</v>
      </c>
      <c r="ED16">
        <v>105</v>
      </c>
      <c r="EE16">
        <v>0.986967062388447</v>
      </c>
      <c r="EF16" s="28">
        <v>4.0347234465783501E-99</v>
      </c>
      <c r="EG16" s="49">
        <v>160026.52144186903</v>
      </c>
      <c r="EH16">
        <v>198</v>
      </c>
      <c r="EI16" s="58">
        <v>1</v>
      </c>
      <c r="EJ16" s="28">
        <v>4.7359656239091524E-2</v>
      </c>
      <c r="EK16">
        <v>80</v>
      </c>
      <c r="EL16" s="20">
        <v>470</v>
      </c>
      <c r="EM16" s="49">
        <v>1.6007684842760801E-11</v>
      </c>
      <c r="EN16" s="53">
        <v>5.1879999999999998E-5</v>
      </c>
    </row>
    <row r="17" spans="1:144" x14ac:dyDescent="0.3">
      <c r="B17">
        <v>0.75</v>
      </c>
      <c r="C17" t="s">
        <v>156</v>
      </c>
      <c r="D17" t="s">
        <v>258</v>
      </c>
      <c r="E17" s="61" t="s">
        <v>253</v>
      </c>
      <c r="F17" s="19">
        <f>(9561-9212)/900</f>
        <v>0.38777777777777778</v>
      </c>
      <c r="H17" s="19">
        <f>25/3</f>
        <v>8.3333333333333339</v>
      </c>
      <c r="I17">
        <v>20.766666666666666</v>
      </c>
      <c r="J17" s="32">
        <v>4.4980000000000002</v>
      </c>
      <c r="K17">
        <v>2</v>
      </c>
      <c r="L17" s="36">
        <f>-0.063+0.324</f>
        <v>0.26100000000000001</v>
      </c>
      <c r="M17">
        <v>0.53799999999999992</v>
      </c>
      <c r="N17">
        <v>0.53200000000000003</v>
      </c>
      <c r="O17">
        <v>0.57099999999999995</v>
      </c>
      <c r="P17" s="19">
        <v>0.35800000000000004</v>
      </c>
      <c r="Q17" s="20">
        <v>0.40700000000000003</v>
      </c>
      <c r="R17" s="19">
        <v>1</v>
      </c>
      <c r="S17" s="28">
        <v>18190000</v>
      </c>
      <c r="T17">
        <v>4.1239999999999997</v>
      </c>
      <c r="U17" t="s">
        <v>185</v>
      </c>
      <c r="V17" t="s">
        <v>186</v>
      </c>
      <c r="W17" t="s">
        <v>187</v>
      </c>
      <c r="X17" t="s">
        <v>188</v>
      </c>
      <c r="Y17" s="20" t="s">
        <v>189</v>
      </c>
      <c r="AA17">
        <v>0.26999448477985744</v>
      </c>
      <c r="AB17" s="20">
        <v>0.3253500299740224</v>
      </c>
      <c r="AC17">
        <f t="shared" si="0"/>
        <v>2</v>
      </c>
      <c r="AD17">
        <v>1</v>
      </c>
      <c r="AE17">
        <v>1</v>
      </c>
      <c r="AF17">
        <f>0.487-0.035</f>
        <v>0.45199999999999996</v>
      </c>
      <c r="AG17">
        <f>0.279-0.034</f>
        <v>0.24500000000000002</v>
      </c>
      <c r="AH17">
        <f>0.604-0.034</f>
        <v>0.56999999999999995</v>
      </c>
      <c r="AI17" s="43">
        <v>45193.49671073832</v>
      </c>
      <c r="AJ17">
        <v>0</v>
      </c>
      <c r="AL17">
        <v>0</v>
      </c>
      <c r="AN17">
        <v>0</v>
      </c>
      <c r="AP17">
        <v>0</v>
      </c>
      <c r="AR17">
        <v>0</v>
      </c>
      <c r="AT17">
        <v>9.0156547028484449E-4</v>
      </c>
      <c r="AV17">
        <v>5.8165514211925445E-4</v>
      </c>
      <c r="AX17">
        <v>4.8859031938017381E-3</v>
      </c>
      <c r="AZ17">
        <v>1.4977619909570803E-3</v>
      </c>
      <c r="BD17">
        <v>1.9412740368230119E-3</v>
      </c>
      <c r="BF17">
        <v>1.3399880336572325E-2</v>
      </c>
      <c r="BH17">
        <v>1.1902118345615244E-2</v>
      </c>
      <c r="BJ17">
        <v>4.4060377015533525E-3</v>
      </c>
      <c r="BL17">
        <v>9.8881374160273263E-4</v>
      </c>
      <c r="BN17">
        <v>3.9407135878579492E-3</v>
      </c>
      <c r="BP17">
        <v>2.040155410983285E-2</v>
      </c>
      <c r="BR17">
        <v>0</v>
      </c>
      <c r="BT17">
        <v>0</v>
      </c>
      <c r="BV17">
        <v>0</v>
      </c>
      <c r="BX17">
        <v>1.1269568378560557E-2</v>
      </c>
      <c r="BZ17">
        <v>0</v>
      </c>
      <c r="CB17">
        <v>0</v>
      </c>
      <c r="CD17">
        <v>0</v>
      </c>
      <c r="CF17">
        <v>0</v>
      </c>
      <c r="CH17">
        <v>0</v>
      </c>
      <c r="CJ17">
        <v>0</v>
      </c>
      <c r="CL17">
        <v>0</v>
      </c>
      <c r="CN17">
        <v>0</v>
      </c>
      <c r="CP17">
        <v>0</v>
      </c>
      <c r="CR17">
        <v>0</v>
      </c>
      <c r="CT17">
        <v>0</v>
      </c>
      <c r="CV17">
        <v>0</v>
      </c>
      <c r="CX17">
        <v>0</v>
      </c>
      <c r="CZ17">
        <v>0</v>
      </c>
      <c r="DB17">
        <v>0</v>
      </c>
      <c r="DD17">
        <v>0</v>
      </c>
      <c r="DF17" s="39">
        <v>7.6116846035580929E-2</v>
      </c>
      <c r="DG17" s="58"/>
      <c r="DH17" s="19">
        <v>11</v>
      </c>
      <c r="DI17">
        <f>0.13-0.083</f>
        <v>4.7E-2</v>
      </c>
      <c r="DJ17">
        <f>0.162-0.058</f>
        <v>0.10400000000000001</v>
      </c>
      <c r="DK17">
        <v>48.403576634732602</v>
      </c>
      <c r="DL17">
        <v>3.6743723684178301E-3</v>
      </c>
      <c r="DM17">
        <v>3.4230375242754097E-4</v>
      </c>
      <c r="DN17">
        <v>144</v>
      </c>
      <c r="DO17">
        <v>0.44406435490615997</v>
      </c>
      <c r="DP17" s="28">
        <v>4.7438255611304299E-20</v>
      </c>
      <c r="DQ17">
        <v>-1.08735969482449E-2</v>
      </c>
      <c r="DR17">
        <v>1.58906864084304E-4</v>
      </c>
      <c r="DS17">
        <v>147</v>
      </c>
      <c r="DT17">
        <v>0.96975547889972702</v>
      </c>
      <c r="DU17" s="28">
        <v>2.86762981873523E-112</v>
      </c>
      <c r="DV17">
        <v>98.362597788352204</v>
      </c>
      <c r="DW17">
        <v>2.6867676252343299E-2</v>
      </c>
      <c r="DX17">
        <v>1.2291608485702301E-4</v>
      </c>
      <c r="DY17">
        <v>201</v>
      </c>
      <c r="DZ17">
        <v>0.99583147741118605</v>
      </c>
      <c r="EA17" s="28">
        <v>5.3025264013779699E-239</v>
      </c>
      <c r="EB17">
        <v>-1.5614192172033199E-2</v>
      </c>
      <c r="EC17" s="28">
        <v>1.10885832699935E-4</v>
      </c>
      <c r="ED17">
        <v>238</v>
      </c>
      <c r="EE17">
        <v>0.98818801422453095</v>
      </c>
      <c r="EF17" s="28">
        <v>1.08389464667826E-229</v>
      </c>
      <c r="EG17" s="49">
        <v>45193.49671073832</v>
      </c>
      <c r="EH17">
        <v>222</v>
      </c>
      <c r="EI17" s="58">
        <v>0.25</v>
      </c>
      <c r="EJ17" s="28">
        <v>4.9787837738461342E-2</v>
      </c>
      <c r="EK17">
        <v>50</v>
      </c>
      <c r="EL17" s="20">
        <v>500</v>
      </c>
      <c r="EM17" s="49">
        <v>2.7272987096769099E-11</v>
      </c>
      <c r="EN17" s="53">
        <v>5.1879999999999998E-5</v>
      </c>
    </row>
    <row r="18" spans="1:144" x14ac:dyDescent="0.3">
      <c r="B18">
        <v>0.75</v>
      </c>
      <c r="C18" t="s">
        <v>155</v>
      </c>
      <c r="D18" t="s">
        <v>258</v>
      </c>
      <c r="E18" s="61" t="s">
        <v>254</v>
      </c>
      <c r="F18" s="19">
        <f>(9533-9144)/900</f>
        <v>0.43222222222222223</v>
      </c>
      <c r="H18" s="19">
        <f>25/3</f>
        <v>8.3333333333333339</v>
      </c>
      <c r="I18">
        <v>20.533333333333331</v>
      </c>
      <c r="J18" s="32">
        <v>3.7886666666666664</v>
      </c>
      <c r="K18">
        <v>2</v>
      </c>
      <c r="L18" s="36">
        <f>-0.063+0.348</f>
        <v>0.28499999999999998</v>
      </c>
      <c r="M18">
        <v>0.54299999999999993</v>
      </c>
      <c r="N18">
        <v>0.54799999999999993</v>
      </c>
      <c r="O18">
        <v>0.58899999999999997</v>
      </c>
      <c r="P18" s="19">
        <v>0.37700000000000006</v>
      </c>
      <c r="Q18" s="20">
        <v>0.42200000000000004</v>
      </c>
      <c r="R18" s="19">
        <v>1</v>
      </c>
      <c r="S18" s="28">
        <v>18210000</v>
      </c>
      <c r="T18">
        <v>4.0069999999999997</v>
      </c>
      <c r="U18" t="s">
        <v>190</v>
      </c>
      <c r="V18" t="s">
        <v>191</v>
      </c>
      <c r="W18" t="s">
        <v>192</v>
      </c>
      <c r="X18" t="s">
        <v>193</v>
      </c>
      <c r="Y18" s="20" t="s">
        <v>194</v>
      </c>
      <c r="AA18">
        <v>0.39996289276566355</v>
      </c>
      <c r="AB18" s="20">
        <v>0.37524075498204579</v>
      </c>
      <c r="AC18">
        <f t="shared" si="0"/>
        <v>2</v>
      </c>
      <c r="AD18">
        <v>1</v>
      </c>
      <c r="AE18">
        <v>1</v>
      </c>
      <c r="AF18">
        <f>0.359-0.035</f>
        <v>0.32399999999999995</v>
      </c>
      <c r="AG18">
        <f>0.195-0.034</f>
        <v>0.161</v>
      </c>
      <c r="AH18">
        <f>0.424-0.034</f>
        <v>0.39</v>
      </c>
      <c r="AI18" s="43">
        <v>95272.822189738232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1.0078679617756049E-3</v>
      </c>
      <c r="AU18">
        <v>9.3172536654287993E-4</v>
      </c>
      <c r="AV18">
        <v>4.2119855118980502E-4</v>
      </c>
      <c r="AW18">
        <v>3.6084161594435231E-4</v>
      </c>
      <c r="AX18">
        <v>3.6002447589795236E-3</v>
      </c>
      <c r="AY18">
        <v>3.5007022442362541E-3</v>
      </c>
      <c r="AZ18">
        <v>1.3839380967665021E-3</v>
      </c>
      <c r="BA18">
        <v>1.3625810273719572E-3</v>
      </c>
      <c r="BD18">
        <v>1.5393804192294063E-3</v>
      </c>
      <c r="BE18">
        <v>1.5187662044224978E-3</v>
      </c>
      <c r="BF18">
        <v>1.6852956316058744E-2</v>
      </c>
      <c r="BG18">
        <v>1.6604100029200569E-2</v>
      </c>
      <c r="BH18">
        <v>1.2440400065498885E-2</v>
      </c>
      <c r="BI18">
        <v>1.2074729894734893E-2</v>
      </c>
      <c r="BJ18">
        <v>5.7914800788598187E-3</v>
      </c>
      <c r="BK18">
        <v>5.7626944635889099E-3</v>
      </c>
      <c r="BL18">
        <v>8.4741137084615539E-4</v>
      </c>
      <c r="BM18">
        <v>9.0479688774106255E-4</v>
      </c>
      <c r="BN18">
        <v>1.5438932608492972E-2</v>
      </c>
      <c r="BO18">
        <v>1.5182276348464615E-2</v>
      </c>
      <c r="BP18">
        <v>2.2985406650643646E-2</v>
      </c>
      <c r="BQ18">
        <v>2.2140595270854213E-2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1.3764166940666843E-2</v>
      </c>
      <c r="BY18">
        <v>1.3588110403397028E-2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 s="39">
        <v>9.6073383819007901E-2</v>
      </c>
      <c r="DG18" s="58">
        <v>9.3931919756499227E-2</v>
      </c>
      <c r="DH18" s="19">
        <f>12/2</f>
        <v>6</v>
      </c>
      <c r="DI18">
        <f>0.178-0.082</f>
        <v>9.5999999999999988E-2</v>
      </c>
      <c r="DJ18">
        <f>0.25-0.058</f>
        <v>0.192</v>
      </c>
      <c r="DK18">
        <v>98.334023956879506</v>
      </c>
      <c r="DL18">
        <v>2.3701345611777402E-2</v>
      </c>
      <c r="DM18" s="28">
        <v>1.0608749272099E-4</v>
      </c>
      <c r="DN18">
        <v>161</v>
      </c>
      <c r="DO18">
        <v>0.99680463043148504</v>
      </c>
      <c r="DP18" s="28">
        <v>1.56386941157393E-200</v>
      </c>
      <c r="DQ18">
        <v>-2.6814337195116299E-2</v>
      </c>
      <c r="DR18" s="28">
        <v>1.76213462544209E-4</v>
      </c>
      <c r="DS18">
        <v>133</v>
      </c>
      <c r="DT18">
        <v>0.994331502968409</v>
      </c>
      <c r="DU18" s="28">
        <v>3.0165361216291202E-149</v>
      </c>
      <c r="DV18">
        <v>48.589681072086798</v>
      </c>
      <c r="DW18">
        <v>6.21573612542987E-3</v>
      </c>
      <c r="DX18" s="28">
        <v>1.9540681939456101E-4</v>
      </c>
      <c r="DY18">
        <v>159</v>
      </c>
      <c r="DZ18">
        <v>0.86482158990402802</v>
      </c>
      <c r="EA18" s="28">
        <v>2.4772225582991101E-70</v>
      </c>
      <c r="EB18">
        <v>-2.76262410049203E-2</v>
      </c>
      <c r="EC18" s="28">
        <v>1.13823441814671E-4</v>
      </c>
      <c r="ED18">
        <v>155</v>
      </c>
      <c r="EE18">
        <v>0.99739256162262302</v>
      </c>
      <c r="EF18" s="28">
        <v>8.5777836878442903E-200</v>
      </c>
      <c r="EG18" s="49">
        <v>95272.822189738232</v>
      </c>
      <c r="EH18">
        <v>234</v>
      </c>
      <c r="EI18" s="58">
        <v>0.5</v>
      </c>
      <c r="EJ18" s="28">
        <v>4.9787837738461342E-2</v>
      </c>
      <c r="EK18">
        <v>50</v>
      </c>
      <c r="EL18" s="20">
        <v>500</v>
      </c>
      <c r="EM18" s="49">
        <v>2.0941134674120601E-11</v>
      </c>
      <c r="EN18" s="53">
        <v>5.1879999999999998E-5</v>
      </c>
    </row>
    <row r="19" spans="1:144" x14ac:dyDescent="0.3">
      <c r="B19">
        <v>0.75</v>
      </c>
      <c r="C19" t="s">
        <v>157</v>
      </c>
      <c r="D19" t="s">
        <v>258</v>
      </c>
      <c r="E19" s="61" t="s">
        <v>255</v>
      </c>
      <c r="F19" s="19">
        <f>(9754-9277)/900</f>
        <v>0.53</v>
      </c>
      <c r="H19" s="19">
        <f>25/3</f>
        <v>8.3333333333333339</v>
      </c>
      <c r="I19">
        <v>27.216666666666669</v>
      </c>
      <c r="J19" s="32">
        <v>4.2300000000000004</v>
      </c>
      <c r="K19">
        <v>2</v>
      </c>
      <c r="L19" s="36">
        <f>0.403-0.063</f>
        <v>0.34</v>
      </c>
      <c r="M19">
        <v>0.57299999999999995</v>
      </c>
      <c r="N19">
        <v>0.59</v>
      </c>
      <c r="O19">
        <v>0.629</v>
      </c>
      <c r="P19" s="19">
        <v>0.42800000000000005</v>
      </c>
      <c r="Q19" s="20">
        <v>0.46900000000000003</v>
      </c>
      <c r="R19" s="19">
        <v>1</v>
      </c>
      <c r="S19" s="28">
        <v>19630000</v>
      </c>
      <c r="T19">
        <v>4.1500000000000004</v>
      </c>
      <c r="U19">
        <v>2.806</v>
      </c>
      <c r="V19">
        <v>3.2839999999999998</v>
      </c>
      <c r="W19" t="s">
        <v>195</v>
      </c>
      <c r="X19">
        <v>4.7939999999999996</v>
      </c>
      <c r="Y19" s="20">
        <v>5.5780000000000003</v>
      </c>
      <c r="AA19">
        <v>0.42474548724438815</v>
      </c>
      <c r="AB19" s="20">
        <v>0.41568070339039498</v>
      </c>
      <c r="AC19">
        <f t="shared" si="0"/>
        <v>2</v>
      </c>
      <c r="AD19">
        <v>1</v>
      </c>
      <c r="AE19">
        <v>1</v>
      </c>
      <c r="AF19">
        <f>0.404-0.035</f>
        <v>0.36899999999999999</v>
      </c>
      <c r="AG19">
        <f>0.21-0.034</f>
        <v>0.17599999999999999</v>
      </c>
      <c r="AH19">
        <f>0.449-0.034</f>
        <v>0.41500000000000004</v>
      </c>
      <c r="AI19" s="43">
        <v>172631.43298657157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1.239322035765457E-3</v>
      </c>
      <c r="AU19">
        <v>1.0606652591586406E-3</v>
      </c>
      <c r="AV19">
        <v>4.2632678030331717E-4</v>
      </c>
      <c r="AW19">
        <v>3.3359633150957242E-4</v>
      </c>
      <c r="AX19">
        <v>5.1225310811638895E-3</v>
      </c>
      <c r="AY19">
        <v>2.9809826033611792E-3</v>
      </c>
      <c r="AZ19">
        <v>1.0872985327115611E-3</v>
      </c>
      <c r="BA19">
        <v>1.129095275878553E-3</v>
      </c>
      <c r="BD19">
        <v>1.4574427140601773E-3</v>
      </c>
      <c r="BE19">
        <v>1.3857078385782241E-3</v>
      </c>
      <c r="BF19">
        <v>2.1788933818137755E-2</v>
      </c>
      <c r="BG19">
        <v>2.0298053709543986E-2</v>
      </c>
      <c r="BH19">
        <v>1.2845986008054217E-2</v>
      </c>
      <c r="BI19">
        <v>1.1633102842385092E-2</v>
      </c>
      <c r="BJ19">
        <v>8.6719493915961583E-3</v>
      </c>
      <c r="BK19">
        <v>7.9678200718247879E-3</v>
      </c>
      <c r="BL19">
        <v>7.2706892764906801E-4</v>
      </c>
      <c r="BM19">
        <v>7.4845330787404077E-4</v>
      </c>
      <c r="BN19">
        <v>4.2401337916988836E-2</v>
      </c>
      <c r="BO19">
        <v>3.7602294187591805E-2</v>
      </c>
      <c r="BP19">
        <v>2.4201480714427844E-2</v>
      </c>
      <c r="BQ19">
        <v>2.2132833532846632E-2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1.914174194974274E-2</v>
      </c>
      <c r="BY19">
        <v>1.7479592395892599E-2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 s="39">
        <v>0.13911141987060102</v>
      </c>
      <c r="DG19" s="58">
        <v>0.1247521973564451</v>
      </c>
      <c r="DH19" s="19">
        <f>12/2</f>
        <v>6</v>
      </c>
      <c r="DI19">
        <f>0.184-0.081</f>
        <v>0.10299999999999999</v>
      </c>
      <c r="DJ19">
        <f>0.247-0.057</f>
        <v>0.19</v>
      </c>
      <c r="DK19">
        <v>48.584967367459299</v>
      </c>
      <c r="DL19">
        <v>1.15248511196866E-3</v>
      </c>
      <c r="DM19">
        <v>1.2010447509866299E-4</v>
      </c>
      <c r="DN19">
        <v>172</v>
      </c>
      <c r="DO19">
        <v>0.34752058830076199</v>
      </c>
      <c r="DP19" s="28">
        <v>1.07235627752314E-17</v>
      </c>
      <c r="DQ19">
        <v>-3.1729449041808203E-2</v>
      </c>
      <c r="DR19">
        <v>1.4611077944471799E-4</v>
      </c>
      <c r="DS19">
        <v>148</v>
      </c>
      <c r="DT19">
        <v>0.99689247725551</v>
      </c>
      <c r="DU19" s="28">
        <v>3.5442164732690001E-185</v>
      </c>
      <c r="DV19">
        <v>100.167602646266</v>
      </c>
      <c r="DW19">
        <v>2.1868043167855299E-2</v>
      </c>
      <c r="DX19">
        <v>1.6522400363003001E-4</v>
      </c>
      <c r="DY19">
        <v>188</v>
      </c>
      <c r="DZ19">
        <v>0.98943715150726097</v>
      </c>
      <c r="EA19" s="28">
        <v>5.8068544803011101E-186</v>
      </c>
      <c r="EB19">
        <v>-2.9066268600811001E-2</v>
      </c>
      <c r="EC19" s="28">
        <v>1.3911712728905E-4</v>
      </c>
      <c r="ED19">
        <v>142</v>
      </c>
      <c r="EE19">
        <v>0.99678033150133805</v>
      </c>
      <c r="EF19" s="28">
        <v>1.44275210260828E-176</v>
      </c>
      <c r="EG19" s="49">
        <v>172631.43298657157</v>
      </c>
      <c r="EH19">
        <v>212</v>
      </c>
      <c r="EI19" s="58">
        <v>1</v>
      </c>
      <c r="EJ19" s="28">
        <v>4.9787837738461342E-2</v>
      </c>
      <c r="EK19">
        <v>50</v>
      </c>
      <c r="EL19" s="20">
        <v>500</v>
      </c>
      <c r="EM19" s="49">
        <v>2.0797674157609601E-11</v>
      </c>
      <c r="EN19" s="53">
        <v>5.1879999999999998E-5</v>
      </c>
    </row>
    <row r="20" spans="1:144" x14ac:dyDescent="0.3">
      <c r="B20">
        <v>0.75</v>
      </c>
      <c r="C20" t="s">
        <v>158</v>
      </c>
      <c r="D20" t="s">
        <v>259</v>
      </c>
      <c r="E20" s="61" t="s">
        <v>253</v>
      </c>
      <c r="F20" s="19">
        <f>(9739-9164)/500</f>
        <v>1.1499999999999999</v>
      </c>
      <c r="G20" s="20">
        <f>(9642-9066)/500</f>
        <v>1.1519999999999999</v>
      </c>
      <c r="H20" s="19">
        <f>25/2</f>
        <v>12.5</v>
      </c>
      <c r="I20">
        <v>37.946666666666665</v>
      </c>
      <c r="J20" s="32">
        <v>11.203333333333335</v>
      </c>
      <c r="K20">
        <v>10</v>
      </c>
      <c r="L20" s="36">
        <f>0.21-0.063</f>
        <v>0.14699999999999999</v>
      </c>
      <c r="M20">
        <v>0.32700000000000001</v>
      </c>
      <c r="N20">
        <v>0.32</v>
      </c>
      <c r="O20">
        <v>0.34500000000000003</v>
      </c>
      <c r="P20" s="19">
        <v>0.21</v>
      </c>
      <c r="Q20" s="20">
        <v>0.24400000000000002</v>
      </c>
      <c r="R20" s="19">
        <v>1</v>
      </c>
      <c r="S20" s="28">
        <v>61470000</v>
      </c>
      <c r="T20">
        <v>4.0140000000000002</v>
      </c>
      <c r="U20" t="s">
        <v>196</v>
      </c>
      <c r="V20" t="s">
        <v>197</v>
      </c>
      <c r="W20" t="s">
        <v>198</v>
      </c>
      <c r="X20" t="s">
        <v>199</v>
      </c>
      <c r="Y20" s="20" t="s">
        <v>200</v>
      </c>
      <c r="AA20">
        <v>0.16751647170151762</v>
      </c>
      <c r="AB20" s="20">
        <v>0.17158877265848535</v>
      </c>
      <c r="AC20">
        <f t="shared" si="0"/>
        <v>10</v>
      </c>
      <c r="AD20">
        <v>1</v>
      </c>
      <c r="AE20">
        <v>1</v>
      </c>
      <c r="AF20">
        <f>0.327-0.035</f>
        <v>0.29200000000000004</v>
      </c>
      <c r="AG20">
        <f>0.194-0.034</f>
        <v>0.16</v>
      </c>
      <c r="AH20">
        <f>0.422-0.034</f>
        <v>0.38800000000000001</v>
      </c>
      <c r="AI20" s="43">
        <v>45600.845685386565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6.9513301703244957E-4</v>
      </c>
      <c r="AU20">
        <v>7.8072403541690812E-4</v>
      </c>
      <c r="AV20">
        <v>4.328186709824686E-4</v>
      </c>
      <c r="AW20">
        <v>5.0421760620675325E-4</v>
      </c>
      <c r="AX20">
        <v>4.2757238406146902E-3</v>
      </c>
      <c r="AY20">
        <v>5.0096458939251605E-3</v>
      </c>
      <c r="AZ20">
        <v>1.4230553273211469E-3</v>
      </c>
      <c r="BA20">
        <v>1.6427734911897444E-3</v>
      </c>
      <c r="BD20">
        <v>1.5607703589973869E-3</v>
      </c>
      <c r="BE20">
        <v>1.7078338274744865E-3</v>
      </c>
      <c r="BF20">
        <v>8.4334062255068884E-3</v>
      </c>
      <c r="BG20">
        <v>9.6777250223554229E-3</v>
      </c>
      <c r="BH20">
        <v>9.141654959841837E-3</v>
      </c>
      <c r="BI20">
        <v>1.0583148035651422E-2</v>
      </c>
      <c r="BJ20">
        <v>2.9641521103647849E-3</v>
      </c>
      <c r="BK20">
        <v>3.5186798540664814E-3</v>
      </c>
      <c r="BL20">
        <v>8.4596376601118865E-4</v>
      </c>
      <c r="BM20">
        <v>9.4879657081915921E-4</v>
      </c>
      <c r="BN20">
        <v>9.7712093903617905E-4</v>
      </c>
      <c r="BO20">
        <v>1.1602426637445718E-3</v>
      </c>
      <c r="BP20">
        <v>0</v>
      </c>
      <c r="BQ20">
        <v>0</v>
      </c>
      <c r="BR20">
        <v>1.3994470361766485E-2</v>
      </c>
      <c r="BS20">
        <v>1.6243397292424005E-2</v>
      </c>
      <c r="BT20">
        <v>0</v>
      </c>
      <c r="BU20">
        <v>0</v>
      </c>
      <c r="BV20">
        <v>7.7710625017306861E-3</v>
      </c>
      <c r="BW20">
        <v>9.3632667303125035E-3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3.6325354425647812E-4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 s="39">
        <v>5.2515332079206195E-2</v>
      </c>
      <c r="DG20" s="58">
        <v>6.1503704567843098E-2</v>
      </c>
      <c r="DH20" s="19">
        <v>11</v>
      </c>
      <c r="DI20">
        <f>0.207-0.079</f>
        <v>0.128</v>
      </c>
      <c r="DJ20">
        <f>0.352-0.056</f>
        <v>0.29599999999999999</v>
      </c>
      <c r="DK20">
        <v>100.100452575725</v>
      </c>
      <c r="DL20">
        <v>0.12903863949870101</v>
      </c>
      <c r="DM20">
        <v>2.07886908198013E-4</v>
      </c>
      <c r="DN20">
        <v>155</v>
      </c>
      <c r="DO20">
        <v>0.99960045746225901</v>
      </c>
      <c r="DP20" s="28">
        <v>4.09355331638711E-262</v>
      </c>
      <c r="DQ20">
        <v>-2.5095765122349002E-2</v>
      </c>
      <c r="DR20">
        <v>1.71513487110592E-4</v>
      </c>
      <c r="DS20">
        <v>157</v>
      </c>
      <c r="DT20">
        <v>0.99276585205748402</v>
      </c>
      <c r="DU20" s="28">
        <v>4.9396117768916898E-168</v>
      </c>
      <c r="DV20">
        <v>48.559279080209599</v>
      </c>
      <c r="DW20">
        <v>4.7657519244841601E-2</v>
      </c>
      <c r="DX20" s="28">
        <v>9.2621269300572395E-5</v>
      </c>
      <c r="DY20">
        <v>271</v>
      </c>
      <c r="DZ20">
        <v>0.99898121786571403</v>
      </c>
      <c r="EA20">
        <v>0</v>
      </c>
      <c r="EB20">
        <v>-2.6617507803614899E-2</v>
      </c>
      <c r="EC20">
        <v>2.1648543231038699E-4</v>
      </c>
      <c r="ED20">
        <v>135</v>
      </c>
      <c r="EE20">
        <v>0.99121335166563895</v>
      </c>
      <c r="EF20" s="28">
        <v>7.7443059780559405E-139</v>
      </c>
      <c r="EG20" s="49">
        <v>45600.845685386565</v>
      </c>
      <c r="EH20">
        <v>224</v>
      </c>
      <c r="EI20" s="58">
        <v>0.25</v>
      </c>
      <c r="EJ20" s="28">
        <v>5.0288213826492331E-2</v>
      </c>
      <c r="EK20">
        <v>50</v>
      </c>
      <c r="EL20" s="20">
        <v>500</v>
      </c>
      <c r="EM20" s="49">
        <v>3.88879279263031E-11</v>
      </c>
      <c r="EN20" s="53">
        <v>5.1879999999999998E-5</v>
      </c>
    </row>
    <row r="21" spans="1:144" x14ac:dyDescent="0.3">
      <c r="B21">
        <v>0.75</v>
      </c>
      <c r="C21" t="s">
        <v>159</v>
      </c>
      <c r="D21" t="s">
        <v>259</v>
      </c>
      <c r="E21" s="61" t="s">
        <v>254</v>
      </c>
      <c r="F21" s="19">
        <f>(9678-9039)/500</f>
        <v>1.278</v>
      </c>
      <c r="G21" s="20">
        <f>(9645-9013)/500</f>
        <v>1.264</v>
      </c>
      <c r="H21" s="19">
        <f>25/2</f>
        <v>12.5</v>
      </c>
      <c r="I21">
        <v>48.44</v>
      </c>
      <c r="J21" s="32">
        <v>13.696666666666667</v>
      </c>
      <c r="K21">
        <v>10</v>
      </c>
      <c r="L21" s="36">
        <f>0.242-0.063</f>
        <v>0.17899999999999999</v>
      </c>
      <c r="M21">
        <v>0.37700000000000006</v>
      </c>
      <c r="N21">
        <v>0.37000000000000005</v>
      </c>
      <c r="O21">
        <v>0.39900000000000002</v>
      </c>
      <c r="P21" s="19">
        <v>0.24800000000000003</v>
      </c>
      <c r="Q21" s="20">
        <v>0.28500000000000003</v>
      </c>
      <c r="R21" s="19">
        <v>1</v>
      </c>
      <c r="S21" s="28">
        <v>64720000</v>
      </c>
      <c r="T21">
        <v>4.05</v>
      </c>
      <c r="U21" t="s">
        <v>201</v>
      </c>
      <c r="V21" t="s">
        <v>202</v>
      </c>
      <c r="W21" t="s">
        <v>203</v>
      </c>
      <c r="X21" t="s">
        <v>204</v>
      </c>
      <c r="Y21" s="20" t="s">
        <v>205</v>
      </c>
      <c r="AA21">
        <v>0.21347908405041496</v>
      </c>
      <c r="AB21" s="20">
        <v>0.20938651702769298</v>
      </c>
      <c r="AC21">
        <f t="shared" si="0"/>
        <v>10</v>
      </c>
      <c r="AD21">
        <v>1</v>
      </c>
      <c r="AE21">
        <v>1</v>
      </c>
      <c r="AF21">
        <f>0.321-0.035</f>
        <v>0.28600000000000003</v>
      </c>
      <c r="AG21">
        <f>0.189-0.034</f>
        <v>0.155</v>
      </c>
      <c r="AH21">
        <f>0.411-0.034</f>
        <v>0.377</v>
      </c>
      <c r="AI21" s="43">
        <v>94051.744226109789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7.9952587571944296E-4</v>
      </c>
      <c r="AU21">
        <v>4.5893762087637194E-4</v>
      </c>
      <c r="AV21">
        <v>4.9093694123123692E-4</v>
      </c>
      <c r="AW21">
        <v>5.048313829640091E-4</v>
      </c>
      <c r="AX21">
        <v>3.9415222995993586E-3</v>
      </c>
      <c r="AY21">
        <v>3.969810420580617E-3</v>
      </c>
      <c r="AZ21">
        <v>1.6200919060630817E-3</v>
      </c>
      <c r="BA21">
        <v>1.7072479496601037E-3</v>
      </c>
      <c r="BD21">
        <v>1.6902257548104013E-3</v>
      </c>
      <c r="BE21">
        <v>1.7806779690003229E-3</v>
      </c>
      <c r="BF21">
        <v>1.0337729305354903E-2</v>
      </c>
      <c r="BG21">
        <v>1.1074164791746855E-2</v>
      </c>
      <c r="BH21">
        <v>1.1109201641575417E-2</v>
      </c>
      <c r="BI21">
        <v>1.1914020637950615E-2</v>
      </c>
      <c r="BJ21">
        <v>3.4575987432428541E-3</v>
      </c>
      <c r="BK21">
        <v>3.7770566198125411E-3</v>
      </c>
      <c r="BL21">
        <v>8.977132639656903E-4</v>
      </c>
      <c r="BM21">
        <v>1.30797221949766E-3</v>
      </c>
      <c r="BN21">
        <v>1.6130785211883499E-3</v>
      </c>
      <c r="BO21">
        <v>1.753141711747741E-3</v>
      </c>
      <c r="BP21">
        <v>0</v>
      </c>
      <c r="BQ21">
        <v>0</v>
      </c>
      <c r="BR21">
        <v>1.7140712633844899E-2</v>
      </c>
      <c r="BS21">
        <v>1.8293253568132186E-2</v>
      </c>
      <c r="BT21">
        <v>0</v>
      </c>
      <c r="BU21">
        <v>0</v>
      </c>
      <c r="BV21">
        <v>8.7597177085402128E-3</v>
      </c>
      <c r="BW21">
        <v>9.7478350674141401E-3</v>
      </c>
      <c r="BX21">
        <v>0</v>
      </c>
      <c r="BY21">
        <v>0</v>
      </c>
      <c r="BZ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 s="39">
        <v>6.1858054595135839E-2</v>
      </c>
      <c r="DG21" s="58">
        <v>6.628894995938317E-2</v>
      </c>
      <c r="DH21" s="19">
        <v>11</v>
      </c>
      <c r="DI21">
        <f>0.218-0.077</f>
        <v>0.14100000000000001</v>
      </c>
      <c r="DJ21">
        <f>0.369-0.053</f>
        <v>0.316</v>
      </c>
      <c r="DK21">
        <v>48.555095908779599</v>
      </c>
      <c r="DL21">
        <v>3.36563704464641E-2</v>
      </c>
      <c r="DM21">
        <v>2.1915303615039201E-4</v>
      </c>
      <c r="DN21">
        <v>157</v>
      </c>
      <c r="DO21">
        <v>0.99342886766362404</v>
      </c>
      <c r="DP21" s="28">
        <v>2.8717376119249002E-171</v>
      </c>
      <c r="DQ21">
        <v>-3.5899554004988503E-2</v>
      </c>
      <c r="DR21">
        <v>5.2094409729010302E-4</v>
      </c>
      <c r="DS21">
        <v>149</v>
      </c>
      <c r="DT21">
        <v>0.969770816068526</v>
      </c>
      <c r="DU21" s="28">
        <v>8.2985547036546602E-114</v>
      </c>
      <c r="DV21">
        <v>98.508258744728707</v>
      </c>
      <c r="DW21">
        <v>0.104341287210302</v>
      </c>
      <c r="DX21">
        <v>1.9449907254851401E-4</v>
      </c>
      <c r="DY21">
        <v>157</v>
      </c>
      <c r="DZ21">
        <v>0.99945823187948502</v>
      </c>
      <c r="EA21" s="28">
        <v>2.8859013420731801E-255</v>
      </c>
      <c r="EB21">
        <v>-3.3803836345383802E-2</v>
      </c>
      <c r="EC21">
        <v>1.62985149296731E-4</v>
      </c>
      <c r="ED21">
        <v>165</v>
      </c>
      <c r="EE21">
        <v>0.99620190868546998</v>
      </c>
      <c r="EF21" s="28">
        <v>2.0610468408012699E-199</v>
      </c>
      <c r="EG21" s="49">
        <v>94051.744226109789</v>
      </c>
      <c r="EH21">
        <v>231</v>
      </c>
      <c r="EI21" s="58">
        <v>0.5</v>
      </c>
      <c r="EJ21" s="28">
        <v>5.0288213826492331E-2</v>
      </c>
      <c r="EK21">
        <v>50</v>
      </c>
      <c r="EL21" s="20">
        <v>500</v>
      </c>
      <c r="EM21" s="49">
        <v>3.3697942783052703E-11</v>
      </c>
      <c r="EN21" s="53">
        <v>5.1879999999999998E-5</v>
      </c>
    </row>
    <row r="22" spans="1:144" s="34" customFormat="1" ht="15" thickBot="1" x14ac:dyDescent="0.35">
      <c r="A22" s="26"/>
      <c r="B22" s="34">
        <v>0.75</v>
      </c>
      <c r="C22" s="34" t="s">
        <v>160</v>
      </c>
      <c r="D22" t="s">
        <v>259</v>
      </c>
      <c r="E22" s="62" t="s">
        <v>255</v>
      </c>
      <c r="F22" s="26">
        <f>(9669-9009)/500</f>
        <v>1.32</v>
      </c>
      <c r="G22" s="41">
        <f>(9691-9033)/500</f>
        <v>1.3160000000000001</v>
      </c>
      <c r="H22" s="26">
        <f>25/2</f>
        <v>12.5</v>
      </c>
      <c r="I22" s="34">
        <v>49.666666666666664</v>
      </c>
      <c r="J22" s="33">
        <v>12.373333333333333</v>
      </c>
      <c r="K22" s="34">
        <v>10</v>
      </c>
      <c r="L22" s="30">
        <f>0.239-0.063</f>
        <v>0.17599999999999999</v>
      </c>
      <c r="M22" s="34">
        <v>0.36100000000000004</v>
      </c>
      <c r="N22" s="34">
        <v>0.35800000000000004</v>
      </c>
      <c r="O22" s="34">
        <v>0.38400000000000001</v>
      </c>
      <c r="P22" s="26">
        <v>0.24100000000000002</v>
      </c>
      <c r="Q22" s="41">
        <v>0.27400000000000002</v>
      </c>
      <c r="R22" s="26">
        <v>1</v>
      </c>
      <c r="S22" s="29">
        <v>59660000</v>
      </c>
      <c r="T22" s="34">
        <v>4.0650000000000004</v>
      </c>
      <c r="U22" s="34" t="s">
        <v>206</v>
      </c>
      <c r="V22" s="34" t="s">
        <v>207</v>
      </c>
      <c r="W22" s="34" t="s">
        <v>208</v>
      </c>
      <c r="X22" s="34" t="s">
        <v>209</v>
      </c>
      <c r="Y22" s="41" t="s">
        <v>210</v>
      </c>
      <c r="Z22" s="26"/>
      <c r="AA22" s="34">
        <v>0.2556419268963539</v>
      </c>
      <c r="AB22" s="41">
        <v>0.24695615033120161</v>
      </c>
      <c r="AC22" s="34">
        <f t="shared" si="0"/>
        <v>10</v>
      </c>
      <c r="AD22" s="34">
        <v>1</v>
      </c>
      <c r="AE22" s="34">
        <v>1</v>
      </c>
      <c r="AF22" s="34">
        <f>0.304-0.035</f>
        <v>0.26900000000000002</v>
      </c>
      <c r="AG22" s="34">
        <f>0.173-0.034</f>
        <v>0.13899999999999998</v>
      </c>
      <c r="AH22" s="34">
        <f>0.378-0.034</f>
        <v>0.34399999999999997</v>
      </c>
      <c r="AI22" s="44">
        <v>172631.77295182057</v>
      </c>
      <c r="AJ22" s="34">
        <v>0</v>
      </c>
      <c r="AK22" s="34">
        <v>0</v>
      </c>
      <c r="AL22" s="34">
        <v>0</v>
      </c>
      <c r="AM22" s="34">
        <v>0</v>
      </c>
      <c r="AN22" s="34">
        <v>0</v>
      </c>
      <c r="AO22" s="34">
        <v>0</v>
      </c>
      <c r="AP22" s="34">
        <v>0</v>
      </c>
      <c r="AQ22" s="34">
        <v>0</v>
      </c>
      <c r="AR22" s="34">
        <v>0</v>
      </c>
      <c r="AS22" s="34">
        <v>0</v>
      </c>
      <c r="AT22" s="34">
        <v>6.1211369115797738E-4</v>
      </c>
      <c r="AU22" s="34">
        <v>5.9601884342205607E-4</v>
      </c>
      <c r="AV22" s="34">
        <v>4.7343168300499811E-4</v>
      </c>
      <c r="AW22" s="34">
        <v>4.9236339239213322E-4</v>
      </c>
      <c r="AX22" s="34">
        <v>3.9356997486173079E-3</v>
      </c>
      <c r="AY22" s="34">
        <v>5.6664979896357799E-3</v>
      </c>
      <c r="AZ22" s="34">
        <v>1.5637591953801453E-3</v>
      </c>
      <c r="BA22" s="34">
        <v>1.4684522229239062E-3</v>
      </c>
      <c r="BD22" s="34">
        <v>1.6211448539262057E-3</v>
      </c>
      <c r="BE22" s="34">
        <v>1.6757631249837517E-3</v>
      </c>
      <c r="BF22" s="34">
        <v>1.3327819197322524E-2</v>
      </c>
      <c r="BG22" s="34">
        <v>1.2978526264371583E-2</v>
      </c>
      <c r="BH22" s="34">
        <v>1.2132284644279599E-2</v>
      </c>
      <c r="BI22" s="34">
        <v>1.1851273234421172E-2</v>
      </c>
      <c r="BJ22" s="34">
        <v>3.959610439678166E-3</v>
      </c>
      <c r="BK22" s="34">
        <v>4.012329750283262E-3</v>
      </c>
      <c r="BL22" s="34">
        <v>1.3055237319228735E-3</v>
      </c>
      <c r="BM22" s="34">
        <v>1.2222705267278396E-3</v>
      </c>
      <c r="BN22" s="34">
        <v>4.0217782364363984E-3</v>
      </c>
      <c r="BO22" s="34">
        <v>3.9475450933895602E-3</v>
      </c>
      <c r="BP22" s="34">
        <v>0</v>
      </c>
      <c r="BQ22" s="34">
        <v>0</v>
      </c>
      <c r="BR22" s="34">
        <v>1.9592420255267445E-2</v>
      </c>
      <c r="BS22" s="34">
        <v>1.9500181725004225E-2</v>
      </c>
      <c r="BT22" s="34">
        <v>0</v>
      </c>
      <c r="BU22" s="34">
        <v>0</v>
      </c>
      <c r="BV22" s="34">
        <v>1.0066400936621426E-2</v>
      </c>
      <c r="BW22" s="34">
        <v>1.0045940795650018E-2</v>
      </c>
      <c r="BX22" s="34">
        <v>0</v>
      </c>
      <c r="BY22" s="34">
        <v>0</v>
      </c>
      <c r="BZ22" s="34">
        <v>0</v>
      </c>
      <c r="CA22" s="34">
        <v>0</v>
      </c>
      <c r="CB22" s="34">
        <v>0</v>
      </c>
      <c r="CC22" s="34">
        <v>0</v>
      </c>
      <c r="CD22" s="34">
        <v>0</v>
      </c>
      <c r="CE22" s="34">
        <v>0</v>
      </c>
      <c r="CF22" s="34">
        <v>0</v>
      </c>
      <c r="CG22" s="34">
        <v>0</v>
      </c>
      <c r="CH22" s="34">
        <v>0</v>
      </c>
      <c r="CI22" s="34">
        <v>0</v>
      </c>
      <c r="CJ22" s="34">
        <v>0</v>
      </c>
      <c r="CK22" s="34">
        <v>0</v>
      </c>
      <c r="CL22" s="34">
        <v>0</v>
      </c>
      <c r="CM22" s="34">
        <v>0</v>
      </c>
      <c r="CN22" s="34">
        <v>0</v>
      </c>
      <c r="CO22" s="34">
        <v>0</v>
      </c>
      <c r="CP22" s="34">
        <v>0</v>
      </c>
      <c r="CQ22" s="34">
        <v>0</v>
      </c>
      <c r="CR22" s="34">
        <v>0</v>
      </c>
      <c r="CS22" s="34">
        <v>0</v>
      </c>
      <c r="CT22" s="34">
        <v>0</v>
      </c>
      <c r="CU22" s="34">
        <v>0</v>
      </c>
      <c r="CV22" s="34">
        <v>0</v>
      </c>
      <c r="CW22" s="34">
        <v>0</v>
      </c>
      <c r="CX22" s="34">
        <v>0</v>
      </c>
      <c r="CY22" s="34">
        <v>0</v>
      </c>
      <c r="CZ22" s="34">
        <v>0</v>
      </c>
      <c r="DA22" s="34">
        <v>0</v>
      </c>
      <c r="DB22" s="34">
        <v>0</v>
      </c>
      <c r="DC22" s="34">
        <v>0</v>
      </c>
      <c r="DD22" s="34">
        <v>0</v>
      </c>
      <c r="DE22" s="34">
        <v>0</v>
      </c>
      <c r="DF22" s="40">
        <v>7.2611986613615051E-2</v>
      </c>
      <c r="DG22" s="59">
        <v>7.3457162963205286E-2</v>
      </c>
      <c r="DH22" s="26">
        <v>11</v>
      </c>
      <c r="DI22" s="34">
        <f>0.236-0.077</f>
        <v>0.15899999999999997</v>
      </c>
      <c r="DJ22" s="34">
        <f>0.396-0.054</f>
        <v>0.34200000000000003</v>
      </c>
      <c r="DK22" s="34">
        <v>98.445461050332199</v>
      </c>
      <c r="DL22" s="34">
        <v>6.4843060148376902E-2</v>
      </c>
      <c r="DM22" s="34">
        <v>3.0212985321149998E-4</v>
      </c>
      <c r="DN22" s="34">
        <v>152</v>
      </c>
      <c r="DO22" s="34">
        <v>0.99673242745560797</v>
      </c>
      <c r="DP22" s="29">
        <v>1.4599351103568401E-188</v>
      </c>
      <c r="DQ22" s="34">
        <v>-4.23699847854438E-2</v>
      </c>
      <c r="DR22" s="34">
        <v>1.5327589922164601E-4</v>
      </c>
      <c r="DS22" s="34">
        <v>152</v>
      </c>
      <c r="DT22" s="34">
        <v>0.99802777532512899</v>
      </c>
      <c r="DU22" s="29">
        <v>5.2347185214626897E-205</v>
      </c>
      <c r="DV22" s="34">
        <v>51.867873977513597</v>
      </c>
      <c r="DW22" s="34">
        <v>2.2424466240908599E-2</v>
      </c>
      <c r="DX22" s="34">
        <v>1.2520938234872699E-4</v>
      </c>
      <c r="DY22" s="34">
        <v>198</v>
      </c>
      <c r="DZ22" s="34">
        <v>0.99389550126056503</v>
      </c>
      <c r="EA22" s="29">
        <v>3.4172220337127597E-219</v>
      </c>
      <c r="EB22" s="34">
        <v>-4.46260869792999E-2</v>
      </c>
      <c r="EC22" s="34">
        <v>3.40219628950472E-4</v>
      </c>
      <c r="ED22" s="34">
        <v>141</v>
      </c>
      <c r="EE22" s="34">
        <v>0.99192812180936696</v>
      </c>
      <c r="EF22" s="29">
        <v>1.4116881336755699E-147</v>
      </c>
      <c r="EG22" s="50">
        <v>172631.77295182057</v>
      </c>
      <c r="EH22" s="34">
        <v>212</v>
      </c>
      <c r="EI22" s="59">
        <v>1</v>
      </c>
      <c r="EJ22" s="29">
        <v>5.0288213826492331E-2</v>
      </c>
      <c r="EK22" s="34">
        <v>50</v>
      </c>
      <c r="EL22" s="41">
        <v>500</v>
      </c>
      <c r="EM22" s="50">
        <v>2.54172760324712E-11</v>
      </c>
      <c r="EN22" s="54">
        <v>5.1879999999999998E-5</v>
      </c>
    </row>
    <row r="23" spans="1:144" s="2" customFormat="1" x14ac:dyDescent="0.3">
      <c r="A23" s="23">
        <v>44496</v>
      </c>
      <c r="B23" s="2">
        <v>1.75</v>
      </c>
      <c r="C23" s="2" t="s">
        <v>152</v>
      </c>
      <c r="D23" s="2" t="s">
        <v>256</v>
      </c>
      <c r="E23" s="60" t="s">
        <v>253</v>
      </c>
      <c r="F23" s="25">
        <f>(9344-9142)/1000</f>
        <v>0.20200000000000001</v>
      </c>
      <c r="G23" s="24"/>
      <c r="H23" s="25">
        <v>2.5</v>
      </c>
      <c r="I23" s="2">
        <v>44.330000000000005</v>
      </c>
      <c r="J23" s="31">
        <v>5.5513333333333321</v>
      </c>
      <c r="K23" s="2">
        <v>1</v>
      </c>
      <c r="L23" s="2">
        <v>0.32500000000000001</v>
      </c>
      <c r="M23" s="2">
        <v>0.56299999999999994</v>
      </c>
      <c r="N23" s="2">
        <v>0.53600000000000003</v>
      </c>
      <c r="O23" s="2">
        <v>0.56299999999999994</v>
      </c>
      <c r="P23" s="25">
        <v>0.60799999999999998</v>
      </c>
      <c r="Q23" s="24">
        <v>0.40800000000000003</v>
      </c>
      <c r="R23" s="25">
        <v>1</v>
      </c>
      <c r="S23" s="27">
        <f>17.06*10^6</f>
        <v>17060000</v>
      </c>
      <c r="T23" s="2">
        <v>3.29</v>
      </c>
      <c r="U23" s="2" t="s">
        <v>165</v>
      </c>
      <c r="V23" s="2" t="s">
        <v>166</v>
      </c>
      <c r="W23" s="2" t="s">
        <v>167</v>
      </c>
      <c r="X23" s="2" t="s">
        <v>168</v>
      </c>
      <c r="Y23" s="24" t="s">
        <v>169</v>
      </c>
      <c r="Z23" s="25"/>
      <c r="AA23" s="2">
        <v>0.12921166849749763</v>
      </c>
      <c r="AB23" s="24">
        <v>0.24917718784328058</v>
      </c>
      <c r="AC23" s="2">
        <f t="shared" si="0"/>
        <v>1</v>
      </c>
      <c r="AD23" s="2">
        <v>1</v>
      </c>
      <c r="AE23" s="2">
        <v>1</v>
      </c>
      <c r="AF23" s="2">
        <f>0.322-0.044</f>
        <v>0.27800000000000002</v>
      </c>
      <c r="AG23" s="2">
        <f>0.171-0.041</f>
        <v>0.13</v>
      </c>
      <c r="AH23" s="2">
        <f>0.345-0.041</f>
        <v>0.30399999999999999</v>
      </c>
      <c r="AI23" s="42">
        <v>84756.842882776138</v>
      </c>
      <c r="AJ23" s="2">
        <v>0</v>
      </c>
      <c r="AL23" s="2">
        <v>0</v>
      </c>
      <c r="AN23" s="2">
        <v>0</v>
      </c>
      <c r="AP23" s="2">
        <v>0</v>
      </c>
      <c r="AR23" s="2">
        <v>0</v>
      </c>
      <c r="AT23" s="2">
        <v>1.0320832094920919E-3</v>
      </c>
      <c r="AV23" s="2">
        <v>2.8373421566792905E-4</v>
      </c>
      <c r="AX23" s="2">
        <v>2.4011008000898496E-3</v>
      </c>
      <c r="AZ23" s="2">
        <v>1.0959234080173759E-3</v>
      </c>
      <c r="BD23" s="2">
        <v>1.0746433418422812E-3</v>
      </c>
      <c r="BF23" s="2">
        <v>2.575597342725626E-2</v>
      </c>
      <c r="BH23" s="2">
        <v>1.3626335707452293E-2</v>
      </c>
      <c r="BJ23" s="2">
        <v>8.0474116918816379E-3</v>
      </c>
      <c r="BL23" s="2">
        <v>6.2066859677359484E-4</v>
      </c>
      <c r="BN23" s="2">
        <v>6.491484186712633E-2</v>
      </c>
      <c r="BP23" s="2">
        <v>2.8547208773889509E-2</v>
      </c>
      <c r="BR23" s="2">
        <v>0</v>
      </c>
      <c r="BT23" s="2">
        <v>0</v>
      </c>
      <c r="BV23" s="2">
        <v>0</v>
      </c>
      <c r="BX23" s="2">
        <v>1.8329230332148217E-2</v>
      </c>
      <c r="BZ23" s="2">
        <v>0</v>
      </c>
      <c r="CB23" s="2">
        <v>2.3053405023019236E-4</v>
      </c>
      <c r="CD23" s="2">
        <v>0</v>
      </c>
      <c r="CF23" s="2">
        <v>0</v>
      </c>
      <c r="CH23" s="2">
        <v>0</v>
      </c>
      <c r="CJ23" s="2">
        <v>0</v>
      </c>
      <c r="CL23" s="2">
        <v>0</v>
      </c>
      <c r="CN23" s="2">
        <v>0</v>
      </c>
      <c r="CP23" s="2">
        <v>0</v>
      </c>
      <c r="CR23" s="2">
        <v>0</v>
      </c>
      <c r="CT23" s="2">
        <v>0</v>
      </c>
      <c r="CV23" s="2">
        <v>0</v>
      </c>
      <c r="CX23" s="2">
        <v>0</v>
      </c>
      <c r="CZ23" s="2">
        <v>0</v>
      </c>
      <c r="DB23" s="2">
        <v>0</v>
      </c>
      <c r="DD23" s="2">
        <v>0</v>
      </c>
      <c r="DF23" s="37">
        <v>0.16595968942186756</v>
      </c>
      <c r="DG23" s="57"/>
      <c r="DH23" s="25">
        <v>2</v>
      </c>
      <c r="DI23" s="2">
        <f>0.252-0.079</f>
        <v>0.17299999999999999</v>
      </c>
      <c r="DJ23" s="2">
        <f>0.334-0.055</f>
        <v>0.27900000000000003</v>
      </c>
      <c r="DK23" s="2">
        <v>52.1061518795415</v>
      </c>
      <c r="DL23" s="2">
        <v>3.29117375293758E-3</v>
      </c>
      <c r="DM23" s="2">
        <v>1.6920685675145399E-4</v>
      </c>
      <c r="DN23" s="2">
        <v>142</v>
      </c>
      <c r="DO23" s="2">
        <v>0.72797020714794802</v>
      </c>
      <c r="DP23" s="27">
        <v>1.2650915415276999E-41</v>
      </c>
      <c r="DQ23" s="2">
        <v>-2.3159169447996501E-2</v>
      </c>
      <c r="DR23" s="2">
        <v>2.9058652707508498E-4</v>
      </c>
      <c r="DS23" s="2">
        <v>109</v>
      </c>
      <c r="DT23" s="2">
        <v>0.983278559324958</v>
      </c>
      <c r="DU23" s="27">
        <v>4.1571686394115501E-97</v>
      </c>
      <c r="DV23" s="2">
        <v>98.779652402846494</v>
      </c>
      <c r="DW23" s="2">
        <v>1.9046061663146999E-2</v>
      </c>
      <c r="DX23" s="2">
        <v>1.5190022856906101E-4</v>
      </c>
      <c r="DY23" s="2">
        <v>157</v>
      </c>
      <c r="DZ23" s="2">
        <v>0.99017414640760804</v>
      </c>
      <c r="EA23" s="27">
        <v>1.00097788919908E-157</v>
      </c>
      <c r="EB23" s="2">
        <v>-2.1145895976515498E-2</v>
      </c>
      <c r="EC23" s="2">
        <v>2.1050377162572701E-4</v>
      </c>
      <c r="ED23" s="2">
        <v>134</v>
      </c>
      <c r="EE23" s="2">
        <v>0.98699006749363905</v>
      </c>
      <c r="EF23" s="27">
        <v>1.47718302106789E-126</v>
      </c>
      <c r="EG23" s="48">
        <v>42522.321486734887</v>
      </c>
      <c r="EH23" s="2">
        <v>210</v>
      </c>
      <c r="EI23" s="57">
        <v>0.25</v>
      </c>
      <c r="EJ23" s="27">
        <v>4.0357236911716721E-2</v>
      </c>
      <c r="EK23" s="2">
        <v>80</v>
      </c>
      <c r="EL23" s="24">
        <v>390</v>
      </c>
      <c r="EM23" s="48">
        <v>1.19952018643906E-11</v>
      </c>
      <c r="EN23" s="52">
        <v>5.1879999999999998E-5</v>
      </c>
    </row>
    <row r="24" spans="1:144" x14ac:dyDescent="0.3">
      <c r="B24">
        <v>1.75</v>
      </c>
      <c r="C24" t="s">
        <v>153</v>
      </c>
      <c r="D24" t="s">
        <v>257</v>
      </c>
      <c r="E24" s="61" t="s">
        <v>254</v>
      </c>
      <c r="F24" s="19">
        <f>(9335-9097)/1000</f>
        <v>0.23799999999999999</v>
      </c>
      <c r="H24" s="19">
        <v>2.5</v>
      </c>
      <c r="I24">
        <v>42.736666666666672</v>
      </c>
      <c r="J24" s="32">
        <v>4.0186666666666664</v>
      </c>
      <c r="K24">
        <v>1</v>
      </c>
      <c r="L24">
        <v>0.371</v>
      </c>
      <c r="M24">
        <v>0.58799999999999997</v>
      </c>
      <c r="N24">
        <v>0.54399999999999993</v>
      </c>
      <c r="O24">
        <v>0.58799999999999997</v>
      </c>
      <c r="P24" s="19">
        <v>0.627</v>
      </c>
      <c r="Q24" s="20">
        <v>0.44800000000000001</v>
      </c>
      <c r="R24" s="19">
        <v>1</v>
      </c>
      <c r="S24" s="28">
        <v>6127000</v>
      </c>
      <c r="T24">
        <v>3.5470000000000002</v>
      </c>
      <c r="U24" t="s">
        <v>211</v>
      </c>
      <c r="V24" t="s">
        <v>212</v>
      </c>
      <c r="W24" t="s">
        <v>213</v>
      </c>
      <c r="X24" t="s">
        <v>214</v>
      </c>
      <c r="Y24" s="20" t="s">
        <v>215</v>
      </c>
      <c r="AA24">
        <v>0.31222680336872927</v>
      </c>
      <c r="AB24" s="20">
        <v>0.30084883192969597</v>
      </c>
      <c r="AC24">
        <f t="shared" si="0"/>
        <v>1</v>
      </c>
      <c r="AD24">
        <v>1</v>
      </c>
      <c r="AE24">
        <v>1</v>
      </c>
      <c r="AF24">
        <f>0.29-0.044</f>
        <v>0.246</v>
      </c>
      <c r="AG24">
        <f>0.142-0.041</f>
        <v>0.10099999999999998</v>
      </c>
      <c r="AH24">
        <f>0.28-0.041</f>
        <v>0.23900000000000002</v>
      </c>
      <c r="AI24" s="43">
        <v>181214.24316196848</v>
      </c>
      <c r="AJ24">
        <v>0</v>
      </c>
      <c r="AL24">
        <v>0</v>
      </c>
      <c r="AN24">
        <v>0</v>
      </c>
      <c r="AP24">
        <v>0</v>
      </c>
      <c r="AR24">
        <v>0</v>
      </c>
      <c r="AT24">
        <v>9.7148784375237173E-4</v>
      </c>
      <c r="AV24">
        <v>2.877336607292057E-4</v>
      </c>
      <c r="AX24">
        <v>1.8532522879225184E-3</v>
      </c>
      <c r="AZ24">
        <v>7.7966540326623477E-4</v>
      </c>
      <c r="BD24">
        <v>8.6629489251803852E-4</v>
      </c>
      <c r="BF24">
        <v>2.9868610329889803E-2</v>
      </c>
      <c r="BH24">
        <v>1.1169016292821856E-2</v>
      </c>
      <c r="BJ24">
        <v>1.1345369181655884E-2</v>
      </c>
      <c r="BL24">
        <v>4.6408654956323493E-4</v>
      </c>
      <c r="BN24">
        <v>9.5431664141853223E-2</v>
      </c>
      <c r="BP24">
        <v>2.4011838074401777E-2</v>
      </c>
      <c r="BR24">
        <v>0</v>
      </c>
      <c r="BT24">
        <v>0</v>
      </c>
      <c r="BV24">
        <v>0</v>
      </c>
      <c r="BX24">
        <v>2.3374492546334932E-2</v>
      </c>
      <c r="BZ24">
        <v>0</v>
      </c>
      <c r="CB24">
        <v>4.1767789460691148E-4</v>
      </c>
      <c r="CD24">
        <v>0</v>
      </c>
      <c r="CF24">
        <v>0</v>
      </c>
      <c r="CH24">
        <v>0</v>
      </c>
      <c r="CJ24">
        <v>0</v>
      </c>
      <c r="CL24">
        <v>0</v>
      </c>
      <c r="CN24">
        <v>0</v>
      </c>
      <c r="CP24">
        <v>0</v>
      </c>
      <c r="CR24">
        <v>0</v>
      </c>
      <c r="CT24">
        <v>0</v>
      </c>
      <c r="CV24">
        <v>0</v>
      </c>
      <c r="CX24">
        <v>0</v>
      </c>
      <c r="CZ24">
        <v>0</v>
      </c>
      <c r="DB24">
        <v>0</v>
      </c>
      <c r="DD24">
        <v>0</v>
      </c>
      <c r="DF24" s="39">
        <v>0.200841189099316</v>
      </c>
      <c r="DG24" s="58"/>
      <c r="DH24" s="19">
        <v>2</v>
      </c>
      <c r="DI24">
        <f>0.252-0.076</f>
        <v>0.17599999999999999</v>
      </c>
      <c r="DJ24">
        <f>0.305-0.053</f>
        <v>0.252</v>
      </c>
      <c r="DK24">
        <v>99.145163703396307</v>
      </c>
      <c r="DL24">
        <v>3.6518781111765999E-3</v>
      </c>
      <c r="DM24">
        <v>1.15747136530927E-4</v>
      </c>
      <c r="DN24">
        <v>189</v>
      </c>
      <c r="DO24">
        <v>0.84100579108292095</v>
      </c>
      <c r="DP24" s="28">
        <v>8.2219290677240402E-77</v>
      </c>
      <c r="DQ24">
        <v>-3.5153983998864199E-2</v>
      </c>
      <c r="DR24" s="28">
        <v>6.45419628886424E-5</v>
      </c>
      <c r="DS24">
        <v>315</v>
      </c>
      <c r="DT24">
        <v>0.99894267885524901</v>
      </c>
      <c r="DU24" s="28">
        <v>0</v>
      </c>
      <c r="DV24">
        <v>50.752202835089598</v>
      </c>
      <c r="DW24">
        <v>2.6524510906481601E-3</v>
      </c>
      <c r="DX24">
        <v>1.7154527948772401E-4</v>
      </c>
      <c r="DY24">
        <v>144</v>
      </c>
      <c r="DZ24">
        <v>0.62474744427821005</v>
      </c>
      <c r="EA24" s="28">
        <v>3.0555467476506E-32</v>
      </c>
      <c r="EB24">
        <v>-2.76763079117434E-2</v>
      </c>
      <c r="EC24">
        <v>1.8211511484034901E-4</v>
      </c>
      <c r="ED24">
        <v>145</v>
      </c>
      <c r="EE24">
        <v>0.99380334343444499</v>
      </c>
      <c r="EF24" s="28">
        <v>5.5936997740403002E-160</v>
      </c>
      <c r="EG24" s="49">
        <v>90815.326740452816</v>
      </c>
      <c r="EH24">
        <v>224</v>
      </c>
      <c r="EI24" s="58">
        <v>0.5</v>
      </c>
      <c r="EJ24" s="28">
        <v>4.0357236911716721E-2</v>
      </c>
      <c r="EK24">
        <v>80</v>
      </c>
      <c r="EL24" s="20">
        <v>390</v>
      </c>
      <c r="EM24" s="49">
        <v>1.31580761998393E-11</v>
      </c>
      <c r="EN24" s="53">
        <v>5.1879999999999998E-5</v>
      </c>
    </row>
    <row r="25" spans="1:144" x14ac:dyDescent="0.3">
      <c r="B25">
        <v>1.75</v>
      </c>
      <c r="C25" t="s">
        <v>154</v>
      </c>
      <c r="D25" t="s">
        <v>256</v>
      </c>
      <c r="E25" s="61" t="s">
        <v>255</v>
      </c>
      <c r="F25" s="19">
        <f>(9386-9146)/1000</f>
        <v>0.24</v>
      </c>
      <c r="H25" s="19">
        <f>25/10</f>
        <v>2.5</v>
      </c>
      <c r="I25">
        <v>44.676666666666669</v>
      </c>
      <c r="J25" s="32">
        <v>3.883999999999999</v>
      </c>
      <c r="K25">
        <v>1</v>
      </c>
      <c r="L25">
        <v>0.33900000000000002</v>
      </c>
      <c r="M25">
        <v>0.51100000000000001</v>
      </c>
      <c r="N25">
        <v>0.47200000000000003</v>
      </c>
      <c r="O25">
        <v>0.51100000000000001</v>
      </c>
      <c r="P25" s="19">
        <v>0.54199999999999993</v>
      </c>
      <c r="Q25" s="20">
        <v>0.39900000000000002</v>
      </c>
      <c r="R25" s="19">
        <v>1</v>
      </c>
      <c r="S25" s="28">
        <v>8201000</v>
      </c>
      <c r="T25">
        <v>4.4000000000000004</v>
      </c>
      <c r="U25" t="s">
        <v>216</v>
      </c>
      <c r="V25" t="s">
        <v>217</v>
      </c>
      <c r="W25" t="s">
        <v>218</v>
      </c>
      <c r="X25" t="s">
        <v>219</v>
      </c>
      <c r="Y25" s="20" t="s">
        <v>220</v>
      </c>
      <c r="AA25">
        <v>0.27349893811790538</v>
      </c>
      <c r="AC25">
        <f t="shared" si="0"/>
        <v>1</v>
      </c>
      <c r="AD25">
        <v>1</v>
      </c>
      <c r="AE25">
        <v>1</v>
      </c>
      <c r="AF25">
        <f>0.267-0.044</f>
        <v>0.22300000000000003</v>
      </c>
      <c r="AG25">
        <f>0.128-0.041</f>
        <v>8.6999999999999994E-2</v>
      </c>
      <c r="AH25">
        <f>0.241-0.041</f>
        <v>0.19999999999999998</v>
      </c>
      <c r="AI25" s="43">
        <v>319861.08667846781</v>
      </c>
      <c r="AJ25">
        <v>0</v>
      </c>
      <c r="AL25">
        <v>0</v>
      </c>
      <c r="AN25">
        <v>0</v>
      </c>
      <c r="AP25">
        <v>0</v>
      </c>
      <c r="AR25">
        <v>0</v>
      </c>
      <c r="AT25">
        <v>3.5018013658200017E-4</v>
      </c>
      <c r="AV25">
        <v>7.1223078626847484E-5</v>
      </c>
      <c r="AX25">
        <v>4.4217661314167813E-4</v>
      </c>
      <c r="AZ25">
        <v>1.1276987449250851E-4</v>
      </c>
      <c r="BD25">
        <v>1.4838141380593226E-4</v>
      </c>
      <c r="BF25">
        <v>9.1224893207887143E-3</v>
      </c>
      <c r="BH25">
        <v>3.1278802030290519E-3</v>
      </c>
      <c r="BJ25">
        <v>3.5492834182378995E-3</v>
      </c>
      <c r="BL25">
        <v>0</v>
      </c>
      <c r="BN25">
        <v>3.1812975119991878E-2</v>
      </c>
      <c r="BP25">
        <v>6.6860665060953081E-3</v>
      </c>
      <c r="BR25">
        <v>0</v>
      </c>
      <c r="BT25">
        <v>0</v>
      </c>
      <c r="BV25">
        <v>0</v>
      </c>
      <c r="BX25">
        <v>7.2172719675205445E-3</v>
      </c>
      <c r="BZ25">
        <v>0</v>
      </c>
      <c r="CB25">
        <v>0</v>
      </c>
      <c r="CD25">
        <v>0</v>
      </c>
      <c r="CF25">
        <v>0</v>
      </c>
      <c r="CH25">
        <v>0</v>
      </c>
      <c r="CJ25">
        <v>0</v>
      </c>
      <c r="CL25">
        <v>0</v>
      </c>
      <c r="CN25">
        <v>0</v>
      </c>
      <c r="CP25">
        <v>0</v>
      </c>
      <c r="CR25">
        <v>0</v>
      </c>
      <c r="CT25">
        <v>0</v>
      </c>
      <c r="CV25">
        <v>0</v>
      </c>
      <c r="CX25">
        <v>0</v>
      </c>
      <c r="CZ25">
        <v>0</v>
      </c>
      <c r="DB25">
        <v>0</v>
      </c>
      <c r="DD25">
        <v>0</v>
      </c>
      <c r="DF25" s="39">
        <v>0.21340376695612065</v>
      </c>
      <c r="DG25" s="58"/>
      <c r="DH25" s="19">
        <v>2</v>
      </c>
      <c r="DI25">
        <f>0.246-0.077</f>
        <v>0.16899999999999998</v>
      </c>
      <c r="DJ25">
        <f>0.29-0.054</f>
        <v>0.23599999999999999</v>
      </c>
      <c r="DK25">
        <v>50.649339618896498</v>
      </c>
      <c r="DL25">
        <v>-1.59043479151115E-2</v>
      </c>
      <c r="DM25">
        <v>1.89501709231494E-4</v>
      </c>
      <c r="DN25">
        <v>145</v>
      </c>
      <c r="DO25">
        <v>0.97996319616667005</v>
      </c>
      <c r="DP25" s="28">
        <v>1.5565343192528599E-123</v>
      </c>
      <c r="DQ25">
        <v>-3.8875777725145402E-2</v>
      </c>
      <c r="DR25">
        <v>1.67484556561667E-4</v>
      </c>
      <c r="DS25">
        <v>146</v>
      </c>
      <c r="DT25">
        <v>0.99731589094706796</v>
      </c>
      <c r="DU25" s="28">
        <v>3.0184991033649901E-187</v>
      </c>
      <c r="EB25">
        <v>-3.8129820746193997E-2</v>
      </c>
      <c r="EC25">
        <v>3.0324065184542901E-4</v>
      </c>
      <c r="ED25">
        <v>148</v>
      </c>
      <c r="EE25">
        <v>0.99078764422769905</v>
      </c>
      <c r="EF25" s="28">
        <v>1.0084238818915001E-150</v>
      </c>
      <c r="EG25" s="49">
        <v>159834.56523659881</v>
      </c>
      <c r="EH25">
        <v>198</v>
      </c>
      <c r="EI25" s="58">
        <v>1</v>
      </c>
      <c r="EJ25" s="28">
        <v>4.0357236911716721E-2</v>
      </c>
      <c r="EK25">
        <v>80</v>
      </c>
      <c r="EL25" s="20">
        <v>390</v>
      </c>
      <c r="EM25" s="49"/>
      <c r="EN25" s="53"/>
    </row>
    <row r="26" spans="1:144" x14ac:dyDescent="0.3">
      <c r="B26">
        <v>1.75</v>
      </c>
      <c r="C26" t="s">
        <v>156</v>
      </c>
      <c r="D26" t="s">
        <v>258</v>
      </c>
      <c r="E26" s="61" t="s">
        <v>253</v>
      </c>
      <c r="F26" s="19">
        <f>(9741-9264)/1000</f>
        <v>0.47699999999999998</v>
      </c>
      <c r="H26" s="19">
        <f>25/3</f>
        <v>8.3333333333333339</v>
      </c>
      <c r="I26">
        <v>29.936666666666667</v>
      </c>
      <c r="J26" s="32">
        <v>4.8323333333333336</v>
      </c>
      <c r="K26">
        <v>2</v>
      </c>
      <c r="L26">
        <v>0.35699999999999998</v>
      </c>
      <c r="M26">
        <v>0.71399999999999997</v>
      </c>
      <c r="N26">
        <v>0.70799999999999996</v>
      </c>
      <c r="O26">
        <v>0.71399999999999997</v>
      </c>
      <c r="P26" s="19">
        <v>0.77800000000000002</v>
      </c>
      <c r="Q26" s="20">
        <v>0.47800000000000004</v>
      </c>
      <c r="R26" s="19">
        <v>1</v>
      </c>
      <c r="S26" s="28">
        <v>39400000</v>
      </c>
      <c r="T26">
        <v>3.327</v>
      </c>
      <c r="U26" t="s">
        <v>221</v>
      </c>
      <c r="V26" t="s">
        <v>222</v>
      </c>
      <c r="W26" t="s">
        <v>223</v>
      </c>
      <c r="X26" t="s">
        <v>224</v>
      </c>
      <c r="Y26" s="20" t="s">
        <v>225</v>
      </c>
      <c r="AA26">
        <v>0.37148604542729635</v>
      </c>
      <c r="AB26" s="20">
        <v>0.47311682256330218</v>
      </c>
      <c r="AC26">
        <f t="shared" si="0"/>
        <v>2</v>
      </c>
      <c r="AD26">
        <v>1</v>
      </c>
      <c r="AE26">
        <v>1</v>
      </c>
      <c r="AF26">
        <f>0.461-0.044</f>
        <v>0.41700000000000004</v>
      </c>
      <c r="AG26">
        <f>0.253-0.041</f>
        <v>0.21199999999999999</v>
      </c>
      <c r="AH26">
        <f>0.547-0.041</f>
        <v>0.50600000000000001</v>
      </c>
      <c r="AI26" s="43">
        <v>90387.172670181972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9.4284422230621085E-4</v>
      </c>
      <c r="AU26">
        <v>1.0017394114276051E-3</v>
      </c>
      <c r="AV26">
        <v>5.4412900391801226E-4</v>
      </c>
      <c r="AW26">
        <v>5.1702679299489292E-4</v>
      </c>
      <c r="AX26">
        <v>4.4093212386459614E-3</v>
      </c>
      <c r="AY26">
        <v>6.2366356905008951E-3</v>
      </c>
      <c r="AZ26">
        <v>1.1914548878894406E-3</v>
      </c>
      <c r="BA26">
        <v>1.2521742642845062E-3</v>
      </c>
      <c r="BD26">
        <v>1.7121300554316765E-3</v>
      </c>
      <c r="BE26">
        <v>1.7126512517955826E-3</v>
      </c>
      <c r="BF26">
        <v>1.8162650889401236E-2</v>
      </c>
      <c r="BG26">
        <v>1.8423118772263332E-2</v>
      </c>
      <c r="BH26">
        <v>1.4166117170968939E-2</v>
      </c>
      <c r="BI26">
        <v>1.4904913016805896E-2</v>
      </c>
      <c r="BJ26">
        <v>5.4553623410055884E-3</v>
      </c>
      <c r="BK26">
        <v>5.5822736556167341E-3</v>
      </c>
      <c r="BL26">
        <v>8.5841041135341595E-4</v>
      </c>
      <c r="BM26">
        <v>8.5228635407751867E-4</v>
      </c>
      <c r="BN26">
        <v>1.5920464131877015E-2</v>
      </c>
      <c r="BO26">
        <v>1.6512543201274391E-2</v>
      </c>
      <c r="BP26">
        <v>2.7464442396034152E-2</v>
      </c>
      <c r="BQ26">
        <v>2.8488984148382652E-2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1.3045023792206827E-2</v>
      </c>
      <c r="BY26">
        <v>1.357599258793621E-2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 s="39">
        <v>0.10387235054103848</v>
      </c>
      <c r="DG26" s="58">
        <v>0.1090603391473602</v>
      </c>
      <c r="DH26" s="19">
        <f>13/3</f>
        <v>4.333333333333333</v>
      </c>
      <c r="DI26">
        <f>0.24-0.077</f>
        <v>0.16299999999999998</v>
      </c>
      <c r="DJ26">
        <f>0.381-0.053</f>
        <v>0.32800000000000001</v>
      </c>
      <c r="DK26">
        <v>50.542548818107399</v>
      </c>
      <c r="DL26">
        <v>2.05299762033621E-2</v>
      </c>
      <c r="DM26" s="28">
        <v>9.6638858015649705E-5</v>
      </c>
      <c r="DN26">
        <v>244</v>
      </c>
      <c r="DO26">
        <v>0.99464437188471799</v>
      </c>
      <c r="DP26" s="28">
        <v>4.78735447040832E-277</v>
      </c>
      <c r="DQ26">
        <v>-3.4863916744728198E-2</v>
      </c>
      <c r="DR26">
        <v>3.2201901597514302E-4</v>
      </c>
      <c r="DS26">
        <v>150</v>
      </c>
      <c r="DT26">
        <v>0.987446992238042</v>
      </c>
      <c r="DU26" s="28">
        <v>8.12238768607991E-143</v>
      </c>
      <c r="DV26">
        <v>101.31840287278</v>
      </c>
      <c r="DW26">
        <v>5.17266278315709E-2</v>
      </c>
      <c r="DX26">
        <v>1.7893004181798399E-4</v>
      </c>
      <c r="DY26">
        <v>150</v>
      </c>
      <c r="DZ26">
        <v>0.99822026213884096</v>
      </c>
      <c r="EA26" s="28">
        <v>1.33777996019295E-205</v>
      </c>
      <c r="EB26">
        <v>-3.5920549607671902E-2</v>
      </c>
      <c r="EC26">
        <v>5.5831133359659103E-4</v>
      </c>
      <c r="ED26">
        <v>104</v>
      </c>
      <c r="EE26">
        <v>0.97571532891735102</v>
      </c>
      <c r="EF26" s="28">
        <v>2.17576749043373E-84</v>
      </c>
      <c r="EG26" s="49">
        <v>45193.675959443652</v>
      </c>
      <c r="EH26">
        <v>222</v>
      </c>
      <c r="EI26" s="58">
        <v>0.25</v>
      </c>
      <c r="EJ26" s="28">
        <v>4.4601644568718381E-2</v>
      </c>
      <c r="EK26">
        <v>50</v>
      </c>
      <c r="EL26" s="20">
        <v>450</v>
      </c>
      <c r="EM26" s="49">
        <v>2.1391964061737801E-11</v>
      </c>
      <c r="EN26" s="53">
        <v>5.1879999999999998E-5</v>
      </c>
    </row>
    <row r="27" spans="1:144" x14ac:dyDescent="0.3">
      <c r="B27">
        <v>1.75</v>
      </c>
      <c r="C27" t="s">
        <v>155</v>
      </c>
      <c r="D27" t="s">
        <v>258</v>
      </c>
      <c r="E27" s="61" t="s">
        <v>254</v>
      </c>
      <c r="F27" s="19">
        <f>(9647-9115)/1000</f>
        <v>0.53200000000000003</v>
      </c>
      <c r="H27" s="19">
        <f>25/3</f>
        <v>8.3333333333333339</v>
      </c>
      <c r="I27" s="6"/>
      <c r="J27" s="32">
        <v>4.7290000000000001</v>
      </c>
      <c r="K27">
        <v>2</v>
      </c>
      <c r="L27">
        <v>0.39800000000000002</v>
      </c>
      <c r="M27">
        <v>0.72099999999999997</v>
      </c>
      <c r="N27">
        <v>0.69799999999999995</v>
      </c>
      <c r="O27">
        <v>0.72099999999999997</v>
      </c>
      <c r="P27" s="19">
        <v>0.77600000000000002</v>
      </c>
      <c r="Q27" s="20">
        <v>0.51200000000000001</v>
      </c>
      <c r="R27" s="19">
        <v>1</v>
      </c>
      <c r="S27" s="28">
        <v>36730000</v>
      </c>
      <c r="T27">
        <v>3.6560000000000001</v>
      </c>
      <c r="U27" t="s">
        <v>226</v>
      </c>
      <c r="V27" t="s">
        <v>227</v>
      </c>
      <c r="W27" t="s">
        <v>228</v>
      </c>
      <c r="X27" t="s">
        <v>229</v>
      </c>
      <c r="Y27" s="20" t="s">
        <v>230</v>
      </c>
      <c r="AB27" s="20">
        <v>0.52445427296343161</v>
      </c>
      <c r="AC27">
        <f t="shared" si="0"/>
        <v>2</v>
      </c>
      <c r="AD27">
        <v>1</v>
      </c>
      <c r="AE27">
        <v>1</v>
      </c>
      <c r="AF27">
        <f>0.453-0.044</f>
        <v>0.40900000000000003</v>
      </c>
      <c r="AG27">
        <f>0.236-0.041</f>
        <v>0.19499999999999998</v>
      </c>
      <c r="AH27">
        <f>0.512-0.041</f>
        <v>0.47100000000000003</v>
      </c>
      <c r="AI27" s="43">
        <v>190545.98236890387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9.680403436699022E-4</v>
      </c>
      <c r="AU27">
        <v>9.3480290697737329E-4</v>
      </c>
      <c r="AV27">
        <v>3.4068372609842053E-4</v>
      </c>
      <c r="AW27">
        <v>4.327791236006358E-4</v>
      </c>
      <c r="AX27">
        <v>2.8418008372112151E-3</v>
      </c>
      <c r="AY27">
        <v>2.7524752261000435E-3</v>
      </c>
      <c r="AZ27">
        <v>1.0635979741609226E-3</v>
      </c>
      <c r="BA27">
        <v>9.6942523686542408E-4</v>
      </c>
      <c r="BD27">
        <v>1.1466915658922446E-3</v>
      </c>
      <c r="BE27">
        <v>1.1563858182608989E-3</v>
      </c>
      <c r="BF27">
        <v>2.1866078664097403E-2</v>
      </c>
      <c r="BG27">
        <v>2.153855142335644E-2</v>
      </c>
      <c r="BH27">
        <v>1.3938950012929278E-2</v>
      </c>
      <c r="BI27">
        <v>1.3693131470724115E-2</v>
      </c>
      <c r="BJ27">
        <v>6.7347356098236538E-3</v>
      </c>
      <c r="BK27">
        <v>6.6613362704609864E-3</v>
      </c>
      <c r="BL27">
        <v>6.6890341343714269E-4</v>
      </c>
      <c r="BM27">
        <v>6.2666417097372062E-4</v>
      </c>
      <c r="BN27">
        <v>4.5481277434139142E-2</v>
      </c>
      <c r="BO27">
        <v>4.5331016522424994E-2</v>
      </c>
      <c r="BP27">
        <v>2.8550958118882263E-2</v>
      </c>
      <c r="BQ27">
        <v>2.8307216916470385E-2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1.5912422816548175E-2</v>
      </c>
      <c r="BY27">
        <v>1.5635444177443766E-2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 s="39">
        <v>0.13951414051688976</v>
      </c>
      <c r="DG27" s="58">
        <v>0.13803922926365877</v>
      </c>
      <c r="DH27" s="19">
        <f>13/3</f>
        <v>4.333333333333333</v>
      </c>
      <c r="DI27">
        <f>0.266-0.076</f>
        <v>0.19</v>
      </c>
      <c r="DJ27">
        <f>0.376-0.052</f>
        <v>0.32400000000000001</v>
      </c>
      <c r="DK27">
        <v>101.14662194349999</v>
      </c>
      <c r="DL27">
        <v>2.98949146788836E-2</v>
      </c>
      <c r="DM27">
        <v>3.6404024538378598E-4</v>
      </c>
      <c r="DN27">
        <v>144</v>
      </c>
      <c r="DO27">
        <v>0.97923220954763601</v>
      </c>
      <c r="DP27" s="28">
        <v>1.4054563531469901E-121</v>
      </c>
      <c r="DQ27">
        <v>-4.2819219269305202E-2</v>
      </c>
      <c r="DR27">
        <v>3.3470340597385002E-4</v>
      </c>
      <c r="DS27">
        <v>148</v>
      </c>
      <c r="DT27">
        <v>0.99109768194995695</v>
      </c>
      <c r="DU27" s="28">
        <v>8.2840382401659694E-152</v>
      </c>
      <c r="DV27">
        <v>51.825454705199299</v>
      </c>
      <c r="DW27">
        <v>9.2414985233883092E-3</v>
      </c>
      <c r="DX27">
        <v>2.6012261806405501E-4</v>
      </c>
      <c r="DY27">
        <v>136</v>
      </c>
      <c r="DZ27">
        <v>0.90330905966416197</v>
      </c>
      <c r="EA27" s="28">
        <v>4.6095154858320799E-70</v>
      </c>
      <c r="EB27">
        <v>-4.3135492924383401E-2</v>
      </c>
      <c r="EC27">
        <v>3.94547199747244E-4</v>
      </c>
      <c r="ED27">
        <v>148</v>
      </c>
      <c r="EE27">
        <v>0.987850088526252</v>
      </c>
      <c r="EF27" s="28">
        <v>6.0124404548651703E-142</v>
      </c>
      <c r="EG27" s="49">
        <v>95273.160179165629</v>
      </c>
      <c r="EH27">
        <v>234</v>
      </c>
      <c r="EI27" s="58">
        <v>0.5</v>
      </c>
      <c r="EJ27" s="28">
        <v>4.4601644568718381E-2</v>
      </c>
      <c r="EK27">
        <v>50</v>
      </c>
      <c r="EL27" s="20">
        <v>450</v>
      </c>
      <c r="EM27" s="49">
        <v>1.8927669915636401E-11</v>
      </c>
      <c r="EN27" s="53">
        <v>5.1879999999999998E-5</v>
      </c>
    </row>
    <row r="28" spans="1:144" x14ac:dyDescent="0.3">
      <c r="B28">
        <v>1.75</v>
      </c>
      <c r="C28" t="s">
        <v>157</v>
      </c>
      <c r="D28" t="s">
        <v>258</v>
      </c>
      <c r="E28" s="61" t="s">
        <v>255</v>
      </c>
      <c r="F28" s="19">
        <f>(9746-9195)/1000</f>
        <v>0.55100000000000005</v>
      </c>
      <c r="H28" s="19">
        <f>25/3</f>
        <v>8.3333333333333339</v>
      </c>
      <c r="I28">
        <v>38.88333333333334</v>
      </c>
      <c r="J28" s="32">
        <v>4.5303333333333331</v>
      </c>
      <c r="K28">
        <v>2</v>
      </c>
      <c r="L28">
        <v>0.44700000000000001</v>
      </c>
      <c r="M28">
        <v>0.74199999999999999</v>
      </c>
      <c r="N28">
        <v>0.70599999999999996</v>
      </c>
      <c r="O28">
        <v>0.74199999999999999</v>
      </c>
      <c r="P28" s="19">
        <v>0.78900000000000003</v>
      </c>
      <c r="Q28" s="20">
        <v>0.55199999999999994</v>
      </c>
      <c r="R28" s="19">
        <v>1</v>
      </c>
      <c r="S28" s="28">
        <v>27220000</v>
      </c>
      <c r="T28">
        <v>4.0490000000000004</v>
      </c>
      <c r="U28" t="s">
        <v>231</v>
      </c>
      <c r="V28" t="s">
        <v>232</v>
      </c>
      <c r="W28" t="s">
        <v>233</v>
      </c>
      <c r="X28" t="s">
        <v>199</v>
      </c>
      <c r="Y28" s="20" t="s">
        <v>234</v>
      </c>
      <c r="AA28">
        <v>0.43216305868247484</v>
      </c>
      <c r="AC28">
        <f t="shared" si="0"/>
        <v>2</v>
      </c>
      <c r="AD28">
        <v>1</v>
      </c>
      <c r="AE28">
        <v>1</v>
      </c>
      <c r="AF28">
        <f>0.405-0.044</f>
        <v>0.36100000000000004</v>
      </c>
      <c r="AG28">
        <f>0.203-0.041</f>
        <v>0.16200000000000001</v>
      </c>
      <c r="AH28">
        <f>0.417-0.041</f>
        <v>0.376</v>
      </c>
      <c r="AI28" s="43">
        <v>345263.16442036803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1.0717534563123299E-3</v>
      </c>
      <c r="AU28">
        <v>1.0794177156636165E-3</v>
      </c>
      <c r="AV28">
        <v>4.200842693083504E-4</v>
      </c>
      <c r="AW28">
        <v>2.5167770572467744E-4</v>
      </c>
      <c r="AX28">
        <v>2.7386262941448232E-3</v>
      </c>
      <c r="AY28">
        <v>3.3668884188056843E-3</v>
      </c>
      <c r="AZ28">
        <v>7.6476879797161227E-4</v>
      </c>
      <c r="BA28">
        <v>8.5011136155891038E-4</v>
      </c>
      <c r="BD28">
        <v>1.0636749126717848E-3</v>
      </c>
      <c r="BE28">
        <v>6.7114054859913983E-4</v>
      </c>
      <c r="BF28">
        <v>2.5872882432786098E-2</v>
      </c>
      <c r="BG28">
        <v>2.53579270612375E-2</v>
      </c>
      <c r="BH28">
        <v>1.4296329395884825E-2</v>
      </c>
      <c r="BI28">
        <v>1.2857934343578521E-2</v>
      </c>
      <c r="BJ28">
        <v>9.4922887776406114E-3</v>
      </c>
      <c r="BK28">
        <v>9.0939544335183441E-3</v>
      </c>
      <c r="BL28">
        <v>5.1433394511471117E-4</v>
      </c>
      <c r="BM28">
        <v>5.9284081792924015E-4</v>
      </c>
      <c r="BN28">
        <v>7.4917720874536006E-2</v>
      </c>
      <c r="BO28">
        <v>7.6683400515356714E-2</v>
      </c>
      <c r="BP28">
        <v>2.7895211190802578E-2</v>
      </c>
      <c r="BQ28">
        <v>2.682325059234562E-2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2.0368701365694634E-2</v>
      </c>
      <c r="BY28">
        <v>1.9938467131299445E-2</v>
      </c>
      <c r="BZ28">
        <v>0</v>
      </c>
      <c r="CA28">
        <v>0</v>
      </c>
      <c r="CB28">
        <v>3.0698465834071766E-4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 s="39">
        <v>0.17972336037120909</v>
      </c>
      <c r="DG28" s="58">
        <v>0.17756701064561742</v>
      </c>
      <c r="DH28" s="19">
        <f>13/3</f>
        <v>4.333333333333333</v>
      </c>
      <c r="DI28">
        <f>0.29-0.079</f>
        <v>0.21099999999999997</v>
      </c>
      <c r="DJ28">
        <f>0.385-0.055</f>
        <v>0.33</v>
      </c>
      <c r="DK28">
        <v>51.726488630389497</v>
      </c>
      <c r="DL28">
        <v>-2.33640418582026E-3</v>
      </c>
      <c r="DM28">
        <v>1.7661189769487901E-4</v>
      </c>
      <c r="DN28">
        <v>143</v>
      </c>
      <c r="DO28">
        <v>0.55064321908498404</v>
      </c>
      <c r="DP28" s="28">
        <v>1.7529637017131399E-26</v>
      </c>
      <c r="DQ28">
        <v>-4.8092210489294199E-2</v>
      </c>
      <c r="DR28">
        <v>1.3395867352917801E-4</v>
      </c>
      <c r="DS28">
        <v>179</v>
      </c>
      <c r="DT28">
        <v>0.99862083510804101</v>
      </c>
      <c r="DU28" s="28">
        <v>2.6129533812611601E-255</v>
      </c>
      <c r="DV28">
        <v>99.748173429879401</v>
      </c>
      <c r="DW28">
        <v>2.5564014095138098E-2</v>
      </c>
      <c r="DX28">
        <v>1.84518944709549E-4</v>
      </c>
      <c r="DY28">
        <v>141</v>
      </c>
      <c r="DZ28">
        <v>0.99275867266524298</v>
      </c>
      <c r="EA28" s="28">
        <v>7.4505738788843203E-151</v>
      </c>
      <c r="EB28">
        <v>-4.78563065764522E-2</v>
      </c>
      <c r="EC28">
        <v>2.13370482461012E-4</v>
      </c>
      <c r="ED28">
        <v>116</v>
      </c>
      <c r="EE28">
        <v>0.99771910609161596</v>
      </c>
      <c r="EF28" s="28">
        <v>1.1716766973384699E-152</v>
      </c>
      <c r="EG28" s="49">
        <v>172631.73143379646</v>
      </c>
      <c r="EH28">
        <v>212</v>
      </c>
      <c r="EI28" s="58">
        <v>1</v>
      </c>
      <c r="EJ28" s="28">
        <v>4.4601644568718381E-2</v>
      </c>
      <c r="EK28">
        <v>50</v>
      </c>
      <c r="EL28" s="20">
        <v>450</v>
      </c>
      <c r="EM28" s="49">
        <v>1.8619008334538899E-11</v>
      </c>
      <c r="EN28" s="53">
        <v>5.1879999999999998E-5</v>
      </c>
    </row>
    <row r="29" spans="1:144" x14ac:dyDescent="0.3">
      <c r="B29">
        <v>1.75</v>
      </c>
      <c r="C29" t="s">
        <v>158</v>
      </c>
      <c r="D29" t="s">
        <v>259</v>
      </c>
      <c r="E29" s="61" t="s">
        <v>253</v>
      </c>
      <c r="F29" s="19">
        <f>(10072-9466)/500</f>
        <v>1.212</v>
      </c>
      <c r="G29" s="20">
        <f>(9688-9073)/500</f>
        <v>1.23</v>
      </c>
      <c r="H29" s="19">
        <f>25/2</f>
        <v>12.5</v>
      </c>
      <c r="I29">
        <v>50.006666666666668</v>
      </c>
      <c r="J29" s="32">
        <v>13.536666666666667</v>
      </c>
      <c r="K29">
        <v>20</v>
      </c>
      <c r="L29">
        <f>0.151-0.064</f>
        <v>8.6999999999999994E-2</v>
      </c>
      <c r="M29">
        <v>0.185</v>
      </c>
      <c r="R29" s="19">
        <v>2</v>
      </c>
      <c r="S29" s="28">
        <v>39770000</v>
      </c>
      <c r="T29">
        <v>4.0270000000000001</v>
      </c>
      <c r="U29" t="s">
        <v>235</v>
      </c>
      <c r="V29" t="s">
        <v>236</v>
      </c>
      <c r="W29" t="s">
        <v>237</v>
      </c>
      <c r="X29" t="s">
        <v>238</v>
      </c>
      <c r="Y29" s="20" t="s">
        <v>239</v>
      </c>
      <c r="AA29">
        <v>0.25974284483425247</v>
      </c>
      <c r="AB29" s="20">
        <v>0.37057031448486238</v>
      </c>
      <c r="AC29">
        <f t="shared" si="0"/>
        <v>20</v>
      </c>
      <c r="AD29">
        <v>1</v>
      </c>
      <c r="AE29">
        <v>1</v>
      </c>
      <c r="AF29">
        <f>0.207-0.044</f>
        <v>0.16299999999999998</v>
      </c>
      <c r="AG29">
        <f>0.125-0.041</f>
        <v>8.3999999999999991E-2</v>
      </c>
      <c r="AH29">
        <f>0.241-0.041</f>
        <v>0.19999999999999998</v>
      </c>
      <c r="AI29" s="43">
        <v>91201.691370773129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6.7027509697038584E-4</v>
      </c>
      <c r="AU29">
        <v>4.1279345067963993E-4</v>
      </c>
      <c r="AV29">
        <v>7.3620379503304683E-4</v>
      </c>
      <c r="AW29">
        <v>4.9333851422688672E-4</v>
      </c>
      <c r="AX29">
        <v>9.1201365653347591E-3</v>
      </c>
      <c r="AY29">
        <v>3.8963674490980647E-3</v>
      </c>
      <c r="AZ29">
        <v>2.4448558864903422E-3</v>
      </c>
      <c r="BA29">
        <v>1.5907650050581246E-3</v>
      </c>
      <c r="BD29">
        <v>2.6206657479907712E-3</v>
      </c>
      <c r="BE29">
        <v>1.6612419356619656E-3</v>
      </c>
      <c r="BF29">
        <v>1.6333834945024238E-2</v>
      </c>
      <c r="BG29">
        <v>1.061684618882147E-2</v>
      </c>
      <c r="BH29">
        <v>1.7861183116809218E-2</v>
      </c>
      <c r="BI29">
        <v>1.1316581428388177E-2</v>
      </c>
      <c r="BJ29">
        <v>5.2193552632939883E-3</v>
      </c>
      <c r="BK29">
        <v>3.3778586025126635E-3</v>
      </c>
      <c r="BL29">
        <v>1.8569916620982821E-3</v>
      </c>
      <c r="BM29">
        <v>1.1880396873218905E-3</v>
      </c>
      <c r="BN29">
        <v>2.939321121960299E-3</v>
      </c>
      <c r="BO29">
        <v>1.8777067939451913E-3</v>
      </c>
      <c r="BP29">
        <v>0</v>
      </c>
      <c r="BQ29">
        <v>0</v>
      </c>
      <c r="BR29">
        <v>2.7404362161379384E-2</v>
      </c>
      <c r="BS29">
        <v>1.7473244723280854E-2</v>
      </c>
      <c r="BT29">
        <v>0</v>
      </c>
      <c r="BU29">
        <v>0</v>
      </c>
      <c r="BV29">
        <v>1.3674710789830251E-2</v>
      </c>
      <c r="BW29">
        <v>8.5327426695364587E-3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 s="39">
        <v>0.10088189615221495</v>
      </c>
      <c r="DG29" s="58">
        <v>6.2437526448531379E-2</v>
      </c>
      <c r="DH29" s="19">
        <f>11</f>
        <v>11</v>
      </c>
      <c r="DI29">
        <f>0.22-0.078</f>
        <v>0.14200000000000002</v>
      </c>
      <c r="DJ29">
        <f>0.37-0.054</f>
        <v>0.316</v>
      </c>
      <c r="DK29">
        <v>99.708843185311196</v>
      </c>
      <c r="DL29">
        <v>0.12962486760721201</v>
      </c>
      <c r="DM29">
        <v>2.7064277383955898E-4</v>
      </c>
      <c r="DN29">
        <v>143</v>
      </c>
      <c r="DO29">
        <v>0.99938136041918801</v>
      </c>
      <c r="DP29" s="28">
        <v>2.55075805791811E-228</v>
      </c>
      <c r="DQ29">
        <v>-2.8116181314487999E-2</v>
      </c>
      <c r="DR29">
        <v>2.6621416368489899E-4</v>
      </c>
      <c r="DS29">
        <v>150</v>
      </c>
      <c r="DT29">
        <v>0.98681708326175499</v>
      </c>
      <c r="DU29" s="28">
        <v>3.04322562238935E-141</v>
      </c>
      <c r="DV29">
        <v>48.449313640864403</v>
      </c>
      <c r="DW29">
        <v>4.9326129886434401E-2</v>
      </c>
      <c r="DX29">
        <v>1.7603980378012499E-4</v>
      </c>
      <c r="DY29">
        <v>146</v>
      </c>
      <c r="DZ29">
        <v>0.99815651398860705</v>
      </c>
      <c r="EA29" s="28">
        <v>5.3959697935358699E-199</v>
      </c>
      <c r="EB29">
        <v>-3.00436119499797E-2</v>
      </c>
      <c r="EC29">
        <v>2.4257929353350001E-4</v>
      </c>
      <c r="ED29">
        <v>144</v>
      </c>
      <c r="EE29">
        <v>0.99076286611660103</v>
      </c>
      <c r="EF29" s="28">
        <v>1.4580152747370801E-146</v>
      </c>
      <c r="EG29" s="49">
        <v>45600.845685386565</v>
      </c>
      <c r="EH29">
        <v>224</v>
      </c>
      <c r="EI29" s="58">
        <v>0.25</v>
      </c>
      <c r="EJ29" s="28">
        <v>4.5502657556403571E-2</v>
      </c>
      <c r="EK29">
        <v>50</v>
      </c>
      <c r="EL29" s="20">
        <v>450</v>
      </c>
      <c r="EM29" s="49">
        <v>3.8155025199268499E-11</v>
      </c>
      <c r="EN29" s="53">
        <v>5.1879999999999998E-5</v>
      </c>
    </row>
    <row r="30" spans="1:144" x14ac:dyDescent="0.3">
      <c r="B30">
        <v>1.75</v>
      </c>
      <c r="C30" t="s">
        <v>159</v>
      </c>
      <c r="D30" t="s">
        <v>259</v>
      </c>
      <c r="E30" s="61" t="s">
        <v>254</v>
      </c>
      <c r="F30" s="19">
        <f>(9914-9239)/500</f>
        <v>1.35</v>
      </c>
      <c r="G30" s="20">
        <f>(9967-9248)/500</f>
        <v>1.4379999999999999</v>
      </c>
      <c r="H30" s="19">
        <f>25/2</f>
        <v>12.5</v>
      </c>
      <c r="I30">
        <v>59.68333333333333</v>
      </c>
      <c r="J30" s="32">
        <v>14.549999999999997</v>
      </c>
      <c r="K30">
        <v>20</v>
      </c>
      <c r="L30">
        <f>0.167-0.064</f>
        <v>0.10300000000000001</v>
      </c>
      <c r="M30">
        <v>0.21199999999999999</v>
      </c>
      <c r="R30" s="19">
        <v>2</v>
      </c>
      <c r="S30" s="28">
        <v>41140000</v>
      </c>
      <c r="T30">
        <v>3.8130000000000002</v>
      </c>
      <c r="U30" t="s">
        <v>165</v>
      </c>
      <c r="V30" t="s">
        <v>240</v>
      </c>
      <c r="W30" t="s">
        <v>241</v>
      </c>
      <c r="X30" t="s">
        <v>242</v>
      </c>
      <c r="Y30" s="20" t="s">
        <v>243</v>
      </c>
      <c r="AA30">
        <v>0.38658345207981293</v>
      </c>
      <c r="AB30" s="20">
        <v>0.29597653790498113</v>
      </c>
      <c r="AC30">
        <f t="shared" si="0"/>
        <v>20</v>
      </c>
      <c r="AD30">
        <v>1</v>
      </c>
      <c r="AE30">
        <v>1</v>
      </c>
      <c r="AF30">
        <f>0.21-0.044</f>
        <v>0.16599999999999998</v>
      </c>
      <c r="AG30">
        <f>0.128-0.041</f>
        <v>8.6999999999999994E-2</v>
      </c>
      <c r="AH30">
        <f>0.245-0.041</f>
        <v>0.20399999999999999</v>
      </c>
      <c r="AI30" s="43">
        <v>188103.48845221958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4.9569127792517651E-4</v>
      </c>
      <c r="AU30">
        <v>4.2353585736655558E-4</v>
      </c>
      <c r="AV30">
        <v>6.233693343604493E-4</v>
      </c>
      <c r="AW30">
        <v>4.3575323786751392E-4</v>
      </c>
      <c r="AX30">
        <v>4.1983549145480853E-3</v>
      </c>
      <c r="AY30">
        <v>3.9462139018095416E-3</v>
      </c>
      <c r="AZ30">
        <v>1.5434023880852084E-3</v>
      </c>
      <c r="BA30">
        <v>1.5760420846236251E-3</v>
      </c>
      <c r="BD30">
        <v>1.6898566292903741E-3</v>
      </c>
      <c r="BE30">
        <v>1.6819260489652637E-3</v>
      </c>
      <c r="BF30">
        <v>1.3455014006105359E-2</v>
      </c>
      <c r="BG30">
        <v>1.3467625772223071E-2</v>
      </c>
      <c r="BH30">
        <v>1.3274762632314386E-2</v>
      </c>
      <c r="BI30">
        <v>1.3113321737695279E-2</v>
      </c>
      <c r="BJ30">
        <v>4.0218587777110905E-3</v>
      </c>
      <c r="BK30">
        <v>3.9217791408076253E-3</v>
      </c>
      <c r="BL30">
        <v>1.4307452794658502E-3</v>
      </c>
      <c r="BM30">
        <v>1.3846364567752776E-3</v>
      </c>
      <c r="BN30">
        <v>4.393627236154973E-3</v>
      </c>
      <c r="BO30">
        <v>4.2883005558363744E-3</v>
      </c>
      <c r="BP30">
        <v>0</v>
      </c>
      <c r="BQ30">
        <v>0</v>
      </c>
      <c r="BR30">
        <v>2.2125856132841969E-2</v>
      </c>
      <c r="BS30">
        <v>2.1380415876677085E-2</v>
      </c>
      <c r="BT30">
        <v>0</v>
      </c>
      <c r="BU30">
        <v>0</v>
      </c>
      <c r="BV30">
        <v>1.0402006362520748E-2</v>
      </c>
      <c r="BW30">
        <v>1.0054904152288708E-2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 s="39">
        <v>7.765454497132368E-2</v>
      </c>
      <c r="DG30" s="58">
        <v>7.5674454822935916E-2</v>
      </c>
      <c r="DH30" s="19">
        <v>11</v>
      </c>
      <c r="DI30">
        <f>0.256-0.076</f>
        <v>0.18</v>
      </c>
      <c r="DJ30">
        <f>0.436-0.053</f>
        <v>0.38300000000000001</v>
      </c>
      <c r="DK30">
        <v>48.372029998781301</v>
      </c>
      <c r="DL30">
        <v>2.45232013117463E-2</v>
      </c>
      <c r="DM30">
        <v>1.6312668128335499E-4</v>
      </c>
      <c r="DN30">
        <v>150</v>
      </c>
      <c r="DO30">
        <v>0.99344991197727095</v>
      </c>
      <c r="DP30" s="28">
        <v>1.00773236893679E-163</v>
      </c>
      <c r="DQ30">
        <v>-4.5873451665856303E-2</v>
      </c>
      <c r="DR30">
        <v>1.29232504310285E-4</v>
      </c>
      <c r="DS30">
        <v>225</v>
      </c>
      <c r="DT30">
        <v>0.99822539883053596</v>
      </c>
      <c r="DU30" s="28">
        <v>0</v>
      </c>
      <c r="DV30">
        <v>99.887109553797998</v>
      </c>
      <c r="DW30">
        <v>8.2825164299346901E-2</v>
      </c>
      <c r="DX30">
        <v>3.82389587543985E-4</v>
      </c>
      <c r="DY30">
        <v>99</v>
      </c>
      <c r="DZ30">
        <v>0.99791542956373502</v>
      </c>
      <c r="EA30" s="28">
        <v>4.6146909664301497E-132</v>
      </c>
      <c r="EB30">
        <v>-4.3200569983827403E-2</v>
      </c>
      <c r="EC30">
        <v>2.1334124143866301E-4</v>
      </c>
      <c r="ED30">
        <v>118</v>
      </c>
      <c r="EE30">
        <v>0.99715468946802899</v>
      </c>
      <c r="EF30" s="28">
        <v>9.8329189668995203E-150</v>
      </c>
      <c r="EG30" s="49">
        <v>94051.744226109789</v>
      </c>
      <c r="EH30">
        <v>231</v>
      </c>
      <c r="EI30" s="58">
        <v>0.5</v>
      </c>
      <c r="EJ30" s="28">
        <v>4.5502657556403571E-2</v>
      </c>
      <c r="EK30">
        <v>50</v>
      </c>
      <c r="EL30" s="20">
        <v>450</v>
      </c>
      <c r="EM30" s="49">
        <v>2.8488109232869499E-11</v>
      </c>
      <c r="EN30" s="53">
        <v>5.1879999999999998E-5</v>
      </c>
    </row>
    <row r="31" spans="1:144" s="34" customFormat="1" ht="15" thickBot="1" x14ac:dyDescent="0.35">
      <c r="A31" s="26"/>
      <c r="B31" s="34">
        <v>1.75</v>
      </c>
      <c r="C31" s="34" t="s">
        <v>160</v>
      </c>
      <c r="D31" t="s">
        <v>259</v>
      </c>
      <c r="E31" s="62" t="s">
        <v>255</v>
      </c>
      <c r="F31" s="26">
        <f>(10067-9364)/500</f>
        <v>1.4059999999999999</v>
      </c>
      <c r="G31" s="41">
        <f>(9937-9185)/500</f>
        <v>1.504</v>
      </c>
      <c r="H31" s="26">
        <f>25/2</f>
        <v>12.5</v>
      </c>
      <c r="I31" s="34">
        <v>65.473333333333329</v>
      </c>
      <c r="J31" s="33">
        <v>13.383333333333333</v>
      </c>
      <c r="K31" s="34">
        <v>20</v>
      </c>
      <c r="L31" s="34">
        <f>0.177-0.064</f>
        <v>0.11299999999999999</v>
      </c>
      <c r="M31" s="34">
        <v>0.219</v>
      </c>
      <c r="P31" s="26"/>
      <c r="Q31" s="41"/>
      <c r="R31" s="26">
        <v>2</v>
      </c>
      <c r="S31" s="29">
        <v>48190000</v>
      </c>
      <c r="T31" s="34">
        <v>3.78</v>
      </c>
      <c r="U31" s="34">
        <v>2.573</v>
      </c>
      <c r="V31" s="34">
        <v>2.919</v>
      </c>
      <c r="W31" s="34">
        <v>3.6139999999999999</v>
      </c>
      <c r="X31" s="34">
        <v>4.3719999999999999</v>
      </c>
      <c r="Y31" s="41">
        <v>5.1609999999999996</v>
      </c>
      <c r="Z31" s="26"/>
      <c r="AA31" s="34">
        <v>0.4510896324198152</v>
      </c>
      <c r="AB31" s="41">
        <v>0.39033462290451842</v>
      </c>
      <c r="AC31" s="34">
        <f t="shared" si="0"/>
        <v>20</v>
      </c>
      <c r="AD31" s="34">
        <v>1</v>
      </c>
      <c r="AE31" s="34">
        <v>1</v>
      </c>
      <c r="AF31" s="34">
        <f>0.191-0.044</f>
        <v>0.14700000000000002</v>
      </c>
      <c r="AG31" s="34">
        <f>0.114-0.041</f>
        <v>7.3000000000000009E-2</v>
      </c>
      <c r="AH31" s="34">
        <f>0.214-0.041</f>
        <v>0.17299999999999999</v>
      </c>
      <c r="AI31" s="44">
        <v>345263.54590364115</v>
      </c>
      <c r="AJ31" s="34">
        <v>0</v>
      </c>
      <c r="AK31" s="34">
        <v>0</v>
      </c>
      <c r="AL31" s="34">
        <v>0</v>
      </c>
      <c r="AM31" s="34">
        <v>0</v>
      </c>
      <c r="AN31" s="34">
        <v>0</v>
      </c>
      <c r="AO31" s="34">
        <v>0</v>
      </c>
      <c r="AP31" s="34">
        <v>0</v>
      </c>
      <c r="AQ31" s="34">
        <v>0</v>
      </c>
      <c r="AR31" s="34">
        <v>0</v>
      </c>
      <c r="AS31" s="34">
        <v>0</v>
      </c>
      <c r="AT31" s="34">
        <v>5.5592585308186912E-4</v>
      </c>
      <c r="AU31" s="34">
        <v>5.2781308476832129E-4</v>
      </c>
      <c r="AV31" s="34">
        <v>5.9344232169475592E-4</v>
      </c>
      <c r="AW31" s="34">
        <v>4.7097167563942515E-4</v>
      </c>
      <c r="AX31" s="34">
        <v>5.4842255935929176E-3</v>
      </c>
      <c r="AY31" s="34">
        <v>3.808374411636041E-3</v>
      </c>
      <c r="AZ31" s="34">
        <v>1.1220834703308891E-3</v>
      </c>
      <c r="BA31" s="34">
        <v>1.1368281825779227E-3</v>
      </c>
      <c r="BD31" s="34">
        <v>1.4324469834011352E-3</v>
      </c>
      <c r="BE31" s="34">
        <v>1.3844943223538274E-3</v>
      </c>
      <c r="BF31" s="34">
        <v>1.6609563831341732E-2</v>
      </c>
      <c r="BG31" s="34">
        <v>1.6013036971740453E-2</v>
      </c>
      <c r="BH31" s="34">
        <v>1.4007285144829672E-2</v>
      </c>
      <c r="BI31" s="34">
        <v>1.404388815548941E-2</v>
      </c>
      <c r="BJ31" s="34">
        <v>4.6281679916079536E-3</v>
      </c>
      <c r="BK31" s="34">
        <v>4.5676132335720114E-3</v>
      </c>
      <c r="BL31" s="34">
        <v>2.5920469223449116E-3</v>
      </c>
      <c r="BM31" s="34">
        <v>2.5903442160168382E-3</v>
      </c>
      <c r="BN31" s="34">
        <v>1.6033174449925563E-2</v>
      </c>
      <c r="BO31" s="34">
        <v>1.622416220564778E-2</v>
      </c>
      <c r="BP31" s="34">
        <v>0</v>
      </c>
      <c r="BQ31" s="34">
        <v>0</v>
      </c>
      <c r="BR31" s="34">
        <v>2.5695370411771792E-2</v>
      </c>
      <c r="BS31" s="34">
        <v>2.5493371994309916E-2</v>
      </c>
      <c r="BT31" s="34">
        <v>0</v>
      </c>
      <c r="BU31" s="34">
        <v>0</v>
      </c>
      <c r="BV31" s="34">
        <v>1.1306099404701815E-2</v>
      </c>
      <c r="BW31" s="34">
        <v>1.11571565918719E-2</v>
      </c>
      <c r="BX31" s="34">
        <v>0</v>
      </c>
      <c r="BY31" s="34">
        <v>0</v>
      </c>
      <c r="BZ31" s="34">
        <v>0</v>
      </c>
      <c r="CA31" s="34">
        <v>0</v>
      </c>
      <c r="CB31" s="34">
        <v>0</v>
      </c>
      <c r="CC31" s="34">
        <v>0</v>
      </c>
      <c r="CD31" s="34">
        <v>0</v>
      </c>
      <c r="CE31" s="34">
        <v>0</v>
      </c>
      <c r="CF31" s="34">
        <v>0</v>
      </c>
      <c r="CG31" s="34">
        <v>0</v>
      </c>
      <c r="CH31" s="34">
        <v>0</v>
      </c>
      <c r="CI31" s="34">
        <v>0</v>
      </c>
      <c r="CJ31" s="34">
        <v>0</v>
      </c>
      <c r="CK31" s="34">
        <v>0</v>
      </c>
      <c r="CL31" s="34">
        <v>0</v>
      </c>
      <c r="CM31" s="34">
        <v>0</v>
      </c>
      <c r="CN31" s="34">
        <v>0</v>
      </c>
      <c r="CO31" s="34">
        <v>0</v>
      </c>
      <c r="CP31" s="34">
        <v>0</v>
      </c>
      <c r="CQ31" s="34">
        <v>0</v>
      </c>
      <c r="CR31" s="34">
        <v>0</v>
      </c>
      <c r="CS31" s="34">
        <v>0</v>
      </c>
      <c r="CT31" s="34">
        <v>0</v>
      </c>
      <c r="CU31" s="34">
        <v>0</v>
      </c>
      <c r="CV31" s="34">
        <v>0</v>
      </c>
      <c r="CW31" s="34">
        <v>0</v>
      </c>
      <c r="CX31" s="34">
        <v>0</v>
      </c>
      <c r="CY31" s="34">
        <v>0</v>
      </c>
      <c r="CZ31" s="34">
        <v>0</v>
      </c>
      <c r="DA31" s="34">
        <v>0</v>
      </c>
      <c r="DB31" s="34">
        <v>0</v>
      </c>
      <c r="DC31" s="34">
        <v>0</v>
      </c>
      <c r="DD31" s="34">
        <v>0</v>
      </c>
      <c r="DE31" s="34">
        <v>0</v>
      </c>
      <c r="DF31" s="40">
        <v>0.10005983237862499</v>
      </c>
      <c r="DG31" s="59">
        <v>9.7418055045623841E-2</v>
      </c>
      <c r="DH31" s="26">
        <v>11</v>
      </c>
      <c r="DI31" s="34">
        <f>0.267-0.077</f>
        <v>0.19</v>
      </c>
      <c r="DJ31" s="34">
        <f>0.43-0.054</f>
        <v>0.376</v>
      </c>
      <c r="DK31" s="34">
        <v>99.835363553379196</v>
      </c>
      <c r="DL31" s="34">
        <v>5.7141925511922202E-2</v>
      </c>
      <c r="DM31" s="34">
        <v>1.8681036652959301E-4</v>
      </c>
      <c r="DN31" s="34">
        <v>144</v>
      </c>
      <c r="DO31" s="34">
        <v>0.99847394698860703</v>
      </c>
      <c r="DP31" s="29">
        <v>4.3894777593954601E-202</v>
      </c>
      <c r="DQ31" s="34">
        <v>-4.7334527455933598E-2</v>
      </c>
      <c r="DR31" s="34">
        <v>3.4513526583678899E-4</v>
      </c>
      <c r="DS31" s="34">
        <v>148</v>
      </c>
      <c r="DT31" s="34">
        <v>0.99224499778507003</v>
      </c>
      <c r="DU31" s="29">
        <v>3.49743662706265E-156</v>
      </c>
      <c r="DV31" s="34">
        <v>50.997526955788899</v>
      </c>
      <c r="DW31" s="34">
        <v>2.40705537908282E-2</v>
      </c>
      <c r="DX31" s="34">
        <v>1.3095921739816901E-4</v>
      </c>
      <c r="DY31" s="34">
        <v>216</v>
      </c>
      <c r="DZ31" s="34">
        <v>0.99367593875677795</v>
      </c>
      <c r="EA31" s="29">
        <v>1.6885813403719799E-237</v>
      </c>
      <c r="EB31" s="34">
        <v>-5.2731492025812399E-2</v>
      </c>
      <c r="EC31" s="34">
        <v>1.6335275116117199E-4</v>
      </c>
      <c r="ED31" s="34">
        <v>134</v>
      </c>
      <c r="EE31" s="34">
        <v>0.99872528047281595</v>
      </c>
      <c r="EF31" s="29">
        <v>3.8206625165198699E-193</v>
      </c>
      <c r="EG31" s="50">
        <v>172631.77295182057</v>
      </c>
      <c r="EH31" s="34">
        <v>212</v>
      </c>
      <c r="EI31" s="59">
        <v>1</v>
      </c>
      <c r="EJ31" s="29">
        <v>4.5502657556403571E-2</v>
      </c>
      <c r="EK31" s="34">
        <v>50</v>
      </c>
      <c r="EL31" s="41">
        <v>450</v>
      </c>
      <c r="EM31" s="50">
        <v>2.3903859683152601E-11</v>
      </c>
      <c r="EN31" s="54">
        <v>5.1879999999999998E-5</v>
      </c>
    </row>
    <row r="32" spans="1:144" s="2" customFormat="1" x14ac:dyDescent="0.3">
      <c r="A32" s="23">
        <v>44498</v>
      </c>
      <c r="B32" s="2">
        <v>3.75</v>
      </c>
      <c r="C32" s="2" t="s">
        <v>152</v>
      </c>
      <c r="D32" s="2" t="s">
        <v>256</v>
      </c>
      <c r="E32" s="60" t="s">
        <v>253</v>
      </c>
      <c r="F32" s="25">
        <f>(9655-9235)/1500</f>
        <v>0.28000000000000003</v>
      </c>
      <c r="G32" s="24"/>
      <c r="H32" s="25">
        <v>2.5</v>
      </c>
      <c r="I32" s="4">
        <v>65.680000000000007</v>
      </c>
      <c r="J32" s="24">
        <v>5.601</v>
      </c>
      <c r="K32" s="2">
        <v>1</v>
      </c>
      <c r="L32" s="2">
        <v>0.46800000000000003</v>
      </c>
      <c r="P32" s="25"/>
      <c r="Q32" s="24"/>
      <c r="R32" s="25">
        <v>1</v>
      </c>
      <c r="S32" s="27">
        <v>19710000</v>
      </c>
      <c r="T32" s="2">
        <v>3.399</v>
      </c>
      <c r="U32" s="2">
        <v>2.7210000000000001</v>
      </c>
      <c r="V32" s="2">
        <v>2.952</v>
      </c>
      <c r="W32" s="2">
        <v>3.24</v>
      </c>
      <c r="X32" s="2">
        <v>3.6</v>
      </c>
      <c r="Y32" s="24">
        <v>4.181</v>
      </c>
      <c r="Z32" s="25"/>
      <c r="AA32" s="2">
        <v>0.21779758330281929</v>
      </c>
      <c r="AB32" s="24">
        <v>0.21594574880995968</v>
      </c>
      <c r="AC32" s="2">
        <f t="shared" si="0"/>
        <v>1</v>
      </c>
      <c r="AD32" s="2">
        <v>1</v>
      </c>
      <c r="AE32" s="2">
        <v>1</v>
      </c>
      <c r="AF32" s="2">
        <f>0.305-0.048</f>
        <v>0.25700000000000001</v>
      </c>
      <c r="AG32" s="2">
        <f>0.153-0.045</f>
        <v>0.108</v>
      </c>
      <c r="AH32" s="2">
        <f>0.306-0.045</f>
        <v>0.26100000000000001</v>
      </c>
      <c r="AI32" s="42">
        <v>169031.94670148296</v>
      </c>
      <c r="AJ32" s="2">
        <v>0</v>
      </c>
      <c r="AL32" s="2">
        <v>0</v>
      </c>
      <c r="AN32" s="2">
        <v>0</v>
      </c>
      <c r="AP32" s="2">
        <v>0</v>
      </c>
      <c r="AR32" s="2">
        <v>0</v>
      </c>
      <c r="AT32" s="2">
        <v>9.3449741583130229E-4</v>
      </c>
      <c r="AV32" s="2">
        <v>3.0365819919461078E-4</v>
      </c>
      <c r="AX32" s="2">
        <v>1.9481170384950033E-3</v>
      </c>
      <c r="AZ32" s="2">
        <v>7.6769925007651608E-4</v>
      </c>
      <c r="BD32" s="2">
        <v>8.1688332459395308E-4</v>
      </c>
      <c r="BF32" s="2">
        <v>3.8000043659776293E-2</v>
      </c>
      <c r="BH32" s="2">
        <v>1.793721813270701E-2</v>
      </c>
      <c r="BJ32" s="2">
        <v>1.1665179412722548E-2</v>
      </c>
      <c r="BL32" s="2">
        <v>3.8705728207200394E-4</v>
      </c>
      <c r="BN32" s="2">
        <v>0.1448834529002343</v>
      </c>
      <c r="BP32" s="2">
        <v>3.6182371340653628E-2</v>
      </c>
      <c r="BR32" s="2">
        <v>0</v>
      </c>
      <c r="BT32" s="2">
        <v>0</v>
      </c>
      <c r="BV32" s="2">
        <v>0</v>
      </c>
      <c r="BX32" s="2">
        <v>2.6561538677438455E-2</v>
      </c>
      <c r="BZ32" s="2">
        <v>3.1007351326210259E-4</v>
      </c>
      <c r="CB32" s="2">
        <v>7.6983768809901331E-4</v>
      </c>
      <c r="CD32" s="2">
        <v>0</v>
      </c>
      <c r="CF32" s="2">
        <v>0</v>
      </c>
      <c r="CH32" s="2">
        <v>0</v>
      </c>
      <c r="CJ32" s="2">
        <v>0</v>
      </c>
      <c r="CL32" s="2">
        <v>0</v>
      </c>
      <c r="CN32" s="2">
        <v>0</v>
      </c>
      <c r="CP32" s="2">
        <v>0</v>
      </c>
      <c r="CR32" s="2">
        <v>0</v>
      </c>
      <c r="CT32" s="2">
        <v>0</v>
      </c>
      <c r="CV32" s="2">
        <v>0</v>
      </c>
      <c r="CX32" s="2">
        <v>0</v>
      </c>
      <c r="CZ32" s="2">
        <v>0</v>
      </c>
      <c r="DB32" s="2">
        <v>0</v>
      </c>
      <c r="DD32" s="2">
        <v>0</v>
      </c>
      <c r="DF32" s="37">
        <v>0.28146762783515672</v>
      </c>
      <c r="DG32" s="57"/>
      <c r="DH32" s="25">
        <v>2</v>
      </c>
      <c r="DI32" s="2">
        <f>0.318-0.078</f>
        <v>0.24</v>
      </c>
      <c r="DJ32" s="2">
        <f>0.378-0.054</f>
        <v>0.32400000000000001</v>
      </c>
      <c r="DK32" s="2">
        <v>50.802123027601098</v>
      </c>
      <c r="DL32" s="2">
        <v>-3.31638226416291E-3</v>
      </c>
      <c r="DM32" s="2">
        <v>3.05702319383721E-4</v>
      </c>
      <c r="DN32" s="2">
        <v>95</v>
      </c>
      <c r="DO32" s="2">
        <v>0.55384237213504195</v>
      </c>
      <c r="DP32" s="27">
        <v>3.34704833208606E-18</v>
      </c>
      <c r="DQ32" s="2">
        <v>-2.5258170948045101E-2</v>
      </c>
      <c r="DR32" s="27">
        <v>9.3796131729637297E-5</v>
      </c>
      <c r="DS32" s="2">
        <v>226</v>
      </c>
      <c r="DT32" s="2">
        <v>0.99690679202433197</v>
      </c>
      <c r="DU32" s="27">
        <v>2.7299378154951999E-283</v>
      </c>
      <c r="DV32" s="2">
        <v>100.193337558523</v>
      </c>
      <c r="DW32" s="2">
        <v>1.2542168792752601E-2</v>
      </c>
      <c r="DX32" s="2">
        <v>3.1235875832029799E-4</v>
      </c>
      <c r="DY32" s="2">
        <v>86</v>
      </c>
      <c r="DZ32" s="2">
        <v>0.94989006756588801</v>
      </c>
      <c r="EA32" s="27">
        <v>1.3496129744859699E-56</v>
      </c>
      <c r="EB32" s="2">
        <v>-2.4785495821482401E-2</v>
      </c>
      <c r="EC32" s="2">
        <v>1.85374723381876E-4</v>
      </c>
      <c r="ED32" s="2">
        <v>128</v>
      </c>
      <c r="EE32" s="2">
        <v>0.99294561292002403</v>
      </c>
      <c r="EF32" s="27">
        <v>1.2275501938514799E-137</v>
      </c>
      <c r="EG32" s="48">
        <v>84275.103818706819</v>
      </c>
      <c r="EH32" s="2">
        <v>210</v>
      </c>
      <c r="EI32" s="57">
        <v>0.25</v>
      </c>
      <c r="EJ32" s="27">
        <v>3.4390168774157327E-2</v>
      </c>
      <c r="EK32" s="2">
        <v>80</v>
      </c>
      <c r="EL32" s="24">
        <v>310</v>
      </c>
      <c r="EM32" s="48">
        <v>9.34492978655782E-12</v>
      </c>
      <c r="EN32" s="52">
        <v>5.1879999999999998E-5</v>
      </c>
    </row>
    <row r="33" spans="1:144" x14ac:dyDescent="0.3">
      <c r="B33">
        <v>3.75</v>
      </c>
      <c r="C33" t="s">
        <v>153</v>
      </c>
      <c r="D33" t="s">
        <v>257</v>
      </c>
      <c r="E33" s="61" t="s">
        <v>254</v>
      </c>
      <c r="F33" s="19">
        <f>(9412-9109)/1000</f>
        <v>0.30299999999999999</v>
      </c>
      <c r="H33" s="19">
        <v>2.5</v>
      </c>
      <c r="I33">
        <v>72.193333333333342</v>
      </c>
      <c r="J33" s="20">
        <v>4.9816666666666665</v>
      </c>
      <c r="K33">
        <v>1</v>
      </c>
      <c r="L33">
        <v>0.51</v>
      </c>
      <c r="R33" s="19">
        <v>1</v>
      </c>
      <c r="S33" s="28">
        <v>17990000</v>
      </c>
      <c r="T33">
        <v>3.5920000000000001</v>
      </c>
      <c r="U33">
        <v>2.8260000000000001</v>
      </c>
      <c r="V33">
        <v>3.0859999999999999</v>
      </c>
      <c r="W33">
        <v>3.4260000000000002</v>
      </c>
      <c r="X33">
        <v>3.8809999999999998</v>
      </c>
      <c r="Y33" s="20">
        <v>4.5010000000000003</v>
      </c>
      <c r="AA33">
        <v>0.2428212742585133</v>
      </c>
      <c r="AB33" s="20">
        <v>0.23897768406166747</v>
      </c>
      <c r="AC33">
        <f t="shared" si="0"/>
        <v>1</v>
      </c>
      <c r="AD33">
        <v>1</v>
      </c>
      <c r="AE33">
        <v>1</v>
      </c>
      <c r="AF33">
        <f>0.254-0.048</f>
        <v>0.20600000000000002</v>
      </c>
      <c r="AG33">
        <f>0.129-0.045</f>
        <v>8.4000000000000005E-2</v>
      </c>
      <c r="AH33">
        <f>0.234-0.045</f>
        <v>0.189</v>
      </c>
      <c r="AI33" s="43">
        <v>361161.74271098606</v>
      </c>
      <c r="AJ33">
        <v>0</v>
      </c>
      <c r="AL33">
        <v>0</v>
      </c>
      <c r="AN33">
        <v>0</v>
      </c>
      <c r="AP33">
        <v>0</v>
      </c>
      <c r="AR33">
        <v>0</v>
      </c>
      <c r="AT33">
        <v>1.343623378295478E-3</v>
      </c>
      <c r="AV33">
        <v>2.966441224808198E-4</v>
      </c>
      <c r="AX33">
        <v>2.3557033255829805E-3</v>
      </c>
      <c r="AZ33">
        <v>9.073820217060369E-4</v>
      </c>
      <c r="BD33">
        <v>1.2447420041352046E-3</v>
      </c>
      <c r="BF33">
        <v>6.1661261616062168E-2</v>
      </c>
      <c r="BH33">
        <v>2.1433991987094527E-2</v>
      </c>
      <c r="BJ33">
        <v>2.0823254087869312E-2</v>
      </c>
      <c r="BL33">
        <v>6.6890341343714269E-4</v>
      </c>
      <c r="BN33">
        <v>0.25823161689526419</v>
      </c>
      <c r="BP33">
        <v>0</v>
      </c>
      <c r="BR33">
        <v>4.9260373986079665E-2</v>
      </c>
      <c r="BT33">
        <v>0</v>
      </c>
      <c r="BV33">
        <v>0</v>
      </c>
      <c r="BX33">
        <v>4.4054560464112338E-2</v>
      </c>
      <c r="BZ33">
        <v>5.5838893643448437E-4</v>
      </c>
      <c r="CB33">
        <v>1.0935116671841984E-3</v>
      </c>
      <c r="CD33">
        <v>0</v>
      </c>
      <c r="CF33">
        <v>0</v>
      </c>
      <c r="CH33">
        <v>0</v>
      </c>
      <c r="CJ33">
        <v>0</v>
      </c>
      <c r="CL33">
        <v>0</v>
      </c>
      <c r="CN33">
        <v>0</v>
      </c>
      <c r="CP33">
        <v>0</v>
      </c>
      <c r="CR33">
        <v>0</v>
      </c>
      <c r="CT33">
        <v>0</v>
      </c>
      <c r="CV33">
        <v>0</v>
      </c>
      <c r="CX33">
        <v>0</v>
      </c>
      <c r="CZ33">
        <v>0</v>
      </c>
      <c r="DB33">
        <v>0</v>
      </c>
      <c r="DD33">
        <v>0</v>
      </c>
      <c r="DF33" s="39">
        <v>0.4639339579057386</v>
      </c>
      <c r="DG33" s="58"/>
      <c r="DH33" s="19">
        <v>2</v>
      </c>
      <c r="DI33">
        <f>0.344-0.077</f>
        <v>0.26699999999999996</v>
      </c>
      <c r="DJ33">
        <f>0.394-0.054</f>
        <v>0.34</v>
      </c>
      <c r="DK33">
        <v>100.172777134277</v>
      </c>
      <c r="DL33">
        <v>-7.1803571181543197E-3</v>
      </c>
      <c r="DM33">
        <v>1.7542064508959001E-4</v>
      </c>
      <c r="DN33">
        <v>141</v>
      </c>
      <c r="DO33">
        <v>0.92284150282940203</v>
      </c>
      <c r="DP33" s="28">
        <v>2.01142881620967E-79</v>
      </c>
      <c r="DQ33">
        <v>-3.7606900011220301E-2</v>
      </c>
      <c r="DR33">
        <v>1.6955803199575399E-4</v>
      </c>
      <c r="DS33">
        <v>146</v>
      </c>
      <c r="DT33">
        <v>0.99706099569832995</v>
      </c>
      <c r="DU33" s="28">
        <v>2.0732424251480701E-184</v>
      </c>
      <c r="DV33">
        <v>51.680072318175</v>
      </c>
      <c r="DW33">
        <v>-1.25818422763349E-2</v>
      </c>
      <c r="DX33" s="28">
        <v>1.1837751389848701E-4</v>
      </c>
      <c r="DY33">
        <v>180</v>
      </c>
      <c r="DZ33">
        <v>0.98440040874225798</v>
      </c>
      <c r="EA33" s="28">
        <v>5.6235934963401499E-163</v>
      </c>
      <c r="EB33">
        <v>-3.7926115915805601E-2</v>
      </c>
      <c r="EC33">
        <v>1.9760307632792499E-4</v>
      </c>
      <c r="ED33">
        <v>141</v>
      </c>
      <c r="EE33">
        <v>0.99621380439026197</v>
      </c>
      <c r="EF33" s="28">
        <v>1.99158897189075E-170</v>
      </c>
      <c r="EG33" s="49">
        <v>179947.49954901758</v>
      </c>
      <c r="EH33">
        <v>224</v>
      </c>
      <c r="EI33" s="58">
        <v>0.5</v>
      </c>
      <c r="EJ33" s="28">
        <v>3.4390168774157327E-2</v>
      </c>
      <c r="EK33">
        <v>80</v>
      </c>
      <c r="EL33" s="20">
        <v>310</v>
      </c>
      <c r="EM33" s="49">
        <v>8.53045307679586E-12</v>
      </c>
      <c r="EN33" s="53">
        <v>5.1879999999999998E-5</v>
      </c>
    </row>
    <row r="34" spans="1:144" x14ac:dyDescent="0.3">
      <c r="B34">
        <v>3.75</v>
      </c>
      <c r="C34" t="s">
        <v>154</v>
      </c>
      <c r="D34" t="s">
        <v>256</v>
      </c>
      <c r="E34" s="61" t="s">
        <v>255</v>
      </c>
      <c r="F34" s="19">
        <f>(9766-9297)/1500</f>
        <v>0.31266666666666665</v>
      </c>
      <c r="H34" s="19">
        <f>25/10</f>
        <v>2.5</v>
      </c>
      <c r="I34">
        <v>70.666666666666671</v>
      </c>
      <c r="J34" s="20">
        <v>4.754999999999999</v>
      </c>
      <c r="K34">
        <v>1</v>
      </c>
      <c r="L34">
        <v>0.44900000000000001</v>
      </c>
      <c r="R34" s="19">
        <v>1</v>
      </c>
      <c r="S34" s="28">
        <v>11830000</v>
      </c>
      <c r="T34">
        <v>4.125</v>
      </c>
      <c r="U34">
        <v>2.8370000000000002</v>
      </c>
      <c r="V34">
        <v>3.2909999999999999</v>
      </c>
      <c r="W34">
        <v>3.871</v>
      </c>
      <c r="X34">
        <v>4.7690000000000001</v>
      </c>
      <c r="Y34" s="20">
        <v>5.7270000000000003</v>
      </c>
      <c r="AA34">
        <v>0.23554051367892451</v>
      </c>
      <c r="AB34" s="20">
        <v>0.2286576833882582</v>
      </c>
      <c r="AC34">
        <f t="shared" si="0"/>
        <v>1</v>
      </c>
      <c r="AD34">
        <v>1</v>
      </c>
      <c r="AE34">
        <v>1</v>
      </c>
      <c r="AF34">
        <f>0.225-0.048</f>
        <v>0.17699999999999999</v>
      </c>
      <c r="AG34">
        <f>0.111-0.045</f>
        <v>6.6000000000000003E-2</v>
      </c>
      <c r="AH34">
        <f>0.2-0.045</f>
        <v>0.15500000000000003</v>
      </c>
      <c r="AI34" s="43">
        <v>634645.92718629795</v>
      </c>
      <c r="AJ34">
        <v>0</v>
      </c>
      <c r="AL34">
        <v>0</v>
      </c>
      <c r="AN34">
        <v>0</v>
      </c>
      <c r="AP34">
        <v>0</v>
      </c>
      <c r="AR34">
        <v>0</v>
      </c>
      <c r="AT34">
        <v>8.1260644854895851E-4</v>
      </c>
      <c r="AV34">
        <v>2.0315161213723963E-4</v>
      </c>
      <c r="AX34">
        <v>1.5909978887379609E-3</v>
      </c>
      <c r="AZ34">
        <v>5.6454763793927648E-4</v>
      </c>
      <c r="BD34">
        <v>7.3348424171655992E-4</v>
      </c>
      <c r="BF34">
        <v>4.330978526963699E-2</v>
      </c>
      <c r="BH34">
        <v>1.597840890409952E-2</v>
      </c>
      <c r="BJ34">
        <v>1.446653322219396E-2</v>
      </c>
      <c r="BL34">
        <v>5.8593201816424902E-4</v>
      </c>
      <c r="BN34">
        <v>0.17371601275756485</v>
      </c>
      <c r="BP34">
        <v>0</v>
      </c>
      <c r="BR34">
        <v>3.2442243239305925E-2</v>
      </c>
      <c r="BT34">
        <v>0</v>
      </c>
      <c r="BV34">
        <v>0</v>
      </c>
      <c r="BX34">
        <v>3.0746461887465593E-2</v>
      </c>
      <c r="BZ34">
        <v>3.2290414139708615E-4</v>
      </c>
      <c r="CB34">
        <v>8.5109833295390913E-4</v>
      </c>
      <c r="CD34">
        <v>0</v>
      </c>
      <c r="CF34">
        <v>0</v>
      </c>
      <c r="CH34">
        <v>0</v>
      </c>
      <c r="CJ34">
        <v>0</v>
      </c>
      <c r="CL34">
        <v>0</v>
      </c>
      <c r="CN34">
        <v>0</v>
      </c>
      <c r="CP34">
        <v>0</v>
      </c>
      <c r="CR34">
        <v>0</v>
      </c>
      <c r="CT34">
        <v>0</v>
      </c>
      <c r="CV34">
        <v>0</v>
      </c>
      <c r="CX34">
        <v>0</v>
      </c>
      <c r="CZ34">
        <v>0</v>
      </c>
      <c r="DB34">
        <v>0</v>
      </c>
      <c r="DD34">
        <v>0</v>
      </c>
      <c r="DF34" s="39">
        <v>0.31632416760186211</v>
      </c>
      <c r="DG34" s="58"/>
      <c r="DH34" s="19">
        <v>2</v>
      </c>
      <c r="DI34">
        <f>0.31-0.078</f>
        <v>0.23199999999999998</v>
      </c>
      <c r="DJ34">
        <f>0.346-0.055</f>
        <v>0.29099999999999998</v>
      </c>
      <c r="DK34">
        <v>51.5902426242193</v>
      </c>
      <c r="DL34">
        <v>-2.45714788600634E-2</v>
      </c>
      <c r="DM34">
        <v>2.2702718561761899E-4</v>
      </c>
      <c r="DN34">
        <v>161</v>
      </c>
      <c r="DO34">
        <v>0.98652409639345995</v>
      </c>
      <c r="DP34" s="28">
        <v>7.7061087923153402E-151</v>
      </c>
      <c r="DQ34">
        <v>-3.4992410559131402E-2</v>
      </c>
      <c r="DR34">
        <v>2.41327962794473E-4</v>
      </c>
      <c r="DS34">
        <v>132</v>
      </c>
      <c r="DT34">
        <v>0.99380755982528601</v>
      </c>
      <c r="DU34" s="28">
        <v>1.25937001171608E-145</v>
      </c>
      <c r="DV34">
        <v>99.092072001155998</v>
      </c>
      <c r="DW34">
        <v>-1.1816650179613799E-2</v>
      </c>
      <c r="DX34">
        <v>1.83109886329251E-4</v>
      </c>
      <c r="DY34">
        <v>150</v>
      </c>
      <c r="DZ34">
        <v>0.96544945246263802</v>
      </c>
      <c r="EA34" s="28">
        <v>2.8366389362863398E-110</v>
      </c>
      <c r="EB34">
        <v>-4.3066877704050398E-2</v>
      </c>
      <c r="EC34">
        <v>1.64687258758525E-4</v>
      </c>
      <c r="ED34">
        <v>171</v>
      </c>
      <c r="EE34">
        <v>0.99752023677932</v>
      </c>
      <c r="EF34" s="28">
        <v>2.5063386561372601E-222</v>
      </c>
      <c r="EG34" s="49">
        <v>314784.84050783014</v>
      </c>
      <c r="EH34">
        <v>198</v>
      </c>
      <c r="EI34" s="58">
        <v>1</v>
      </c>
      <c r="EJ34" s="28">
        <v>3.4390168774157327E-2</v>
      </c>
      <c r="EK34">
        <v>80</v>
      </c>
      <c r="EL34" s="20">
        <v>310</v>
      </c>
      <c r="EM34" s="49">
        <v>8.1201216219010196E-12</v>
      </c>
      <c r="EN34" s="53">
        <v>5.1879999999999998E-5</v>
      </c>
    </row>
    <row r="35" spans="1:144" x14ac:dyDescent="0.3">
      <c r="B35">
        <v>3.75</v>
      </c>
      <c r="C35" t="s">
        <v>156</v>
      </c>
      <c r="D35" t="s">
        <v>258</v>
      </c>
      <c r="E35" s="61" t="s">
        <v>253</v>
      </c>
      <c r="F35" s="19">
        <f>(9586-9252)/600</f>
        <v>0.55666666666666664</v>
      </c>
      <c r="H35" s="19">
        <f>25/3</f>
        <v>8.3333333333333339</v>
      </c>
      <c r="I35">
        <v>32.133333333333333</v>
      </c>
      <c r="J35" s="20">
        <v>4.1756666666666673</v>
      </c>
      <c r="K35">
        <v>2</v>
      </c>
      <c r="L35">
        <v>0.49900000000000005</v>
      </c>
      <c r="R35" s="19">
        <v>1</v>
      </c>
      <c r="S35" s="28">
        <v>52410000</v>
      </c>
      <c r="T35">
        <v>3.1989999999999998</v>
      </c>
      <c r="U35">
        <v>2.472</v>
      </c>
      <c r="V35">
        <v>2.694</v>
      </c>
      <c r="W35">
        <v>2.9820000000000002</v>
      </c>
      <c r="X35">
        <v>3.411</v>
      </c>
      <c r="Y35" s="20">
        <v>4.165</v>
      </c>
      <c r="AA35">
        <v>0.41276483048025042</v>
      </c>
      <c r="AB35" s="20">
        <v>0.32265583161260236</v>
      </c>
      <c r="AC35">
        <f t="shared" si="0"/>
        <v>2</v>
      </c>
      <c r="AD35">
        <v>1</v>
      </c>
      <c r="AE35">
        <v>1</v>
      </c>
      <c r="AF35">
        <f>0.5-0.048</f>
        <v>0.45200000000000001</v>
      </c>
      <c r="AG35">
        <f>0.267-0.045</f>
        <v>0.22200000000000003</v>
      </c>
      <c r="AH35">
        <f>0.589-0.045</f>
        <v>0.54399999999999993</v>
      </c>
      <c r="AI35" s="43">
        <v>180774.36443988822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1.0443353688050253E-3</v>
      </c>
      <c r="AU35">
        <v>9.7461858634863177E-4</v>
      </c>
      <c r="AV35">
        <v>5.0233853183026533E-4</v>
      </c>
      <c r="AW35">
        <v>5.2279718130956803E-4</v>
      </c>
      <c r="AX35">
        <v>5.1313440378626656E-3</v>
      </c>
      <c r="AY35">
        <v>5.0773646780826586E-3</v>
      </c>
      <c r="AZ35">
        <v>1.3527888532622054E-3</v>
      </c>
      <c r="BA35">
        <v>1.1113767894064327E-3</v>
      </c>
      <c r="BD35">
        <v>1.50921883466549E-3</v>
      </c>
      <c r="BE35">
        <v>1.4160532924212801E-3</v>
      </c>
      <c r="BF35">
        <v>2.9488153114106453E-2</v>
      </c>
      <c r="BG35">
        <v>2.7533407843472447E-2</v>
      </c>
      <c r="BH35">
        <v>2.0860268506004174E-2</v>
      </c>
      <c r="BI35">
        <v>1.9507951775422257E-2</v>
      </c>
      <c r="BJ35">
        <v>7.6628658495862395E-3</v>
      </c>
      <c r="BK35">
        <v>7.2274113641306176E-3</v>
      </c>
      <c r="BL35">
        <v>8.4824708225724615E-4</v>
      </c>
      <c r="BM35">
        <v>7.7207795650353417E-4</v>
      </c>
      <c r="BN35">
        <v>7.2310309713461862E-2</v>
      </c>
      <c r="BO35">
        <v>6.9030001330795801E-2</v>
      </c>
      <c r="BP35">
        <v>1.2999111130695463E-4</v>
      </c>
      <c r="BQ35">
        <v>3.8242094477846579E-2</v>
      </c>
      <c r="BR35">
        <v>4.1000077801883368E-2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1.8894979162176997E-2</v>
      </c>
      <c r="BY35">
        <v>1.7641808194456318E-2</v>
      </c>
      <c r="BZ35">
        <v>2.0710448242124973E-4</v>
      </c>
      <c r="CA35">
        <v>1.8869169788987718E-4</v>
      </c>
      <c r="CB35">
        <v>2.0269800407186144E-4</v>
      </c>
      <c r="CC35">
        <v>2.2158291128352551E-4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 s="39">
        <v>0.20114472045370207</v>
      </c>
      <c r="DG35" s="58">
        <v>0.18946723807936952</v>
      </c>
      <c r="DH35" s="19">
        <v>6</v>
      </c>
      <c r="DI35">
        <f>0.238-0.077</f>
        <v>0.16099999999999998</v>
      </c>
      <c r="DJ35">
        <f>0.33-0.054</f>
        <v>0.27600000000000002</v>
      </c>
      <c r="DK35">
        <v>98.968741570827603</v>
      </c>
      <c r="DL35">
        <v>3.0557403787914401E-2</v>
      </c>
      <c r="DM35">
        <v>2.4463697396084801E-4</v>
      </c>
      <c r="DN35">
        <v>145</v>
      </c>
      <c r="DO35">
        <v>0.99085441556865606</v>
      </c>
      <c r="DP35" s="28">
        <v>6.8500640957989095E-148</v>
      </c>
      <c r="DQ35">
        <v>-2.5371267295331699E-2</v>
      </c>
      <c r="DR35">
        <v>2.1923975099580399E-4</v>
      </c>
      <c r="DS35">
        <v>148</v>
      </c>
      <c r="DT35">
        <v>0.98914168222494603</v>
      </c>
      <c r="DU35" s="28">
        <v>1.6428636753238901E-145</v>
      </c>
      <c r="DV35">
        <v>51.907605488409402</v>
      </c>
      <c r="DW35">
        <v>1.1883475487638301E-2</v>
      </c>
      <c r="DX35">
        <v>1.67437538240066E-4</v>
      </c>
      <c r="DY35">
        <v>149</v>
      </c>
      <c r="DZ35">
        <v>0.97145121374151899</v>
      </c>
      <c r="EA35" s="28">
        <v>1.2387520973438399E-115</v>
      </c>
      <c r="EB35">
        <v>-2.81913342008786E-2</v>
      </c>
      <c r="EC35">
        <v>1.74401879693449E-4</v>
      </c>
      <c r="ED35">
        <v>152</v>
      </c>
      <c r="EE35">
        <v>0.99425404792861505</v>
      </c>
      <c r="EF35" s="28">
        <v>3.5491187646722002E-170</v>
      </c>
      <c r="EG35" s="49">
        <v>90387.19176970626</v>
      </c>
      <c r="EH35">
        <v>222</v>
      </c>
      <c r="EI35" s="58">
        <v>0.25</v>
      </c>
      <c r="EJ35" s="28">
        <v>3.9955675695020926E-2</v>
      </c>
      <c r="EK35">
        <v>50</v>
      </c>
      <c r="EL35" s="20">
        <v>400</v>
      </c>
      <c r="EM35" s="49">
        <v>1.69806536586796E-11</v>
      </c>
      <c r="EN35" s="53">
        <v>5.1879999999999998E-5</v>
      </c>
    </row>
    <row r="36" spans="1:144" x14ac:dyDescent="0.3">
      <c r="B36">
        <v>3.75</v>
      </c>
      <c r="C36" t="s">
        <v>155</v>
      </c>
      <c r="D36" t="s">
        <v>258</v>
      </c>
      <c r="E36" s="61" t="s">
        <v>254</v>
      </c>
      <c r="F36" s="19">
        <f>(10214-9198)/1500</f>
        <v>0.67733333333333334</v>
      </c>
      <c r="H36" s="19">
        <f>25/3</f>
        <v>8.3333333333333339</v>
      </c>
      <c r="I36">
        <v>47.896666666666668</v>
      </c>
      <c r="J36" s="20">
        <v>4.674666666666667</v>
      </c>
      <c r="K36">
        <v>2</v>
      </c>
      <c r="L36">
        <v>0.56699999999999995</v>
      </c>
      <c r="R36" s="19">
        <v>1</v>
      </c>
      <c r="S36" s="28">
        <v>48680000</v>
      </c>
      <c r="T36">
        <v>3.5139999999999998</v>
      </c>
      <c r="U36">
        <v>2.6970000000000001</v>
      </c>
      <c r="V36">
        <v>2.9409999999999998</v>
      </c>
      <c r="W36">
        <v>3.262</v>
      </c>
      <c r="X36">
        <v>3.8210000000000002</v>
      </c>
      <c r="Y36" s="20">
        <v>4.585</v>
      </c>
      <c r="AA36">
        <v>0.42732884833144591</v>
      </c>
      <c r="AB36" s="20">
        <v>0.37942156797442222</v>
      </c>
      <c r="AC36">
        <f t="shared" si="0"/>
        <v>2</v>
      </c>
      <c r="AD36">
        <v>1</v>
      </c>
      <c r="AE36">
        <v>1</v>
      </c>
      <c r="AF36">
        <f>0.439-0.048</f>
        <v>0.39100000000000001</v>
      </c>
      <c r="AG36">
        <f>0.22-0.045</f>
        <v>0.17499999999999999</v>
      </c>
      <c r="AH36">
        <f>0.46-0.045</f>
        <v>0.41500000000000004</v>
      </c>
      <c r="AI36" s="43">
        <v>381091.86954947625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9.306482273908072E-4</v>
      </c>
      <c r="AU36">
        <v>9.5124851367419739E-4</v>
      </c>
      <c r="AV36">
        <v>3.017336049743633E-4</v>
      </c>
      <c r="AW36">
        <v>3.5747555609412518E-4</v>
      </c>
      <c r="AX36">
        <v>2.090323166991071E-3</v>
      </c>
      <c r="AY36">
        <v>2.2720903989033379E-3</v>
      </c>
      <c r="AZ36">
        <v>7.5615168475503083E-4</v>
      </c>
      <c r="BA36">
        <v>8.1492308973999718E-4</v>
      </c>
      <c r="BD36">
        <v>8.3976461143467373E-4</v>
      </c>
      <c r="BE36">
        <v>9.4518960594378856E-4</v>
      </c>
      <c r="BF36">
        <v>3.1805630240008487E-2</v>
      </c>
      <c r="BG36">
        <v>3.3917765474829033E-2</v>
      </c>
      <c r="BH36">
        <v>1.6249990532956674E-2</v>
      </c>
      <c r="BI36">
        <v>1.8964381196179859E-2</v>
      </c>
      <c r="BJ36">
        <v>9.3355650310140356E-3</v>
      </c>
      <c r="BK36">
        <v>9.8154305232624195E-3</v>
      </c>
      <c r="BL36">
        <v>4.6895945833364894E-4</v>
      </c>
      <c r="BM36">
        <v>4.8168316456750763E-4</v>
      </c>
      <c r="BN36">
        <v>0.11576391466028463</v>
      </c>
      <c r="BO36">
        <v>0.12247779031635073</v>
      </c>
      <c r="BP36">
        <v>0</v>
      </c>
      <c r="BQ36">
        <v>0</v>
      </c>
      <c r="BR36">
        <v>3.6091701568499744E-2</v>
      </c>
      <c r="BS36">
        <v>3.8440740095579275E-2</v>
      </c>
      <c r="BT36">
        <v>0</v>
      </c>
      <c r="BU36">
        <v>0</v>
      </c>
      <c r="BV36">
        <v>0</v>
      </c>
      <c r="BW36">
        <v>0</v>
      </c>
      <c r="BX36">
        <v>2.151760491377417E-2</v>
      </c>
      <c r="BY36">
        <v>2.3296500223422223E-2</v>
      </c>
      <c r="BZ36">
        <v>2.9809826033611796E-4</v>
      </c>
      <c r="CA36">
        <v>3.1506320198126285E-4</v>
      </c>
      <c r="CB36">
        <v>3.8898187629225143E-4</v>
      </c>
      <c r="CC36">
        <v>4.0897627180260085E-4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 s="39">
        <v>0.2368390678370457</v>
      </c>
      <c r="DG36" s="58">
        <v>0.25345925763233035</v>
      </c>
      <c r="DH36" s="19">
        <v>6</v>
      </c>
      <c r="DI36">
        <f>0.275-0.077</f>
        <v>0.19800000000000001</v>
      </c>
      <c r="DJ36">
        <f>0.341-0.053</f>
        <v>0.28800000000000003</v>
      </c>
      <c r="DK36">
        <v>51.8836981937717</v>
      </c>
      <c r="DL36">
        <v>-3.2076258935323202E-3</v>
      </c>
      <c r="DM36">
        <v>2.36884454044698E-4</v>
      </c>
      <c r="DN36">
        <v>145</v>
      </c>
      <c r="DO36">
        <v>0.55876357793974996</v>
      </c>
      <c r="DP36" s="28">
        <v>2.1087046029750999E-27</v>
      </c>
      <c r="DQ36">
        <v>-3.58120815931086E-2</v>
      </c>
      <c r="DR36">
        <v>2.2357060922256601E-4</v>
      </c>
      <c r="DS36">
        <v>146</v>
      </c>
      <c r="DT36">
        <v>0.99438036950427999</v>
      </c>
      <c r="DU36" s="28">
        <v>3.8527022283835699E-164</v>
      </c>
      <c r="DV36">
        <v>102.461422756418</v>
      </c>
      <c r="DW36">
        <v>1.4659522442149299E-2</v>
      </c>
      <c r="DX36">
        <v>1.7844519397832101E-4</v>
      </c>
      <c r="DY36">
        <v>170</v>
      </c>
      <c r="DZ36">
        <v>0.97556692137671597</v>
      </c>
      <c r="EA36" s="28">
        <v>1.4708877105309401E-137</v>
      </c>
      <c r="EB36">
        <v>-3.7830916193959098E-2</v>
      </c>
      <c r="EC36">
        <v>2.4990800674105099E-4</v>
      </c>
      <c r="ED36">
        <v>147</v>
      </c>
      <c r="EE36">
        <v>0.99366888616726901</v>
      </c>
      <c r="EF36" s="28">
        <v>1.63216944386033E-161</v>
      </c>
      <c r="EG36" s="49">
        <v>190545.88718057238</v>
      </c>
      <c r="EH36">
        <v>234</v>
      </c>
      <c r="EI36" s="58">
        <v>0.5</v>
      </c>
      <c r="EJ36" s="28">
        <v>3.9955675695020926E-2</v>
      </c>
      <c r="EK36">
        <v>50</v>
      </c>
      <c r="EL36" s="20">
        <v>400</v>
      </c>
      <c r="EM36" s="49">
        <v>1.4654539836632501E-11</v>
      </c>
      <c r="EN36" s="53">
        <v>5.1879999999999998E-5</v>
      </c>
    </row>
    <row r="37" spans="1:144" x14ac:dyDescent="0.3">
      <c r="B37">
        <v>3.75</v>
      </c>
      <c r="C37" t="s">
        <v>157</v>
      </c>
      <c r="D37" t="s">
        <v>258</v>
      </c>
      <c r="E37" s="61" t="s">
        <v>255</v>
      </c>
      <c r="F37" s="19">
        <f>(9896-9145)/1000</f>
        <v>0.751</v>
      </c>
      <c r="H37" s="19">
        <f>25/3</f>
        <v>8.3333333333333339</v>
      </c>
      <c r="I37">
        <v>55.013333333333343</v>
      </c>
      <c r="J37" s="20">
        <v>4.5236666666666663</v>
      </c>
      <c r="K37">
        <v>2</v>
      </c>
      <c r="L37">
        <v>0.60499999999999998</v>
      </c>
      <c r="R37" s="19">
        <v>1</v>
      </c>
      <c r="S37" s="28">
        <v>38560000</v>
      </c>
      <c r="T37">
        <v>3.9119999999999999</v>
      </c>
      <c r="U37">
        <v>2.8839999999999999</v>
      </c>
      <c r="V37">
        <v>3.18</v>
      </c>
      <c r="W37">
        <v>3.609</v>
      </c>
      <c r="X37">
        <v>4.4580000000000002</v>
      </c>
      <c r="Y37" s="20">
        <v>5.2590000000000003</v>
      </c>
      <c r="AA37">
        <v>0.20547312329314593</v>
      </c>
      <c r="AB37" s="20">
        <v>0.32956525677745957</v>
      </c>
      <c r="AC37">
        <f t="shared" si="0"/>
        <v>2</v>
      </c>
      <c r="AD37">
        <v>1</v>
      </c>
      <c r="AE37">
        <v>1</v>
      </c>
      <c r="AF37">
        <f>0.43-0.048</f>
        <v>0.38200000000000001</v>
      </c>
      <c r="AG37">
        <f>0.206-0.045</f>
        <v>0.16099999999999998</v>
      </c>
      <c r="AH37">
        <f>0.417-0.045</f>
        <v>0.372</v>
      </c>
      <c r="AI37" s="43">
        <v>690525.92253608676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1.093200066215206E-3</v>
      </c>
      <c r="AU37">
        <v>9.1610684883782585E-4</v>
      </c>
      <c r="AV37">
        <v>3.2198766795887303E-4</v>
      </c>
      <c r="AW37">
        <v>3.1021607579693572E-4</v>
      </c>
      <c r="AX37">
        <v>2.2123668798464504E-3</v>
      </c>
      <c r="AY37">
        <v>2.0164044926800823E-3</v>
      </c>
      <c r="AZ37">
        <v>7.1927890342425669E-4</v>
      </c>
      <c r="BA37">
        <v>5.5741951119761893E-4</v>
      </c>
      <c r="BD37">
        <v>9.5817297965180767E-4</v>
      </c>
      <c r="BE37">
        <v>7.4645743238637655E-4</v>
      </c>
      <c r="BF37">
        <v>4.1092377785880374E-2</v>
      </c>
      <c r="BG37">
        <v>3.4123768337662931E-2</v>
      </c>
      <c r="BH37">
        <v>2.0051522354664657E-2</v>
      </c>
      <c r="BI37">
        <v>1.5055173928520037E-2</v>
      </c>
      <c r="BJ37">
        <v>1.3710442635668145E-2</v>
      </c>
      <c r="BK37">
        <v>1.1114460340662088E-2</v>
      </c>
      <c r="BL37">
        <v>4.9856155038793251E-4</v>
      </c>
      <c r="BM37">
        <v>4.4593560895809511E-4</v>
      </c>
      <c r="BN37">
        <v>0.16514332021651942</v>
      </c>
      <c r="BO37">
        <v>0.14152154320379895</v>
      </c>
      <c r="BP37">
        <v>0</v>
      </c>
      <c r="BQ37">
        <v>0</v>
      </c>
      <c r="BR37">
        <v>3.9983597671215537E-2</v>
      </c>
      <c r="BS37">
        <v>3.3566348826465316E-2</v>
      </c>
      <c r="BT37">
        <v>0</v>
      </c>
      <c r="BU37">
        <v>0</v>
      </c>
      <c r="BV37">
        <v>0</v>
      </c>
      <c r="BW37">
        <v>0</v>
      </c>
      <c r="BX37">
        <v>2.9539771860484999E-2</v>
      </c>
      <c r="BY37">
        <v>2.4826980316123515E-2</v>
      </c>
      <c r="BZ37">
        <v>3.3756771640849594E-4</v>
      </c>
      <c r="CA37">
        <v>0</v>
      </c>
      <c r="CB37">
        <v>6.9590883074982241E-4</v>
      </c>
      <c r="CC37">
        <v>6.640562872528155E-4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 s="39">
        <v>0.31635807711907593</v>
      </c>
      <c r="DG37" s="58">
        <v>0.26586487121034258</v>
      </c>
      <c r="DH37" s="19">
        <v>6</v>
      </c>
      <c r="DI37">
        <f>0.294-0.079</f>
        <v>0.21499999999999997</v>
      </c>
      <c r="DJ37">
        <f>0.347-0.056</f>
        <v>0.29099999999999998</v>
      </c>
      <c r="DK37">
        <v>102.34435547266401</v>
      </c>
      <c r="DL37">
        <v>-2.1372102224049799E-3</v>
      </c>
      <c r="DM37">
        <v>1.7832955891830901E-4</v>
      </c>
      <c r="DN37">
        <v>149</v>
      </c>
      <c r="DO37">
        <v>0.490762987389461</v>
      </c>
      <c r="DP37" s="28">
        <v>1.6212900267866401E-23</v>
      </c>
      <c r="DQ37">
        <v>-4.7154749517989002E-2</v>
      </c>
      <c r="DR37">
        <v>1.69737796274623E-4</v>
      </c>
      <c r="DS37">
        <v>171</v>
      </c>
      <c r="DT37">
        <v>0.99780211379860095</v>
      </c>
      <c r="DU37" s="28">
        <v>9.3488022415926107E-227</v>
      </c>
      <c r="DV37">
        <v>51.878302415990603</v>
      </c>
      <c r="DW37">
        <v>-9.5304627413264707E-3</v>
      </c>
      <c r="DX37" s="28">
        <v>1.2637329063977301E-4</v>
      </c>
      <c r="DY37">
        <v>171</v>
      </c>
      <c r="DZ37">
        <v>0.97097216270424003</v>
      </c>
      <c r="EA37" s="28">
        <v>4.84139384348929E-132</v>
      </c>
      <c r="EB37">
        <v>-3.6814428642901E-2</v>
      </c>
      <c r="EC37">
        <v>2.0627857581617001E-4</v>
      </c>
      <c r="ED37">
        <v>135</v>
      </c>
      <c r="EE37">
        <v>0.99581045139773205</v>
      </c>
      <c r="EF37" s="28">
        <v>3.1468449222948301E-160</v>
      </c>
      <c r="EG37" s="49">
        <v>345262.75811571872</v>
      </c>
      <c r="EH37">
        <v>212</v>
      </c>
      <c r="EI37" s="58">
        <v>1</v>
      </c>
      <c r="EJ37" s="28">
        <v>3.9955675695020926E-2</v>
      </c>
      <c r="EK37">
        <v>50</v>
      </c>
      <c r="EL37" s="20">
        <v>400</v>
      </c>
      <c r="EM37" s="49">
        <v>1.2605038155191301E-11</v>
      </c>
      <c r="EN37" s="53">
        <v>5.1879999999999998E-5</v>
      </c>
    </row>
    <row r="38" spans="1:144" x14ac:dyDescent="0.3">
      <c r="B38">
        <v>3.75</v>
      </c>
      <c r="C38" t="s">
        <v>158</v>
      </c>
      <c r="D38" t="s">
        <v>259</v>
      </c>
      <c r="E38" s="61" t="s">
        <v>253</v>
      </c>
      <c r="F38" s="19">
        <f>(10010-9240)/500</f>
        <v>1.54</v>
      </c>
      <c r="G38" s="20">
        <f>(10150-9397)/500</f>
        <v>1.506</v>
      </c>
      <c r="H38" s="19">
        <f>25/2</f>
        <v>12.5</v>
      </c>
      <c r="I38">
        <v>56.199999999999996</v>
      </c>
      <c r="J38" s="20">
        <v>12.98666666666667</v>
      </c>
      <c r="K38">
        <v>10</v>
      </c>
      <c r="L38">
        <v>0.19900000000000001</v>
      </c>
      <c r="M38">
        <v>0.39700000000000002</v>
      </c>
      <c r="R38" s="19">
        <v>1</v>
      </c>
      <c r="S38" s="28">
        <v>75270000</v>
      </c>
      <c r="T38">
        <v>3.91</v>
      </c>
      <c r="U38">
        <v>2.6520000000000001</v>
      </c>
      <c r="V38">
        <v>3.036</v>
      </c>
      <c r="W38">
        <v>3.7469999999999999</v>
      </c>
      <c r="X38">
        <v>4.5389999999999997</v>
      </c>
      <c r="Y38" s="20">
        <v>5.306</v>
      </c>
      <c r="AA38">
        <v>0.29253441438655037</v>
      </c>
      <c r="AB38" s="20">
        <v>0.26920345966485898</v>
      </c>
      <c r="AC38">
        <f t="shared" si="0"/>
        <v>10</v>
      </c>
      <c r="AD38">
        <v>1</v>
      </c>
      <c r="AE38">
        <v>1</v>
      </c>
      <c r="AF38">
        <f>0.385-0.048</f>
        <v>0.33700000000000002</v>
      </c>
      <c r="AG38">
        <f>0.224-0.045</f>
        <v>0.17899999999999999</v>
      </c>
      <c r="AH38">
        <f>0.472-0.045</f>
        <v>0.42699999999999999</v>
      </c>
      <c r="AI38" s="43">
        <v>182403.38053816798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4.238584284688543E-4</v>
      </c>
      <c r="AU38">
        <v>2.9523931914039601E-4</v>
      </c>
      <c r="AV38">
        <v>6.5849434422839863E-4</v>
      </c>
      <c r="AW38">
        <v>3.1872426498110937E-4</v>
      </c>
      <c r="AX38">
        <v>6.2708340711865318E-3</v>
      </c>
      <c r="AY38">
        <v>3.4891919534774073E-3</v>
      </c>
      <c r="AZ38">
        <v>1.3699709920154042E-3</v>
      </c>
      <c r="BA38">
        <v>9.528178026803689E-4</v>
      </c>
      <c r="BD38">
        <v>1.6727270123503E-3</v>
      </c>
      <c r="BE38">
        <v>1.180957276561584E-3</v>
      </c>
      <c r="BF38">
        <v>1.4259808557773597E-2</v>
      </c>
      <c r="BG38">
        <v>9.709347609003478E-3</v>
      </c>
      <c r="BH38">
        <v>1.3612667564307759E-2</v>
      </c>
      <c r="BI38">
        <v>9.6355377792183786E-3</v>
      </c>
      <c r="BJ38">
        <v>4.015301719691557E-3</v>
      </c>
      <c r="BK38">
        <v>2.724253717522745E-3</v>
      </c>
      <c r="BL38">
        <v>1.6765114626044863E-3</v>
      </c>
      <c r="BM38">
        <v>1.0668875396209765E-3</v>
      </c>
      <c r="BN38">
        <v>6.5168233377086342E-3</v>
      </c>
      <c r="BO38">
        <v>4.3279400192171684E-3</v>
      </c>
      <c r="BP38">
        <v>0</v>
      </c>
      <c r="BQ38">
        <v>0</v>
      </c>
      <c r="BR38">
        <v>2.4549728798905875E-2</v>
      </c>
      <c r="BS38">
        <v>1.6640761624276867E-2</v>
      </c>
      <c r="BT38">
        <v>0</v>
      </c>
      <c r="BU38">
        <v>0</v>
      </c>
      <c r="BV38">
        <v>9.756312755292023E-3</v>
      </c>
      <c r="BW38">
        <v>6.8609591777512476E-3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1.6273136093000656E-4</v>
      </c>
      <c r="DA38">
        <v>0</v>
      </c>
      <c r="DB38">
        <v>0</v>
      </c>
      <c r="DC38">
        <v>0</v>
      </c>
      <c r="DD38">
        <v>0</v>
      </c>
      <c r="DE38">
        <v>0</v>
      </c>
      <c r="DF38" s="39">
        <v>8.494577040546343E-2</v>
      </c>
      <c r="DG38" s="58">
        <v>5.7202618083451728E-2</v>
      </c>
      <c r="DH38" s="19">
        <v>11</v>
      </c>
      <c r="DI38">
        <f>0.263-0.078</f>
        <v>0.185</v>
      </c>
      <c r="DJ38">
        <f>0.428-0.053</f>
        <v>0.375</v>
      </c>
      <c r="DK38">
        <v>51.874849745227401</v>
      </c>
      <c r="DL38">
        <v>2.6907885105841502E-2</v>
      </c>
      <c r="DM38">
        <v>2.5884837537817001E-4</v>
      </c>
      <c r="DN38">
        <v>124</v>
      </c>
      <c r="DO38">
        <v>0.98874459354730704</v>
      </c>
      <c r="DP38" s="28">
        <v>5.9846470260452298E-121</v>
      </c>
      <c r="DQ38">
        <v>-4.1738666655634797E-2</v>
      </c>
      <c r="DR38">
        <v>2.06711582008752E-4</v>
      </c>
      <c r="DS38">
        <v>150</v>
      </c>
      <c r="DT38">
        <v>0.996358627691601</v>
      </c>
      <c r="DU38" s="28">
        <v>1.36160553088976E-182</v>
      </c>
      <c r="DV38">
        <v>99.500611596919896</v>
      </c>
      <c r="DW38">
        <v>8.8101879554633403E-2</v>
      </c>
      <c r="DX38">
        <v>2.32822294219025E-4</v>
      </c>
      <c r="DY38">
        <v>161</v>
      </c>
      <c r="DZ38">
        <v>0.99888386482531699</v>
      </c>
      <c r="EA38" s="28">
        <v>7.5476995928295803E-237</v>
      </c>
      <c r="EB38">
        <v>-4.3928390866563999E-2</v>
      </c>
      <c r="EC38">
        <v>1.78793177046724E-4</v>
      </c>
      <c r="ED38">
        <v>151</v>
      </c>
      <c r="EE38">
        <v>0.99752125469312902</v>
      </c>
      <c r="EF38" s="28">
        <v>2.94443241972877E-196</v>
      </c>
      <c r="EG38" s="49">
        <v>91201.689167394856</v>
      </c>
      <c r="EH38">
        <v>224</v>
      </c>
      <c r="EI38" s="58">
        <v>0.25</v>
      </c>
      <c r="EJ38" s="28">
        <v>4.1172507177110657E-2</v>
      </c>
      <c r="EK38">
        <v>50</v>
      </c>
      <c r="EL38" s="20">
        <v>400</v>
      </c>
      <c r="EM38" s="49">
        <v>2.7725826193716001E-11</v>
      </c>
      <c r="EN38" s="53">
        <v>5.1879999999999998E-5</v>
      </c>
    </row>
    <row r="39" spans="1:144" x14ac:dyDescent="0.3">
      <c r="B39">
        <v>3.75</v>
      </c>
      <c r="C39" t="s">
        <v>159</v>
      </c>
      <c r="D39" t="s">
        <v>259</v>
      </c>
      <c r="E39" s="61" t="s">
        <v>254</v>
      </c>
      <c r="F39" s="19">
        <f>(10160-9340)/500</f>
        <v>1.64</v>
      </c>
      <c r="G39" s="20">
        <f>(10254-9429)/500</f>
        <v>1.65</v>
      </c>
      <c r="H39" s="19">
        <f>25/2</f>
        <v>12.5</v>
      </c>
      <c r="I39">
        <v>56.419999999999995</v>
      </c>
      <c r="J39" s="20">
        <v>11.51</v>
      </c>
      <c r="K39">
        <v>10</v>
      </c>
      <c r="L39">
        <v>0.23399999999999999</v>
      </c>
      <c r="M39">
        <v>0.44600000000000001</v>
      </c>
      <c r="R39" s="19">
        <v>1</v>
      </c>
      <c r="S39" s="28">
        <v>82620000</v>
      </c>
      <c r="T39">
        <v>3.8919999999999999</v>
      </c>
      <c r="U39">
        <v>2.7170000000000001</v>
      </c>
      <c r="V39">
        <v>3.0640000000000001</v>
      </c>
      <c r="W39">
        <v>3.74</v>
      </c>
      <c r="X39">
        <v>4.51</v>
      </c>
      <c r="Y39" s="20">
        <v>5.2160000000000002</v>
      </c>
      <c r="AA39">
        <v>0.28816357189408931</v>
      </c>
      <c r="AB39" s="20">
        <v>0.28988946002749705</v>
      </c>
      <c r="AC39">
        <f t="shared" si="0"/>
        <v>10</v>
      </c>
      <c r="AD39">
        <v>1</v>
      </c>
      <c r="AE39">
        <v>1</v>
      </c>
      <c r="AF39">
        <f>0.373-0.048</f>
        <v>0.32500000000000001</v>
      </c>
      <c r="AG39">
        <f>0.214-0.045</f>
        <v>0.16899999999999998</v>
      </c>
      <c r="AH39">
        <f>0.454-0.045</f>
        <v>0.40900000000000003</v>
      </c>
      <c r="AI39" s="43">
        <v>376206.97655302007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4.8872346831698072E-4</v>
      </c>
      <c r="AU39">
        <v>3.670616393366115E-4</v>
      </c>
      <c r="AV39">
        <v>6.6812828580042926E-4</v>
      </c>
      <c r="AW39">
        <v>3.2762526486243007E-4</v>
      </c>
      <c r="AX39">
        <v>5.9512908420371567E-3</v>
      </c>
      <c r="AY39">
        <v>2.8363853948738158E-3</v>
      </c>
      <c r="AZ39">
        <v>1.3610020636675409E-3</v>
      </c>
      <c r="BA39">
        <v>9.9804363092351384E-4</v>
      </c>
      <c r="BD39">
        <v>1.620829730367708E-3</v>
      </c>
      <c r="BE39">
        <v>1.1406212924840158E-3</v>
      </c>
      <c r="BF39">
        <v>1.7946668121361531E-2</v>
      </c>
      <c r="BG39">
        <v>1.2680311177082942E-2</v>
      </c>
      <c r="BH39">
        <v>1.5803089871085155E-2</v>
      </c>
      <c r="BI39">
        <v>1.1202963917934763E-2</v>
      </c>
      <c r="BJ39">
        <v>4.4634681315278684E-3</v>
      </c>
      <c r="BK39">
        <v>3.1185071507275749E-3</v>
      </c>
      <c r="BL39">
        <v>2.6879790757433934E-3</v>
      </c>
      <c r="BM39">
        <v>2.0021543963815174E-3</v>
      </c>
      <c r="BN39">
        <v>1.6981593930760909E-2</v>
      </c>
      <c r="BO39">
        <v>1.1909785091202782E-2</v>
      </c>
      <c r="BP39">
        <v>0</v>
      </c>
      <c r="BQ39">
        <v>0</v>
      </c>
      <c r="BR39">
        <v>2.9604888071277351E-2</v>
      </c>
      <c r="BS39">
        <v>2.0691962329876253E-2</v>
      </c>
      <c r="BT39">
        <v>0</v>
      </c>
      <c r="BU39">
        <v>0</v>
      </c>
      <c r="BV39">
        <v>1.0922041560932017E-2</v>
      </c>
      <c r="BW39">
        <v>7.8387378185603637E-3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 s="39">
        <v>0.10849970315287803</v>
      </c>
      <c r="DG39" s="58">
        <v>7.5114159104246569E-2</v>
      </c>
      <c r="DH39" s="19">
        <v>11</v>
      </c>
      <c r="DI39">
        <f>0.295-0.08</f>
        <v>0.21499999999999997</v>
      </c>
      <c r="DJ39">
        <f>0.465-0.056</f>
        <v>0.40900000000000003</v>
      </c>
      <c r="DK39">
        <v>105.160572043689</v>
      </c>
      <c r="DL39">
        <v>7.15250954026702E-2</v>
      </c>
      <c r="DM39">
        <v>2.2413207885085099E-4</v>
      </c>
      <c r="DN39">
        <v>148</v>
      </c>
      <c r="DO39">
        <v>0.99855859408416503</v>
      </c>
      <c r="DP39" s="28">
        <v>1.5642991741854501E-209</v>
      </c>
      <c r="DQ39">
        <v>-5.1063701276761901E-2</v>
      </c>
      <c r="DR39">
        <v>2.6697266520857798E-4</v>
      </c>
      <c r="DS39">
        <v>125</v>
      </c>
      <c r="DT39">
        <v>0.996621896172593</v>
      </c>
      <c r="DU39" s="28">
        <v>4.5075629528555703E-154</v>
      </c>
      <c r="DV39">
        <v>50.624831496421201</v>
      </c>
      <c r="DW39">
        <v>2.3444179040404699E-2</v>
      </c>
      <c r="DX39">
        <v>5.4807394479624997E-4</v>
      </c>
      <c r="DY39">
        <v>236</v>
      </c>
      <c r="DZ39">
        <v>0.88612961612357199</v>
      </c>
      <c r="EA39" s="28">
        <v>1.33703578020917E-112</v>
      </c>
      <c r="EB39">
        <v>-5.6290815790247001E-2</v>
      </c>
      <c r="EC39">
        <v>2.0237345557069699E-4</v>
      </c>
      <c r="ED39">
        <v>145</v>
      </c>
      <c r="EE39">
        <v>0.99814222743898995</v>
      </c>
      <c r="EF39" s="28">
        <v>2.19019929763861E-197</v>
      </c>
      <c r="EG39" s="49">
        <v>188103.48810080049</v>
      </c>
      <c r="EH39">
        <v>231</v>
      </c>
      <c r="EI39" s="58">
        <v>0.5</v>
      </c>
      <c r="EJ39" s="28">
        <v>4.1172507177110657E-2</v>
      </c>
      <c r="EK39">
        <v>50</v>
      </c>
      <c r="EL39" s="20">
        <v>400</v>
      </c>
      <c r="EM39" s="49">
        <v>2.4664882368909599E-11</v>
      </c>
      <c r="EN39" s="53">
        <v>5.1879999999999998E-5</v>
      </c>
    </row>
    <row r="40" spans="1:144" s="34" customFormat="1" ht="15" thickBot="1" x14ac:dyDescent="0.35">
      <c r="A40" s="26"/>
      <c r="B40" s="34">
        <v>3.75</v>
      </c>
      <c r="C40" s="34" t="s">
        <v>160</v>
      </c>
      <c r="D40" t="s">
        <v>259</v>
      </c>
      <c r="E40" s="62" t="s">
        <v>255</v>
      </c>
      <c r="F40" s="26">
        <f>(10019-9028)/500</f>
        <v>1.982</v>
      </c>
      <c r="G40" s="41">
        <f>(10157-9098)/500</f>
        <v>2.1179999999999999</v>
      </c>
      <c r="H40" s="26">
        <f>25/2</f>
        <v>12.5</v>
      </c>
      <c r="I40" s="34">
        <v>69.99666666666667</v>
      </c>
      <c r="J40" s="41">
        <v>10.202</v>
      </c>
      <c r="K40" s="34">
        <f>10</f>
        <v>10</v>
      </c>
      <c r="L40" s="34">
        <v>0.21000000000000002</v>
      </c>
      <c r="M40" s="34">
        <v>0.41500000000000004</v>
      </c>
      <c r="P40" s="26"/>
      <c r="Q40" s="41"/>
      <c r="R40" s="26">
        <v>1.3304761904761904</v>
      </c>
      <c r="S40" s="29">
        <v>40810000</v>
      </c>
      <c r="T40" s="34">
        <v>3.8780000000000001</v>
      </c>
      <c r="U40" s="34">
        <v>2.6379999999999999</v>
      </c>
      <c r="V40" s="34">
        <v>3.0110000000000001</v>
      </c>
      <c r="W40" s="34">
        <v>3.7080000000000002</v>
      </c>
      <c r="X40" s="34">
        <v>4.5209999999999999</v>
      </c>
      <c r="Y40" s="41">
        <v>5.2590000000000003</v>
      </c>
      <c r="Z40" s="26"/>
      <c r="AA40" s="34">
        <v>0.29526774109217319</v>
      </c>
      <c r="AB40" s="41">
        <v>0.27671221376575472</v>
      </c>
      <c r="AC40" s="34">
        <f t="shared" si="0"/>
        <v>10</v>
      </c>
      <c r="AD40" s="34">
        <v>1</v>
      </c>
      <c r="AE40" s="34">
        <v>1</v>
      </c>
      <c r="AF40" s="34">
        <f>0.373-0.048</f>
        <v>0.32500000000000001</v>
      </c>
      <c r="AG40" s="34">
        <f>0.216-0.045</f>
        <v>0.17099999999999999</v>
      </c>
      <c r="AH40" s="34">
        <f>0.458-0.045</f>
        <v>0.41300000000000003</v>
      </c>
      <c r="AI40" s="44">
        <v>690527.09147510363</v>
      </c>
      <c r="AJ40" s="34">
        <v>0</v>
      </c>
      <c r="AK40" s="34">
        <v>0</v>
      </c>
      <c r="AL40" s="34">
        <v>0</v>
      </c>
      <c r="AM40" s="34">
        <v>0</v>
      </c>
      <c r="AN40" s="34">
        <v>0</v>
      </c>
      <c r="AO40" s="34">
        <v>0</v>
      </c>
      <c r="AP40" s="34">
        <v>0</v>
      </c>
      <c r="AQ40" s="34">
        <v>0</v>
      </c>
      <c r="AR40" s="34">
        <v>0</v>
      </c>
      <c r="AS40" s="34">
        <v>0</v>
      </c>
      <c r="AT40" s="34">
        <v>5.8560440423841475E-4</v>
      </c>
      <c r="AU40" s="34">
        <v>5.6647997906902046E-4</v>
      </c>
      <c r="AV40" s="34">
        <v>2.9886017871477716E-4</v>
      </c>
      <c r="AW40" s="34">
        <v>3.6753760546740015E-4</v>
      </c>
      <c r="AX40" s="34">
        <v>2.8593649531089491E-3</v>
      </c>
      <c r="AY40" s="34">
        <v>2.8357717999824179E-3</v>
      </c>
      <c r="AZ40" s="34">
        <v>8.6427132763462592E-4</v>
      </c>
      <c r="BA40" s="34">
        <v>9.3401758453642066E-4</v>
      </c>
      <c r="BD40" s="34">
        <v>1.0298560212468673E-3</v>
      </c>
      <c r="BE40" s="34">
        <v>1.0891251978529381E-3</v>
      </c>
      <c r="BF40" s="34">
        <v>2.2648755165303656E-2</v>
      </c>
      <c r="BG40" s="34">
        <v>2.3748324360613759E-2</v>
      </c>
      <c r="BH40" s="34">
        <v>1.6287879739955359E-2</v>
      </c>
      <c r="BI40" s="34">
        <v>1.734170554971412E-2</v>
      </c>
      <c r="BJ40" s="34">
        <v>5.1331255019794837E-3</v>
      </c>
      <c r="BK40" s="34">
        <v>5.4489978939020059E-3</v>
      </c>
      <c r="BL40" s="34">
        <v>5.3915991700571294E-3</v>
      </c>
      <c r="BM40" s="34">
        <v>5.762585025172357E-3</v>
      </c>
      <c r="BN40" s="34">
        <v>5.296690870059869E-2</v>
      </c>
      <c r="BO40" s="34">
        <v>5.5643170324981998E-2</v>
      </c>
      <c r="BP40" s="34">
        <v>0</v>
      </c>
      <c r="BQ40" s="34">
        <v>0</v>
      </c>
      <c r="BR40" s="34">
        <v>3.4102369581994307E-2</v>
      </c>
      <c r="BS40" s="34">
        <v>3.5431973928912307E-2</v>
      </c>
      <c r="BT40" s="34">
        <v>0</v>
      </c>
      <c r="BU40" s="34">
        <v>0</v>
      </c>
      <c r="BV40" s="34">
        <v>1.2596552667721488E-2</v>
      </c>
      <c r="BW40" s="34">
        <v>1.3180775227266673E-2</v>
      </c>
      <c r="BX40" s="34">
        <v>0</v>
      </c>
      <c r="BY40" s="34">
        <v>0</v>
      </c>
      <c r="BZ40" s="34">
        <v>2.6251231914135837E-4</v>
      </c>
      <c r="CA40" s="34">
        <v>3.574218915554534E-4</v>
      </c>
      <c r="CB40" s="34">
        <v>0</v>
      </c>
      <c r="CC40" s="34">
        <v>0</v>
      </c>
      <c r="CD40" s="34">
        <v>0</v>
      </c>
      <c r="CE40" s="34">
        <v>0</v>
      </c>
      <c r="CF40" s="34">
        <v>0</v>
      </c>
      <c r="CG40" s="34">
        <v>0</v>
      </c>
      <c r="CH40" s="34">
        <v>0</v>
      </c>
      <c r="CI40" s="34">
        <v>0</v>
      </c>
      <c r="CJ40" s="34">
        <v>0</v>
      </c>
      <c r="CK40" s="34">
        <v>0</v>
      </c>
      <c r="CL40" s="34">
        <v>0</v>
      </c>
      <c r="CM40" s="34">
        <v>0</v>
      </c>
      <c r="CN40" s="34">
        <v>0</v>
      </c>
      <c r="CO40" s="34">
        <v>0</v>
      </c>
      <c r="CP40" s="34">
        <v>0</v>
      </c>
      <c r="CQ40" s="34">
        <v>0</v>
      </c>
      <c r="CR40" s="34">
        <v>0</v>
      </c>
      <c r="CS40" s="34">
        <v>0</v>
      </c>
      <c r="CT40" s="34">
        <v>0</v>
      </c>
      <c r="CU40" s="34">
        <v>0</v>
      </c>
      <c r="CV40" s="34">
        <v>0</v>
      </c>
      <c r="CW40" s="34">
        <v>0</v>
      </c>
      <c r="CX40" s="34">
        <v>0</v>
      </c>
      <c r="CY40" s="34">
        <v>0</v>
      </c>
      <c r="CZ40" s="34">
        <v>0</v>
      </c>
      <c r="DA40" s="34">
        <v>0</v>
      </c>
      <c r="DB40" s="34">
        <v>0</v>
      </c>
      <c r="DC40" s="34">
        <v>0</v>
      </c>
      <c r="DD40" s="34">
        <v>0</v>
      </c>
      <c r="DE40" s="34">
        <v>0</v>
      </c>
      <c r="DF40" s="40">
        <v>0.15502765973169511</v>
      </c>
      <c r="DG40" s="59">
        <v>0.16270788636902689</v>
      </c>
      <c r="DH40" s="26">
        <v>11</v>
      </c>
      <c r="DI40" s="34">
        <f>0.335-0.081</f>
        <v>0.254</v>
      </c>
      <c r="DJ40" s="34">
        <f>0.498-0.057</f>
        <v>0.441</v>
      </c>
      <c r="DK40" s="34">
        <v>50.524247939158798</v>
      </c>
      <c r="DL40" s="34">
        <v>6.3193319099846502E-3</v>
      </c>
      <c r="DM40" s="34">
        <v>4.0427480319818199E-4</v>
      </c>
      <c r="DN40" s="34">
        <v>85</v>
      </c>
      <c r="DO40" s="34">
        <v>0.74338361823792498</v>
      </c>
      <c r="DP40" s="29">
        <v>1.8720995771335201E-26</v>
      </c>
      <c r="DQ40" s="34">
        <v>-6.3866966662229602E-2</v>
      </c>
      <c r="DR40" s="34">
        <v>1.68199727926544E-4</v>
      </c>
      <c r="DS40" s="34">
        <v>154</v>
      </c>
      <c r="DT40" s="34">
        <v>0.99893993665639402</v>
      </c>
      <c r="DU40" s="29">
        <v>3.3060684979488903E-228</v>
      </c>
      <c r="DV40" s="34">
        <v>99.124869384780297</v>
      </c>
      <c r="DW40" s="34">
        <v>4.7392445233206203E-2</v>
      </c>
      <c r="DX40" s="29">
        <v>8.9052040736565597E-5</v>
      </c>
      <c r="DY40" s="34">
        <v>249</v>
      </c>
      <c r="DZ40" s="34">
        <v>0.99912513182940299</v>
      </c>
      <c r="EA40" s="34">
        <v>0</v>
      </c>
      <c r="EB40" s="34">
        <v>-6.3386036780378394E-2</v>
      </c>
      <c r="EC40" s="34">
        <v>1.6424031648300301E-4</v>
      </c>
      <c r="ED40" s="34">
        <v>161</v>
      </c>
      <c r="EE40" s="34">
        <v>0.99892692773837999</v>
      </c>
      <c r="EF40" s="29">
        <v>3.30615513950295E-238</v>
      </c>
      <c r="EG40" s="50">
        <v>345263.54557146248</v>
      </c>
      <c r="EH40" s="34">
        <v>212</v>
      </c>
      <c r="EI40" s="59">
        <v>1</v>
      </c>
      <c r="EJ40" s="29">
        <v>4.1172507177110657E-2</v>
      </c>
      <c r="EK40" s="34">
        <v>50</v>
      </c>
      <c r="EL40" s="41">
        <v>400</v>
      </c>
      <c r="EM40" s="50">
        <v>2.1925471430129199E-11</v>
      </c>
      <c r="EN40" s="54">
        <v>5.1879999999999998E-5</v>
      </c>
    </row>
    <row r="41" spans="1:144" s="2" customFormat="1" x14ac:dyDescent="0.3">
      <c r="A41" s="23">
        <v>44502</v>
      </c>
      <c r="B41" s="2">
        <v>7.75</v>
      </c>
      <c r="C41" s="2" t="s">
        <v>152</v>
      </c>
      <c r="D41" s="2" t="s">
        <v>256</v>
      </c>
      <c r="E41" s="60" t="s">
        <v>253</v>
      </c>
      <c r="F41" s="25">
        <f>(9785-9153)/1500</f>
        <v>0.42133333333333334</v>
      </c>
      <c r="G41" s="24"/>
      <c r="H41" s="25">
        <v>2.5</v>
      </c>
      <c r="I41" s="2">
        <v>101.9</v>
      </c>
      <c r="J41" s="24">
        <v>4.72</v>
      </c>
      <c r="K41" s="2">
        <v>1</v>
      </c>
      <c r="L41" s="2">
        <v>0.65900000000000003</v>
      </c>
      <c r="M41" s="2">
        <v>0.79899999999999993</v>
      </c>
      <c r="N41" s="2">
        <v>0.84799999999999998</v>
      </c>
      <c r="O41" s="2">
        <v>0.88900000000000001</v>
      </c>
      <c r="P41" s="25">
        <v>0.72499999999999998</v>
      </c>
      <c r="Q41" s="24">
        <v>0.746</v>
      </c>
      <c r="R41" s="25">
        <v>1</v>
      </c>
      <c r="S41" s="27">
        <v>21860000</v>
      </c>
      <c r="T41" s="2">
        <v>3.6110000000000002</v>
      </c>
      <c r="U41" s="2">
        <v>2.9089999999999998</v>
      </c>
      <c r="V41" s="2">
        <v>3.1549999999999998</v>
      </c>
      <c r="W41" s="2">
        <v>3.4660000000000002</v>
      </c>
      <c r="X41" s="2">
        <v>3.8479999999999999</v>
      </c>
      <c r="Y41" s="24">
        <v>4.42</v>
      </c>
      <c r="Z41" s="25"/>
      <c r="AA41" s="2">
        <v>0.14326134853795047</v>
      </c>
      <c r="AB41" s="24">
        <v>0.17807155702022048</v>
      </c>
      <c r="AC41" s="2">
        <f t="shared" si="0"/>
        <v>1</v>
      </c>
      <c r="AD41" s="2">
        <v>1</v>
      </c>
      <c r="AE41" s="2">
        <v>1</v>
      </c>
      <c r="AF41" s="2">
        <f>0.26-0.049</f>
        <v>0.21100000000000002</v>
      </c>
      <c r="AG41" s="2">
        <f>0.133-0.046</f>
        <v>8.7000000000000008E-2</v>
      </c>
      <c r="AH41" s="2">
        <f>0.238-0.046</f>
        <v>0.192</v>
      </c>
      <c r="AI41" s="42">
        <v>339256.17587391695</v>
      </c>
      <c r="AJ41" s="2">
        <v>0</v>
      </c>
      <c r="AL41" s="2">
        <v>0</v>
      </c>
      <c r="AN41" s="2">
        <v>0</v>
      </c>
      <c r="AP41" s="2">
        <v>0</v>
      </c>
      <c r="AR41" s="2">
        <v>0</v>
      </c>
      <c r="AT41" s="2">
        <v>3.5512242661889676E-4</v>
      </c>
      <c r="AV41" s="2">
        <v>1.0492253513740131E-4</v>
      </c>
      <c r="AX41" s="2">
        <v>6.7258035344488023E-4</v>
      </c>
      <c r="AZ41" s="2">
        <v>3.4705146237755825E-4</v>
      </c>
      <c r="BD41" s="2">
        <v>3.6319339086023534E-4</v>
      </c>
      <c r="BF41" s="2">
        <v>2.9001664840543236E-2</v>
      </c>
      <c r="BH41" s="2">
        <v>1.2601465502143276E-2</v>
      </c>
      <c r="BJ41" s="2">
        <v>8.3776608825094287E-3</v>
      </c>
      <c r="BL41" s="2">
        <v>1.9908378461968456E-4</v>
      </c>
      <c r="BN41" s="2">
        <v>0.13455642551018274</v>
      </c>
      <c r="BP41" s="2">
        <v>0</v>
      </c>
      <c r="BR41" s="2">
        <v>2.532937611073419E-2</v>
      </c>
      <c r="BT41" s="2">
        <v>0</v>
      </c>
      <c r="BV41" s="2">
        <v>0</v>
      </c>
      <c r="BX41" s="2">
        <v>1.9477927035763731E-2</v>
      </c>
      <c r="BZ41" s="2">
        <v>3.658837122740149E-4</v>
      </c>
      <c r="CB41" s="2">
        <v>5.3537396134212462E-4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N41" s="2">
        <v>0</v>
      </c>
      <c r="CP41" s="2">
        <v>0</v>
      </c>
      <c r="CR41" s="2">
        <v>0</v>
      </c>
      <c r="CT41" s="2">
        <v>0</v>
      </c>
      <c r="CV41" s="2">
        <v>0</v>
      </c>
      <c r="CX41" s="2">
        <v>0</v>
      </c>
      <c r="CZ41" s="2">
        <v>0</v>
      </c>
      <c r="DB41" s="2">
        <v>0</v>
      </c>
      <c r="DD41" s="2">
        <v>0</v>
      </c>
      <c r="DF41" s="37">
        <v>0.23228773150855136</v>
      </c>
      <c r="DG41" s="57"/>
      <c r="DH41" s="25">
        <v>2</v>
      </c>
      <c r="DI41" s="2">
        <f>0.468-0.078</f>
        <v>0.39</v>
      </c>
      <c r="DJ41" s="2">
        <f>0.514-0.055</f>
        <v>0.45900000000000002</v>
      </c>
      <c r="DK41" s="2">
        <v>102.292778744609</v>
      </c>
      <c r="DL41" s="2">
        <v>-1.0396773825036799E-3</v>
      </c>
      <c r="DM41" s="2">
        <v>2.6074643550189601E-4</v>
      </c>
      <c r="DN41" s="2">
        <v>128</v>
      </c>
      <c r="DO41" s="2">
        <v>0.104995051136477</v>
      </c>
      <c r="DP41" s="27">
        <v>1.1252341424674701E-4</v>
      </c>
      <c r="DQ41" s="2">
        <v>-3.3346252557700198E-2</v>
      </c>
      <c r="DR41" s="2">
        <v>2.5110609372563198E-4</v>
      </c>
      <c r="DS41" s="2">
        <v>152</v>
      </c>
      <c r="DT41" s="2">
        <v>0.99150977870087498</v>
      </c>
      <c r="DU41" s="27">
        <v>1.8513334930608798E-157</v>
      </c>
      <c r="DV41" s="2">
        <v>50.9470580175294</v>
      </c>
      <c r="DW41" s="2">
        <v>-8.4915480436752108E-3</v>
      </c>
      <c r="DX41" s="2">
        <v>1.67595335985149E-4</v>
      </c>
      <c r="DY41" s="2">
        <v>177</v>
      </c>
      <c r="DZ41" s="2">
        <v>0.93581659790618998</v>
      </c>
      <c r="EA41" s="27">
        <v>1.6862173289315199E-106</v>
      </c>
      <c r="EB41" s="2">
        <v>-3.2769538742295802E-2</v>
      </c>
      <c r="EC41" s="2">
        <v>2.7243040246874599E-4</v>
      </c>
      <c r="ED41" s="2">
        <v>144</v>
      </c>
      <c r="EE41" s="2">
        <v>0.99021265239093204</v>
      </c>
      <c r="EF41" s="27">
        <v>8.8705831906607701E-145</v>
      </c>
      <c r="EG41" s="48">
        <v>170224.22917243402</v>
      </c>
      <c r="EH41" s="2">
        <v>210</v>
      </c>
      <c r="EI41" s="57">
        <v>0.25</v>
      </c>
      <c r="EJ41" s="27">
        <v>2.9305368722397911E-2</v>
      </c>
      <c r="EK41" s="2">
        <v>80</v>
      </c>
      <c r="EL41" s="24">
        <v>230</v>
      </c>
      <c r="EM41" s="48">
        <v>4.0656091718204902E-12</v>
      </c>
      <c r="EN41" s="52">
        <v>5.1879999999999998E-5</v>
      </c>
    </row>
    <row r="42" spans="1:144" x14ac:dyDescent="0.3">
      <c r="B42">
        <v>7.75</v>
      </c>
      <c r="C42" t="s">
        <v>153</v>
      </c>
      <c r="D42" t="s">
        <v>257</v>
      </c>
      <c r="E42" s="61" t="s">
        <v>254</v>
      </c>
      <c r="F42" s="19">
        <f>(9913-9250)/1500</f>
        <v>0.442</v>
      </c>
      <c r="H42" s="19">
        <v>2.5</v>
      </c>
      <c r="I42">
        <v>105.7</v>
      </c>
      <c r="J42" s="20">
        <v>4.4096666666666664</v>
      </c>
      <c r="K42">
        <v>1</v>
      </c>
      <c r="L42">
        <v>0.65500000000000003</v>
      </c>
      <c r="M42">
        <v>0.751</v>
      </c>
      <c r="N42">
        <v>0.80699999999999994</v>
      </c>
      <c r="O42">
        <v>0.84199999999999997</v>
      </c>
      <c r="P42" s="19">
        <v>0.70899999999999996</v>
      </c>
      <c r="Q42" s="20">
        <v>0.72099999999999997</v>
      </c>
      <c r="R42" s="19">
        <v>1</v>
      </c>
      <c r="S42" s="28">
        <v>20300000</v>
      </c>
      <c r="T42">
        <v>3.7170000000000001</v>
      </c>
      <c r="U42">
        <v>2.9089999999999998</v>
      </c>
      <c r="V42">
        <v>3.1549999999999998</v>
      </c>
      <c r="W42">
        <v>3.4660000000000002</v>
      </c>
      <c r="X42">
        <v>3.8479999999999999</v>
      </c>
      <c r="Y42" s="20">
        <v>4.42</v>
      </c>
      <c r="AA42">
        <v>0.17335970078987287</v>
      </c>
      <c r="AB42" s="20">
        <v>0.16952718987753768</v>
      </c>
      <c r="AC42">
        <f t="shared" si="0"/>
        <v>1</v>
      </c>
      <c r="AD42">
        <v>1</v>
      </c>
      <c r="AE42">
        <v>1</v>
      </c>
      <c r="AF42">
        <f>0.204-0.049</f>
        <v>0.15499999999999997</v>
      </c>
      <c r="AG42">
        <f>0.111-0.046</f>
        <v>6.5000000000000002E-2</v>
      </c>
      <c r="AH42">
        <f>0.176-0.046</f>
        <v>0.13</v>
      </c>
      <c r="AI42" s="43">
        <v>723671.14482089435</v>
      </c>
      <c r="AJ42">
        <v>0</v>
      </c>
      <c r="AL42">
        <v>0</v>
      </c>
      <c r="AN42">
        <v>0</v>
      </c>
      <c r="AP42">
        <v>0</v>
      </c>
      <c r="AR42">
        <v>0</v>
      </c>
      <c r="AT42">
        <v>8.1768517136113466E-4</v>
      </c>
      <c r="AV42">
        <v>3.780253053528863E-4</v>
      </c>
      <c r="AX42">
        <v>1.5531909285151199E-3</v>
      </c>
      <c r="AZ42">
        <v>7.1085193289184068E-4</v>
      </c>
      <c r="BD42">
        <v>8.8753767343721136E-4</v>
      </c>
      <c r="BF42">
        <v>7.5502336802818343E-2</v>
      </c>
      <c r="BH42">
        <v>2.7834167591961435E-2</v>
      </c>
      <c r="BJ42">
        <v>2.3532075258217173E-2</v>
      </c>
      <c r="BL42">
        <v>7.2317884502291296E-4</v>
      </c>
      <c r="BN42">
        <v>0.338168289462419</v>
      </c>
      <c r="BP42">
        <v>0</v>
      </c>
      <c r="BR42">
        <v>5.7024295518340831E-2</v>
      </c>
      <c r="BT42">
        <v>0</v>
      </c>
      <c r="BV42">
        <v>0</v>
      </c>
      <c r="BX42">
        <v>5.1867537276842221E-2</v>
      </c>
      <c r="BZ42">
        <v>8.5877487846470926E-4</v>
      </c>
      <c r="CB42">
        <v>1.4874473971494004E-3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N42">
        <v>0</v>
      </c>
      <c r="CP42">
        <v>0</v>
      </c>
      <c r="CR42">
        <v>0</v>
      </c>
      <c r="CT42">
        <v>0</v>
      </c>
      <c r="CV42">
        <v>0</v>
      </c>
      <c r="CX42">
        <v>0</v>
      </c>
      <c r="CZ42">
        <v>0</v>
      </c>
      <c r="DB42">
        <v>0</v>
      </c>
      <c r="DD42">
        <v>0</v>
      </c>
      <c r="DF42" s="39">
        <v>0.58134539404279439</v>
      </c>
      <c r="DG42" s="58"/>
      <c r="DH42" s="19">
        <v>2</v>
      </c>
      <c r="DI42">
        <f>0.454-0.077</f>
        <v>0.377</v>
      </c>
      <c r="DJ42">
        <f>0.479-0.053</f>
        <v>0.42599999999999999</v>
      </c>
      <c r="DK42">
        <v>51.044953340891297</v>
      </c>
      <c r="DL42">
        <v>-3.3917328162933899E-2</v>
      </c>
      <c r="DM42">
        <v>2.4108038422947001E-4</v>
      </c>
      <c r="DN42">
        <v>149</v>
      </c>
      <c r="DO42">
        <v>0.99257786708465301</v>
      </c>
      <c r="DP42" s="28">
        <v>1.2206112898617999E-158</v>
      </c>
      <c r="DQ42">
        <v>-4.1102281980873102E-2</v>
      </c>
      <c r="DR42">
        <v>5.8958334779681497E-4</v>
      </c>
      <c r="DS42">
        <v>147</v>
      </c>
      <c r="DT42">
        <v>0.97082950880350904</v>
      </c>
      <c r="DU42" s="28">
        <v>2.08363881938944E-113</v>
      </c>
      <c r="DV42">
        <v>101.155888854518</v>
      </c>
      <c r="DW42">
        <v>-2.2353887659513998E-2</v>
      </c>
      <c r="DX42">
        <v>4.92008313073129E-4</v>
      </c>
      <c r="DY42">
        <v>137</v>
      </c>
      <c r="DZ42">
        <v>0.93816059672145802</v>
      </c>
      <c r="EA42" s="28">
        <v>1.10554950030129E-83</v>
      </c>
      <c r="EB42">
        <v>-3.7538321714703102E-2</v>
      </c>
      <c r="EC42">
        <v>4.1460192827271099E-4</v>
      </c>
      <c r="ED42">
        <v>148</v>
      </c>
      <c r="EE42">
        <v>0.982381719513716</v>
      </c>
      <c r="EF42" s="28">
        <v>3.64528164177004E-130</v>
      </c>
      <c r="EG42" s="49">
        <v>362509.40210990829</v>
      </c>
      <c r="EH42">
        <v>224</v>
      </c>
      <c r="EI42" s="58">
        <v>0.5</v>
      </c>
      <c r="EJ42" s="28">
        <v>2.9305368722397911E-2</v>
      </c>
      <c r="EK42">
        <v>80</v>
      </c>
      <c r="EL42" s="20">
        <v>230</v>
      </c>
      <c r="EM42" s="49">
        <v>3.1503413897621201E-12</v>
      </c>
      <c r="EN42" s="53">
        <v>5.1879999999999998E-5</v>
      </c>
    </row>
    <row r="43" spans="1:144" x14ac:dyDescent="0.3">
      <c r="B43">
        <v>7.75</v>
      </c>
      <c r="C43" t="s">
        <v>154</v>
      </c>
      <c r="D43" t="s">
        <v>256</v>
      </c>
      <c r="E43" s="61" t="s">
        <v>255</v>
      </c>
      <c r="F43" s="19">
        <f>(9730-9126)/1500</f>
        <v>0.40266666666666667</v>
      </c>
      <c r="H43" s="19">
        <f>25/10</f>
        <v>2.5</v>
      </c>
      <c r="I43">
        <v>85.066666666666677</v>
      </c>
      <c r="J43" s="20">
        <v>3.6389999999999998</v>
      </c>
      <c r="K43">
        <v>1</v>
      </c>
      <c r="L43">
        <v>0.57600000000000007</v>
      </c>
      <c r="M43">
        <v>0.65300000000000002</v>
      </c>
      <c r="N43">
        <v>0.70699999999999996</v>
      </c>
      <c r="O43">
        <v>0.73599999999999999</v>
      </c>
      <c r="P43" s="19">
        <v>0.623</v>
      </c>
      <c r="Q43" s="20">
        <v>0.63200000000000001</v>
      </c>
      <c r="R43" s="19">
        <v>1</v>
      </c>
      <c r="S43" s="28">
        <v>13700000</v>
      </c>
      <c r="T43">
        <v>4.194</v>
      </c>
      <c r="U43">
        <v>3.0289999999999999</v>
      </c>
      <c r="V43">
        <v>3.4009999999999998</v>
      </c>
      <c r="W43">
        <v>3.9430000000000001</v>
      </c>
      <c r="X43">
        <v>4.7779999999999996</v>
      </c>
      <c r="Y43" s="20">
        <v>5.601</v>
      </c>
      <c r="AA43">
        <v>0.13597047235444884</v>
      </c>
      <c r="AB43" s="20">
        <v>0.10810738086519846</v>
      </c>
      <c r="AC43">
        <f t="shared" si="0"/>
        <v>1</v>
      </c>
      <c r="AD43">
        <v>1</v>
      </c>
      <c r="AE43">
        <v>1</v>
      </c>
      <c r="AF43">
        <f>0.173-0.049</f>
        <v>0.12399999999999999</v>
      </c>
      <c r="AG43">
        <f>0.095-0.046</f>
        <v>4.9000000000000002E-2</v>
      </c>
      <c r="AH43">
        <f>0.145-0.046</f>
        <v>9.8999999999999991E-2</v>
      </c>
      <c r="AI43" s="43">
        <v>1271704.0805017077</v>
      </c>
      <c r="AJ43">
        <v>0</v>
      </c>
      <c r="AL43">
        <v>0</v>
      </c>
      <c r="AN43">
        <v>0</v>
      </c>
      <c r="AP43">
        <v>0</v>
      </c>
      <c r="AR43">
        <v>0</v>
      </c>
      <c r="AT43">
        <v>2.9895948342705463E-4</v>
      </c>
      <c r="AV43">
        <v>0</v>
      </c>
      <c r="AX43">
        <v>6.7968566317603879E-4</v>
      </c>
      <c r="AZ43">
        <v>2.8618343712675322E-4</v>
      </c>
      <c r="BD43">
        <v>8.6877114842050083E-5</v>
      </c>
      <c r="BF43">
        <v>3.1224657157936823E-2</v>
      </c>
      <c r="BH43">
        <v>1.1084497770141566E-2</v>
      </c>
      <c r="BJ43">
        <v>1.0052193229077206E-2</v>
      </c>
      <c r="BL43">
        <v>3.3728762232795916E-4</v>
      </c>
      <c r="BN43">
        <v>0.14105010636458842</v>
      </c>
      <c r="BP43">
        <v>0</v>
      </c>
      <c r="BR43">
        <v>2.2628933207093985E-2</v>
      </c>
      <c r="BT43">
        <v>0</v>
      </c>
      <c r="BV43">
        <v>0</v>
      </c>
      <c r="BX43">
        <v>2.2214989306964219E-2</v>
      </c>
      <c r="BZ43">
        <v>2.964042741669944E-4</v>
      </c>
      <c r="CB43">
        <v>6.9501691873640067E-4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N43">
        <v>0</v>
      </c>
      <c r="CP43">
        <v>0</v>
      </c>
      <c r="CR43">
        <v>0</v>
      </c>
      <c r="CT43">
        <v>0</v>
      </c>
      <c r="CV43">
        <v>0</v>
      </c>
      <c r="CX43">
        <v>0</v>
      </c>
      <c r="CZ43">
        <v>0</v>
      </c>
      <c r="DB43">
        <v>0</v>
      </c>
      <c r="DD43">
        <v>0</v>
      </c>
      <c r="DF43" s="39">
        <v>0.24093579154960551</v>
      </c>
      <c r="DG43" s="58"/>
      <c r="DH43" s="19">
        <v>2</v>
      </c>
      <c r="DI43">
        <f>0.399-0.076</f>
        <v>0.32300000000000001</v>
      </c>
      <c r="DJ43">
        <f>0.412-0.054</f>
        <v>0.35799999999999998</v>
      </c>
      <c r="DK43">
        <v>101.148359093083</v>
      </c>
      <c r="DL43">
        <v>-2.9239883233142399E-2</v>
      </c>
      <c r="DM43">
        <v>2.9087859585879498E-4</v>
      </c>
      <c r="DN43">
        <v>144</v>
      </c>
      <c r="DO43">
        <v>0.98604442411960203</v>
      </c>
      <c r="DP43" s="28">
        <v>7.7396997940848397E-134</v>
      </c>
      <c r="DQ43">
        <v>-3.8572807476003099E-2</v>
      </c>
      <c r="DR43">
        <v>2.48195155705492E-4</v>
      </c>
      <c r="DS43">
        <v>149</v>
      </c>
      <c r="DT43">
        <v>0.99390953215933997</v>
      </c>
      <c r="DU43" s="28">
        <v>5.9463951326883003E-165</v>
      </c>
      <c r="DV43">
        <v>51.137628272853199</v>
      </c>
      <c r="DW43">
        <v>-3.3051976325187998E-2</v>
      </c>
      <c r="DX43">
        <v>4.5805228192130799E-4</v>
      </c>
      <c r="DY43">
        <v>188</v>
      </c>
      <c r="DZ43">
        <v>0.96532366314381102</v>
      </c>
      <c r="EA43" s="28">
        <v>6.0347936157369103E-138</v>
      </c>
      <c r="EB43">
        <v>-3.8174414184515698E-2</v>
      </c>
      <c r="EC43">
        <v>4.1159654488196699E-4</v>
      </c>
      <c r="ED43">
        <v>145</v>
      </c>
      <c r="EE43">
        <v>0.98353351792230903</v>
      </c>
      <c r="EF43" s="28">
        <v>1.2520184441464199E-129</v>
      </c>
      <c r="EG43" s="49">
        <v>637058.1533154099</v>
      </c>
      <c r="EH43">
        <v>198</v>
      </c>
      <c r="EI43" s="58">
        <v>1</v>
      </c>
      <c r="EJ43" s="28">
        <v>2.9305368722397911E-2</v>
      </c>
      <c r="EK43">
        <v>80</v>
      </c>
      <c r="EL43" s="20">
        <v>230</v>
      </c>
      <c r="EM43" s="49">
        <v>2.2563635969486098E-12</v>
      </c>
      <c r="EN43" s="53">
        <v>5.1879999999999998E-5</v>
      </c>
    </row>
    <row r="44" spans="1:144" x14ac:dyDescent="0.3">
      <c r="B44">
        <v>7.75</v>
      </c>
      <c r="C44" t="s">
        <v>156</v>
      </c>
      <c r="D44" t="s">
        <v>258</v>
      </c>
      <c r="E44" s="61" t="s">
        <v>253</v>
      </c>
      <c r="F44" s="19">
        <f>(9903-9136)/1000</f>
        <v>0.76700000000000002</v>
      </c>
      <c r="G44" s="20">
        <f>(10118-9315)/1000</f>
        <v>0.80300000000000005</v>
      </c>
      <c r="H44" s="19">
        <f>25/3</f>
        <v>8.3333333333333339</v>
      </c>
      <c r="I44">
        <v>49.050000000000004</v>
      </c>
      <c r="J44" s="20">
        <v>3.6916666666666669</v>
      </c>
      <c r="K44">
        <v>2</v>
      </c>
      <c r="L44">
        <v>0.66599999999999993</v>
      </c>
      <c r="M44">
        <v>0.98499999999999988</v>
      </c>
      <c r="N44">
        <v>1.04</v>
      </c>
      <c r="O44">
        <v>1.115</v>
      </c>
      <c r="P44" s="19">
        <v>0.79999999999999993</v>
      </c>
      <c r="Q44" s="20">
        <v>0.85099999999999998</v>
      </c>
      <c r="R44" s="19">
        <v>1</v>
      </c>
      <c r="S44" s="28">
        <v>63160000</v>
      </c>
      <c r="T44">
        <v>3.3140000000000001</v>
      </c>
      <c r="U44">
        <v>2.6419999999999999</v>
      </c>
      <c r="V44">
        <v>2.8650000000000002</v>
      </c>
      <c r="W44">
        <v>3.1469999999999998</v>
      </c>
      <c r="X44">
        <v>3.5209999999999999</v>
      </c>
      <c r="Y44" s="20">
        <v>4.1340000000000003</v>
      </c>
      <c r="AA44">
        <v>0.31362259375208157</v>
      </c>
      <c r="AB44" s="20">
        <v>0.30669975144348582</v>
      </c>
      <c r="AC44">
        <f t="shared" si="0"/>
        <v>2</v>
      </c>
      <c r="AD44">
        <v>1</v>
      </c>
      <c r="AE44">
        <v>1</v>
      </c>
      <c r="AF44">
        <f>0.475-0.049</f>
        <v>0.42599999999999999</v>
      </c>
      <c r="AG44">
        <f>0.239-0.046</f>
        <v>0.193</v>
      </c>
      <c r="AH44">
        <f>0.514-0.046</f>
        <v>0.46800000000000003</v>
      </c>
      <c r="AI44" s="43">
        <v>361549.12948827364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4.4340852225506776E-4</v>
      </c>
      <c r="AU44">
        <v>4.7233154268273804E-4</v>
      </c>
      <c r="AV44">
        <v>2.1878709979690847E-4</v>
      </c>
      <c r="AW44">
        <v>2.3466153075957685E-4</v>
      </c>
      <c r="AX44">
        <v>1.1201899509601712E-3</v>
      </c>
      <c r="AY44">
        <v>1.2816129756869198E-3</v>
      </c>
      <c r="AZ44">
        <v>5.367576848350821E-4</v>
      </c>
      <c r="BA44">
        <v>4.1216191941105166E-4</v>
      </c>
      <c r="BD44">
        <v>4.9883458753695136E-4</v>
      </c>
      <c r="BE44">
        <v>4.9339091082782833E-4</v>
      </c>
      <c r="BF44">
        <v>2.2103331402149002E-2</v>
      </c>
      <c r="BG44">
        <v>2.1173690429306436E-2</v>
      </c>
      <c r="BH44">
        <v>1.1788248937057428E-2</v>
      </c>
      <c r="BI44">
        <v>1.1823330972886372E-2</v>
      </c>
      <c r="BJ44">
        <v>5.948091953145284E-3</v>
      </c>
      <c r="BK44">
        <v>5.7492075036096333E-3</v>
      </c>
      <c r="BL44">
        <v>3.1213626237692273E-4</v>
      </c>
      <c r="BM44">
        <v>2.7978874821334165E-4</v>
      </c>
      <c r="BN44">
        <v>8.6864312942033908E-2</v>
      </c>
      <c r="BO44">
        <v>8.4180311438252817E-2</v>
      </c>
      <c r="BP44">
        <v>0</v>
      </c>
      <c r="BQ44">
        <v>0</v>
      </c>
      <c r="BR44">
        <v>2.5875221002647709E-2</v>
      </c>
      <c r="BS44">
        <v>2.5596157739775381E-2</v>
      </c>
      <c r="BT44">
        <v>0</v>
      </c>
      <c r="BU44">
        <v>0</v>
      </c>
      <c r="BV44">
        <v>0</v>
      </c>
      <c r="BW44">
        <v>0</v>
      </c>
      <c r="BX44">
        <v>1.4883357108851025E-2</v>
      </c>
      <c r="BY44">
        <v>1.4488845283822079E-2</v>
      </c>
      <c r="BZ44">
        <v>2.6837884241754105E-4</v>
      </c>
      <c r="CA44">
        <v>2.7076330472258872E-4</v>
      </c>
      <c r="CB44">
        <v>2.8879897173191916E-4</v>
      </c>
      <c r="CC44">
        <v>2.7076330472258872E-4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 s="39">
        <v>0.17114985526779494</v>
      </c>
      <c r="DG44" s="58">
        <v>0.16672701760467934</v>
      </c>
      <c r="DH44" s="19">
        <f>6</f>
        <v>6</v>
      </c>
      <c r="DI44">
        <f>0.321-0.078</f>
        <v>0.24299999999999999</v>
      </c>
      <c r="DJ44">
        <f>0.391-0.055</f>
        <v>0.33600000000000002</v>
      </c>
      <c r="DK44">
        <v>51.073417580363603</v>
      </c>
      <c r="DL44">
        <v>6.7687101549337202E-3</v>
      </c>
      <c r="DM44">
        <v>3.1022122659241802E-4</v>
      </c>
      <c r="DN44">
        <v>121</v>
      </c>
      <c r="DO44">
        <v>0.79834230862069999</v>
      </c>
      <c r="DP44" s="28">
        <v>2.08521326857812E-43</v>
      </c>
      <c r="DQ44">
        <v>-3.3248329326221598E-2</v>
      </c>
      <c r="DR44">
        <v>5.8907786611643402E-4</v>
      </c>
      <c r="DS44">
        <v>148</v>
      </c>
      <c r="DT44">
        <v>0.95587734775594602</v>
      </c>
      <c r="DU44" s="28">
        <v>4.7044290908669402E-101</v>
      </c>
      <c r="DV44">
        <v>99.065655243378998</v>
      </c>
      <c r="DW44">
        <v>1.5527787513106101E-2</v>
      </c>
      <c r="DX44">
        <v>2.4760898450786501E-4</v>
      </c>
      <c r="DY44">
        <v>138</v>
      </c>
      <c r="DZ44">
        <v>0.96632797720994301</v>
      </c>
      <c r="EA44" s="28">
        <v>3.0171664540517702E-102</v>
      </c>
      <c r="EB44">
        <v>-2.8781974934036801E-2</v>
      </c>
      <c r="EC44">
        <v>2.86386452675042E-4</v>
      </c>
      <c r="ED44">
        <v>133</v>
      </c>
      <c r="EE44">
        <v>0.98709847139483198</v>
      </c>
      <c r="EF44" s="28">
        <v>7.5145939263782903E-126</v>
      </c>
      <c r="EG44" s="49">
        <v>180774.76504838539</v>
      </c>
      <c r="EH44">
        <v>222</v>
      </c>
      <c r="EI44" s="58">
        <v>0.25</v>
      </c>
      <c r="EJ44" s="28">
        <v>3.5793658186437587E-2</v>
      </c>
      <c r="EK44">
        <v>50</v>
      </c>
      <c r="EL44" s="20">
        <v>350</v>
      </c>
      <c r="EM44" s="49">
        <v>1.2763750258083E-11</v>
      </c>
      <c r="EN44" s="53">
        <v>5.1879999999999998E-5</v>
      </c>
    </row>
    <row r="45" spans="1:144" x14ac:dyDescent="0.3">
      <c r="B45">
        <v>7.75</v>
      </c>
      <c r="C45" t="s">
        <v>155</v>
      </c>
      <c r="D45" t="s">
        <v>258</v>
      </c>
      <c r="E45" s="61" t="s">
        <v>254</v>
      </c>
      <c r="F45" s="19">
        <f>(10164-9111)/1000</f>
        <v>1.0529999999999999</v>
      </c>
      <c r="G45" s="20">
        <f>(10184-9143)/1000</f>
        <v>1.0409999999999999</v>
      </c>
      <c r="H45" s="19">
        <f>25/3</f>
        <v>8.3333333333333339</v>
      </c>
      <c r="I45">
        <v>68.823333333333338</v>
      </c>
      <c r="J45" s="20">
        <v>3.8183333333333334</v>
      </c>
      <c r="K45">
        <v>2</v>
      </c>
      <c r="L45">
        <v>0.76400000000000001</v>
      </c>
      <c r="M45">
        <v>0.98799999999999999</v>
      </c>
      <c r="N45">
        <v>1.06</v>
      </c>
      <c r="O45">
        <v>1.119</v>
      </c>
      <c r="P45" s="19">
        <v>0.86599999999999999</v>
      </c>
      <c r="Q45" s="20">
        <v>0.90600000000000003</v>
      </c>
      <c r="R45" s="19">
        <v>1</v>
      </c>
      <c r="S45" s="28">
        <v>54190000</v>
      </c>
      <c r="T45">
        <v>3.6840000000000002</v>
      </c>
      <c r="U45">
        <v>2.8490000000000002</v>
      </c>
      <c r="V45">
        <v>3.109</v>
      </c>
      <c r="W45">
        <v>3.4409999999999998</v>
      </c>
      <c r="X45">
        <v>3.9489999999999998</v>
      </c>
      <c r="Y45" s="20">
        <v>4.7619999999999996</v>
      </c>
      <c r="AA45">
        <v>0.23141764493760583</v>
      </c>
      <c r="AB45" s="20">
        <v>0.2586965236189242</v>
      </c>
      <c r="AC45">
        <f t="shared" si="0"/>
        <v>2</v>
      </c>
      <c r="AD45">
        <v>1</v>
      </c>
      <c r="AE45">
        <v>1</v>
      </c>
      <c r="AF45">
        <f>0.399-0.049</f>
        <v>0.35000000000000003</v>
      </c>
      <c r="AG45">
        <f>0.197-0.046</f>
        <v>0.15100000000000002</v>
      </c>
      <c r="AH45">
        <f>0.378-0.046</f>
        <v>0.33200000000000002</v>
      </c>
      <c r="AI45" s="43">
        <v>762184.61912296654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3.2325978159220697E-4</v>
      </c>
      <c r="AU45">
        <v>6.9812879858506354E-4</v>
      </c>
      <c r="AV45">
        <v>9.3192009107663271E-5</v>
      </c>
      <c r="AW45">
        <v>2.2859084555440135E-4</v>
      </c>
      <c r="AX45">
        <v>8.4455258253819849E-4</v>
      </c>
      <c r="AY45">
        <v>1.7484110619431237E-3</v>
      </c>
      <c r="AZ45">
        <v>3.2617203187682145E-4</v>
      </c>
      <c r="BA45">
        <v>6.919506676241337E-4</v>
      </c>
      <c r="BD45">
        <v>2.7957602732298981E-4</v>
      </c>
      <c r="BE45">
        <v>5.9310057224925747E-4</v>
      </c>
      <c r="BF45">
        <v>2.4401745134784707E-2</v>
      </c>
      <c r="BG45">
        <v>5.3323448323784807E-2</v>
      </c>
      <c r="BH45">
        <v>1.1407284364834906E-2</v>
      </c>
      <c r="BI45">
        <v>2.4039107568977716E-2</v>
      </c>
      <c r="BJ45">
        <v>7.5223424851591945E-3</v>
      </c>
      <c r="BK45">
        <v>1.6180524986675056E-2</v>
      </c>
      <c r="BL45">
        <v>2.0094526963839894E-4</v>
      </c>
      <c r="BM45">
        <v>4.571816911088027E-4</v>
      </c>
      <c r="BN45">
        <v>0.11672299140734825</v>
      </c>
      <c r="BO45">
        <v>0.24235572133535285</v>
      </c>
      <c r="BP45">
        <v>0</v>
      </c>
      <c r="BQ45">
        <v>0</v>
      </c>
      <c r="BR45">
        <v>2.4754127419223056E-2</v>
      </c>
      <c r="BS45">
        <v>5.4719705920954931E-2</v>
      </c>
      <c r="BT45">
        <v>0</v>
      </c>
      <c r="BU45">
        <v>0</v>
      </c>
      <c r="BV45">
        <v>0</v>
      </c>
      <c r="BW45">
        <v>0</v>
      </c>
      <c r="BX45">
        <v>1.7636587723625276E-2</v>
      </c>
      <c r="BY45">
        <v>3.7581570635335765E-2</v>
      </c>
      <c r="BZ45">
        <v>3.203475313075925E-4</v>
      </c>
      <c r="CA45">
        <v>6.9812879858506354E-4</v>
      </c>
      <c r="CB45">
        <v>5.0964379980753352E-4</v>
      </c>
      <c r="CC45">
        <v>9.143633822176054E-4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4.5100356014787286E-4</v>
      </c>
      <c r="DB45">
        <v>0</v>
      </c>
      <c r="DC45">
        <v>0</v>
      </c>
      <c r="DD45">
        <v>0</v>
      </c>
      <c r="DE45">
        <v>0</v>
      </c>
      <c r="DF45" s="39">
        <v>0.20534276756816677</v>
      </c>
      <c r="DG45" s="58"/>
      <c r="DH45" s="19">
        <v>6</v>
      </c>
      <c r="DI45">
        <f>0.357-0.079</f>
        <v>0.27799999999999997</v>
      </c>
      <c r="DJ45">
        <f>0.4-0.057</f>
        <v>0.34300000000000003</v>
      </c>
      <c r="DK45">
        <v>99.087951641532797</v>
      </c>
      <c r="DL45">
        <v>-5.7473641223795297E-3</v>
      </c>
      <c r="DM45">
        <v>3.1764972866217398E-4</v>
      </c>
      <c r="DN45">
        <v>131</v>
      </c>
      <c r="DO45">
        <v>0.715144152739286</v>
      </c>
      <c r="DP45" s="28">
        <v>3.3393130140676601E-37</v>
      </c>
      <c r="DQ45">
        <v>-3.6797096488137199E-2</v>
      </c>
      <c r="DR45">
        <v>3.0338832379600198E-4</v>
      </c>
      <c r="DS45">
        <v>169</v>
      </c>
      <c r="DT45">
        <v>0.98870783017846597</v>
      </c>
      <c r="DU45" s="28">
        <v>9.6109663542066707E-165</v>
      </c>
      <c r="DV45">
        <v>49.833291118522098</v>
      </c>
      <c r="DW45">
        <v>-8.4218582282223394E-3</v>
      </c>
      <c r="DX45">
        <v>6.4677164804269696E-4</v>
      </c>
      <c r="DY45">
        <v>86</v>
      </c>
      <c r="DZ45">
        <v>0.66476871838416896</v>
      </c>
      <c r="EA45" s="28">
        <v>7.4477689503839702E-22</v>
      </c>
      <c r="EB45">
        <v>-3.8785494561883099E-2</v>
      </c>
      <c r="EC45">
        <v>3.3040658764928399E-4</v>
      </c>
      <c r="ED45">
        <v>159</v>
      </c>
      <c r="EE45">
        <v>0.98866306535083603</v>
      </c>
      <c r="EF45" s="28">
        <v>7.3650726952665502E-155</v>
      </c>
      <c r="EG45" s="49">
        <v>381092.74957349029</v>
      </c>
      <c r="EH45">
        <v>234</v>
      </c>
      <c r="EI45" s="58">
        <v>0.5</v>
      </c>
      <c r="EJ45" s="28">
        <v>3.5793658186437587E-2</v>
      </c>
      <c r="EK45">
        <v>50</v>
      </c>
      <c r="EL45" s="20">
        <v>350</v>
      </c>
      <c r="EM45" s="49">
        <v>9.2224984648840903E-12</v>
      </c>
      <c r="EN45" s="53">
        <v>5.1879999999999998E-5</v>
      </c>
    </row>
    <row r="46" spans="1:144" x14ac:dyDescent="0.3">
      <c r="B46">
        <v>7.75</v>
      </c>
      <c r="C46" t="s">
        <v>157</v>
      </c>
      <c r="D46" t="s">
        <v>258</v>
      </c>
      <c r="E46" s="61" t="s">
        <v>255</v>
      </c>
      <c r="F46" s="19">
        <f>(10210-9160)/1000</f>
        <v>1.05</v>
      </c>
      <c r="G46" s="20">
        <f>(10367-9206)/1000</f>
        <v>1.161</v>
      </c>
      <c r="H46" s="19">
        <f>25/3</f>
        <v>8.3333333333333339</v>
      </c>
      <c r="I46">
        <v>65.433333333333337</v>
      </c>
      <c r="J46" s="20">
        <v>3.2650000000000001</v>
      </c>
      <c r="K46">
        <v>2</v>
      </c>
      <c r="L46">
        <v>0.75800000000000001</v>
      </c>
      <c r="M46">
        <v>0.92599999999999993</v>
      </c>
      <c r="N46">
        <v>1.006</v>
      </c>
      <c r="O46">
        <v>1.0550000000000002</v>
      </c>
      <c r="P46" s="19">
        <v>0.84299999999999997</v>
      </c>
      <c r="Q46" s="20">
        <v>0.872</v>
      </c>
      <c r="R46" s="19">
        <v>1</v>
      </c>
      <c r="S46" s="28">
        <v>41620000</v>
      </c>
      <c r="T46">
        <v>4.0019999999999998</v>
      </c>
      <c r="U46">
        <v>3.0070000000000001</v>
      </c>
      <c r="V46">
        <v>3.2930000000000001</v>
      </c>
      <c r="W46">
        <v>3.7280000000000002</v>
      </c>
      <c r="X46">
        <v>4.5529999999999999</v>
      </c>
      <c r="Y46" s="20">
        <v>5.31</v>
      </c>
      <c r="AA46">
        <v>0.13522213056376778</v>
      </c>
      <c r="AB46" s="20">
        <v>0.21366737545409364</v>
      </c>
      <c r="AC46">
        <f t="shared" si="0"/>
        <v>2</v>
      </c>
      <c r="AD46">
        <v>1</v>
      </c>
      <c r="AE46">
        <v>1</v>
      </c>
      <c r="AF46">
        <f>0.327-0.049</f>
        <v>0.27800000000000002</v>
      </c>
      <c r="AG46">
        <f>0.157-0.046</f>
        <v>0.111</v>
      </c>
      <c r="AH46">
        <f>0.284-0.046</f>
        <v>0.23799999999999999</v>
      </c>
      <c r="AI46" s="43">
        <v>1381052.8520894386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2.827683016734619E-4</v>
      </c>
      <c r="AU46">
        <v>0</v>
      </c>
      <c r="AV46">
        <v>1.3972080788571058E-4</v>
      </c>
      <c r="AW46">
        <v>6.7258035344488023E-5</v>
      </c>
      <c r="AX46">
        <v>6.586838086040641E-4</v>
      </c>
      <c r="AY46">
        <v>9.3892217340905276E-4</v>
      </c>
      <c r="AZ46">
        <v>1.0978063476734403E-4</v>
      </c>
      <c r="BA46">
        <v>1.2106446362007845E-4</v>
      </c>
      <c r="BD46">
        <v>1.4970086559183275E-4</v>
      </c>
      <c r="BE46">
        <v>2.6096117713661352E-4</v>
      </c>
      <c r="BF46">
        <v>2.275120488405654E-2</v>
      </c>
      <c r="BG46">
        <v>2.8280658701650321E-2</v>
      </c>
      <c r="BH46">
        <v>9.0519123394528205E-3</v>
      </c>
      <c r="BI46">
        <v>1.2894710536245245E-2</v>
      </c>
      <c r="BJ46">
        <v>7.0958210290528725E-3</v>
      </c>
      <c r="BK46">
        <v>8.9264864509204494E-3</v>
      </c>
      <c r="BL46">
        <v>2.361946990448917E-4</v>
      </c>
      <c r="BM46">
        <v>2.8517406986062924E-4</v>
      </c>
      <c r="BN46">
        <v>0.10933485885647057</v>
      </c>
      <c r="BO46">
        <v>0.13601188939503744</v>
      </c>
      <c r="BP46">
        <v>0</v>
      </c>
      <c r="BQ46">
        <v>0</v>
      </c>
      <c r="BR46">
        <v>2.0701966368399449E-2</v>
      </c>
      <c r="BS46">
        <v>2.5775969465421593E-2</v>
      </c>
      <c r="BT46">
        <v>0</v>
      </c>
      <c r="BU46">
        <v>0</v>
      </c>
      <c r="BV46">
        <v>0</v>
      </c>
      <c r="BW46">
        <v>0</v>
      </c>
      <c r="BX46">
        <v>1.6766496946285268E-2</v>
      </c>
      <c r="BY46">
        <v>2.0570197529758218E-2</v>
      </c>
      <c r="BZ46">
        <v>3.0272841708570624E-4</v>
      </c>
      <c r="CA46">
        <v>3.6050306944645578E-4</v>
      </c>
      <c r="CB46">
        <v>5.3892311613059794E-4</v>
      </c>
      <c r="CC46">
        <v>6.5105778213464408E-4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 s="39">
        <v>0.18812076107450112</v>
      </c>
      <c r="DG46" s="58">
        <v>0.23514485284998524</v>
      </c>
      <c r="DH46" s="19">
        <v>6</v>
      </c>
      <c r="DI46">
        <f>0.369-0.077</f>
        <v>0.29199999999999998</v>
      </c>
      <c r="DJ46">
        <f>0.397-0.053</f>
        <v>0.34400000000000003</v>
      </c>
      <c r="DK46">
        <v>49.847451613633602</v>
      </c>
      <c r="DL46">
        <v>-3.4912398361046301E-2</v>
      </c>
      <c r="DM46">
        <v>2.8318946820050797E-4</v>
      </c>
      <c r="DN46">
        <v>143</v>
      </c>
      <c r="DO46">
        <v>0.99074294729414003</v>
      </c>
      <c r="DP46" s="28">
        <v>1.7720852660217502E-145</v>
      </c>
      <c r="DQ46">
        <v>-4.3351639961343703E-2</v>
      </c>
      <c r="DR46">
        <v>2.5544217601898502E-4</v>
      </c>
      <c r="DS46">
        <v>151</v>
      </c>
      <c r="DT46">
        <v>0.99481886987016399</v>
      </c>
      <c r="DU46" s="28">
        <v>2.10827514833133E-172</v>
      </c>
      <c r="DV46">
        <v>99.929741744522204</v>
      </c>
      <c r="DW46">
        <v>-1.7156487392966002E-2</v>
      </c>
      <c r="DX46">
        <v>1.7416997401270601E-3</v>
      </c>
      <c r="DY46">
        <v>167</v>
      </c>
      <c r="DZ46">
        <v>0.36648699290650499</v>
      </c>
      <c r="EA46" s="28">
        <v>2.7057320410711301E-18</v>
      </c>
      <c r="EB46">
        <v>-3.9571822907916603E-2</v>
      </c>
      <c r="EC46">
        <v>1.8983140462082301E-3</v>
      </c>
      <c r="ED46">
        <v>124</v>
      </c>
      <c r="EE46">
        <v>0.77899410271634495</v>
      </c>
      <c r="EF46" s="28">
        <v>5.0465946471456103E-42</v>
      </c>
      <c r="EG46" s="49">
        <v>690526.92955335183</v>
      </c>
      <c r="EH46">
        <v>212</v>
      </c>
      <c r="EI46" s="58">
        <v>1</v>
      </c>
      <c r="EJ46" s="28">
        <v>3.5793658186437587E-2</v>
      </c>
      <c r="EK46">
        <v>50</v>
      </c>
      <c r="EL46" s="20">
        <v>350</v>
      </c>
      <c r="EM46" s="49">
        <v>5.0952070650007996E-12</v>
      </c>
      <c r="EN46" s="53">
        <v>5.1879999999999998E-5</v>
      </c>
    </row>
    <row r="47" spans="1:144" x14ac:dyDescent="0.3">
      <c r="B47">
        <v>7.75</v>
      </c>
      <c r="C47" t="s">
        <v>158</v>
      </c>
      <c r="D47" t="s">
        <v>259</v>
      </c>
      <c r="E47" s="61" t="s">
        <v>253</v>
      </c>
      <c r="F47" s="19">
        <f>(10306-9287)/500</f>
        <v>2.0379999999999998</v>
      </c>
      <c r="G47" s="20">
        <f>(10123-9103)/500</f>
        <v>2.04</v>
      </c>
      <c r="H47" s="19">
        <f>25/2</f>
        <v>12.5</v>
      </c>
      <c r="I47">
        <v>73.736666666666665</v>
      </c>
      <c r="J47" s="20">
        <v>10.046666666666667</v>
      </c>
      <c r="K47">
        <v>10</v>
      </c>
      <c r="L47">
        <v>0.27500000000000002</v>
      </c>
      <c r="M47">
        <v>0.47200000000000003</v>
      </c>
      <c r="N47">
        <v>0.48300000000000004</v>
      </c>
      <c r="O47">
        <v>0.51400000000000001</v>
      </c>
      <c r="P47" s="19">
        <v>0.35000000000000003</v>
      </c>
      <c r="Q47" s="20">
        <v>0.38200000000000001</v>
      </c>
      <c r="R47" s="19">
        <v>1</v>
      </c>
      <c r="S47" s="28">
        <v>93790000</v>
      </c>
      <c r="T47">
        <v>3.97</v>
      </c>
      <c r="U47">
        <v>2.714</v>
      </c>
      <c r="V47">
        <v>3.0649999999999999</v>
      </c>
      <c r="W47">
        <v>3.6709999999999998</v>
      </c>
      <c r="X47">
        <v>4.5670000000000002</v>
      </c>
      <c r="Y47" s="20">
        <v>5.3449999999999998</v>
      </c>
      <c r="AA47">
        <v>0.29185019105420318</v>
      </c>
      <c r="AB47" s="20">
        <v>0.28226288639115948</v>
      </c>
      <c r="AC47">
        <f t="shared" si="0"/>
        <v>10</v>
      </c>
      <c r="AD47">
        <v>1</v>
      </c>
      <c r="AE47">
        <v>1</v>
      </c>
      <c r="AF47">
        <f>0.394-0.049</f>
        <v>0.34500000000000003</v>
      </c>
      <c r="AG47">
        <f>0.225-0.046</f>
        <v>0.17899999999999999</v>
      </c>
      <c r="AH47">
        <f>0.475-0.046</f>
        <v>0.42899999999999999</v>
      </c>
      <c r="AI47" s="43">
        <v>364806.76327971427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4.5146707300326293E-4</v>
      </c>
      <c r="AU47">
        <v>4.289139917855029E-4</v>
      </c>
      <c r="AV47">
        <v>5.6654691514134955E-4</v>
      </c>
      <c r="AW47">
        <v>3.1317529558941482E-4</v>
      </c>
      <c r="AX47">
        <v>2.9433882700702924E-3</v>
      </c>
      <c r="AY47">
        <v>3.1657937488929976E-3</v>
      </c>
      <c r="AZ47">
        <v>1.2570259679698693E-3</v>
      </c>
      <c r="BA47">
        <v>1.3003582925560486E-3</v>
      </c>
      <c r="BD47">
        <v>1.2968612979407455E-3</v>
      </c>
      <c r="BE47">
        <v>1.3003582925560486E-3</v>
      </c>
      <c r="BF47">
        <v>2.2055494360541755E-2</v>
      </c>
      <c r="BG47">
        <v>2.3311135045612098E-2</v>
      </c>
      <c r="BH47">
        <v>1.6987555158691405E-2</v>
      </c>
      <c r="BI47">
        <v>1.7905457117394802E-2</v>
      </c>
      <c r="BJ47">
        <v>4.0100898837348653E-3</v>
      </c>
      <c r="BK47">
        <v>4.2142501732575603E-3</v>
      </c>
      <c r="BL47">
        <v>3.9923852926366981E-3</v>
      </c>
      <c r="BM47">
        <v>4.1461685872598618E-3</v>
      </c>
      <c r="BN47">
        <v>3.9109441735851284E-2</v>
      </c>
      <c r="BO47">
        <v>4.2013146719179974E-2</v>
      </c>
      <c r="BP47">
        <v>0</v>
      </c>
      <c r="BQ47">
        <v>0</v>
      </c>
      <c r="BR47">
        <v>3.6604242095460635E-2</v>
      </c>
      <c r="BS47">
        <v>3.863630005369411E-2</v>
      </c>
      <c r="BT47">
        <v>0</v>
      </c>
      <c r="BU47">
        <v>0</v>
      </c>
      <c r="BV47">
        <v>9.9411279016208675E-3</v>
      </c>
      <c r="BW47">
        <v>1.0348401071650229E-2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 s="39">
        <v>0.13921562595266304</v>
      </c>
      <c r="DG47" s="58">
        <v>0.14708345838942863</v>
      </c>
      <c r="DH47" s="19">
        <v>11</v>
      </c>
      <c r="DI47">
        <f>0.343-0.084</f>
        <v>0.25900000000000001</v>
      </c>
      <c r="DJ47">
        <f>0.507-0.06</f>
        <v>0.44700000000000001</v>
      </c>
      <c r="DK47">
        <v>99.980994591224302</v>
      </c>
      <c r="DL47">
        <v>7.4723463391557901E-2</v>
      </c>
      <c r="DM47">
        <v>2.9039749589070199E-3</v>
      </c>
      <c r="DN47">
        <v>144</v>
      </c>
      <c r="DO47">
        <v>0.82216299525542802</v>
      </c>
      <c r="DP47" s="28">
        <v>2.5221158577377101E-55</v>
      </c>
      <c r="DQ47">
        <v>-4.7172387412019103E-2</v>
      </c>
      <c r="DR47">
        <v>3.31022647373032E-3</v>
      </c>
      <c r="DS47">
        <v>149</v>
      </c>
      <c r="DT47">
        <v>0.57723561613515395</v>
      </c>
      <c r="DU47" s="28">
        <v>1.7200021237034601E-29</v>
      </c>
      <c r="DV47">
        <v>51.319726097563802</v>
      </c>
      <c r="DW47">
        <v>3.4300601375672701E-2</v>
      </c>
      <c r="DX47">
        <v>1.7909722132689401E-3</v>
      </c>
      <c r="DY47">
        <v>149</v>
      </c>
      <c r="DZ47">
        <v>0.71194849236022595</v>
      </c>
      <c r="EA47" s="28">
        <v>8.7944654276284897E-42</v>
      </c>
      <c r="EB47">
        <v>-4.3898851196083E-2</v>
      </c>
      <c r="EC47">
        <v>2.3072901344848799E-3</v>
      </c>
      <c r="ED47">
        <v>146</v>
      </c>
      <c r="EE47">
        <v>0.71343558260833095</v>
      </c>
      <c r="EF47" s="28">
        <v>3.9551004485183801E-41</v>
      </c>
      <c r="EG47" s="49">
        <v>182403.38274154626</v>
      </c>
      <c r="EH47">
        <v>224</v>
      </c>
      <c r="EI47" s="58">
        <v>0.25</v>
      </c>
      <c r="EJ47" s="28">
        <v>3.7254425088203813E-2</v>
      </c>
      <c r="EK47">
        <v>50</v>
      </c>
      <c r="EL47" s="20">
        <v>350</v>
      </c>
      <c r="EM47" s="49">
        <v>2.3930329413542298E-11</v>
      </c>
      <c r="EN47" s="53">
        <v>5.1879999999999998E-5</v>
      </c>
    </row>
    <row r="48" spans="1:144" x14ac:dyDescent="0.3">
      <c r="B48">
        <v>7.75</v>
      </c>
      <c r="C48" t="s">
        <v>159</v>
      </c>
      <c r="D48" t="s">
        <v>259</v>
      </c>
      <c r="E48" s="61" t="s">
        <v>254</v>
      </c>
      <c r="F48" s="19">
        <f>(10281-9108)/500</f>
        <v>2.3460000000000001</v>
      </c>
      <c r="G48" s="20">
        <f>(10453-9291)/500</f>
        <v>2.3239999999999998</v>
      </c>
      <c r="H48" s="19">
        <f>25/2</f>
        <v>12.5</v>
      </c>
      <c r="I48">
        <v>74.53</v>
      </c>
      <c r="J48" s="20">
        <v>8.2484999999999999</v>
      </c>
      <c r="K48">
        <v>10</v>
      </c>
      <c r="L48">
        <v>0.33800000000000002</v>
      </c>
      <c r="M48">
        <v>0.54299999999999993</v>
      </c>
      <c r="N48">
        <v>0.56099999999999994</v>
      </c>
      <c r="O48">
        <v>0.59599999999999997</v>
      </c>
      <c r="P48" s="19">
        <v>0.41900000000000004</v>
      </c>
      <c r="Q48" s="20">
        <v>0.45200000000000001</v>
      </c>
      <c r="R48" s="19">
        <v>1</v>
      </c>
      <c r="S48" s="28">
        <v>105600000</v>
      </c>
      <c r="T48">
        <v>3.988</v>
      </c>
      <c r="U48">
        <v>2.831</v>
      </c>
      <c r="V48">
        <v>3.1379999999999999</v>
      </c>
      <c r="W48">
        <v>3.738</v>
      </c>
      <c r="X48">
        <v>4.6120000000000001</v>
      </c>
      <c r="Y48" s="20">
        <v>5.335</v>
      </c>
      <c r="AA48">
        <v>0.26194998687101145</v>
      </c>
      <c r="AB48" s="20">
        <v>0.24769401678544586</v>
      </c>
      <c r="AC48">
        <f t="shared" si="0"/>
        <v>10</v>
      </c>
      <c r="AD48">
        <v>1</v>
      </c>
      <c r="AE48">
        <v>1</v>
      </c>
      <c r="AF48">
        <f>0.373-0.049</f>
        <v>0.32400000000000001</v>
      </c>
      <c r="AG48">
        <f>0.206-0.046</f>
        <v>0.15999999999999998</v>
      </c>
      <c r="AH48">
        <f>0.438-0.046</f>
        <v>0.39200000000000002</v>
      </c>
      <c r="AI48" s="43">
        <v>752413.95345745923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5.2284575686775377E-4</v>
      </c>
      <c r="AU48">
        <v>4.813754619390683E-4</v>
      </c>
      <c r="AV48">
        <v>5.2284575686775377E-4</v>
      </c>
      <c r="AW48">
        <v>4.9072255828739979E-4</v>
      </c>
      <c r="AX48">
        <v>2.3778115725376974E-3</v>
      </c>
      <c r="AY48">
        <v>2.5096953695269873E-3</v>
      </c>
      <c r="AZ48">
        <v>1.0138661198392095E-3</v>
      </c>
      <c r="BA48">
        <v>1.0281805983164566E-3</v>
      </c>
      <c r="BD48">
        <v>1.0957028470011188E-3</v>
      </c>
      <c r="BE48">
        <v>1.0235070501422908E-3</v>
      </c>
      <c r="BF48">
        <v>2.7356199296289341E-2</v>
      </c>
      <c r="BG48">
        <v>2.6844860712407846E-2</v>
      </c>
      <c r="BH48">
        <v>1.9772662579285748E-2</v>
      </c>
      <c r="BI48">
        <v>1.9203609447646909E-2</v>
      </c>
      <c r="BJ48">
        <v>4.8965641751875719E-3</v>
      </c>
      <c r="BK48">
        <v>4.7763662339973577E-3</v>
      </c>
      <c r="BL48">
        <v>6.7515299908575159E-3</v>
      </c>
      <c r="BM48">
        <v>6.7252358226244594E-3</v>
      </c>
      <c r="BN48">
        <v>7.116158075212245E-2</v>
      </c>
      <c r="BO48">
        <v>6.9691950373159089E-2</v>
      </c>
      <c r="BP48">
        <v>0</v>
      </c>
      <c r="BQ48">
        <v>0</v>
      </c>
      <c r="BR48">
        <v>4.1282082368340904E-2</v>
      </c>
      <c r="BS48">
        <v>4.0907567168472478E-2</v>
      </c>
      <c r="BT48">
        <v>0</v>
      </c>
      <c r="BU48">
        <v>0</v>
      </c>
      <c r="BV48">
        <v>1.1961801620165741E-2</v>
      </c>
      <c r="BW48">
        <v>1.1711911724459272E-2</v>
      </c>
      <c r="BX48">
        <v>0</v>
      </c>
      <c r="BY48">
        <v>0</v>
      </c>
      <c r="BZ48">
        <v>1.7276642400847515E-4</v>
      </c>
      <c r="CA48">
        <v>4.346399801974112E-4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 s="39">
        <v>0.18888825925937131</v>
      </c>
      <c r="DG48" s="58">
        <v>0.18582962250117702</v>
      </c>
      <c r="DH48" s="19">
        <v>11</v>
      </c>
      <c r="DI48">
        <f>0.384-0.078</f>
        <v>0.30599999999999999</v>
      </c>
      <c r="DJ48">
        <f>0.55-0.056</f>
        <v>0.49400000000000005</v>
      </c>
      <c r="DK48">
        <v>51.159096711969198</v>
      </c>
      <c r="DL48">
        <v>1.6991871769495001E-2</v>
      </c>
      <c r="DM48">
        <v>6.9884453442420401E-4</v>
      </c>
      <c r="DN48">
        <v>104</v>
      </c>
      <c r="DO48">
        <v>0.85140990294346197</v>
      </c>
      <c r="DP48" s="28">
        <v>3.0606556139821301E-44</v>
      </c>
      <c r="DQ48">
        <v>-7.1775271882157904E-2</v>
      </c>
      <c r="DR48">
        <v>1.4137449114492999E-3</v>
      </c>
      <c r="DS48">
        <v>164</v>
      </c>
      <c r="DT48">
        <v>0.94050123964036603</v>
      </c>
      <c r="DU48" s="28">
        <v>2.12933334686964E-101</v>
      </c>
      <c r="DV48">
        <v>102.536731818159</v>
      </c>
      <c r="DW48">
        <v>6.3592863477132805E-2</v>
      </c>
      <c r="DX48">
        <v>2.8601009911889398E-4</v>
      </c>
      <c r="DY48">
        <v>207</v>
      </c>
      <c r="DZ48">
        <v>0.99585030629882298</v>
      </c>
      <c r="EA48" s="28">
        <v>2.3792951287514498E-246</v>
      </c>
      <c r="EB48">
        <v>-6.4507409947352906E-2</v>
      </c>
      <c r="EC48">
        <v>5.7858224453108701E-4</v>
      </c>
      <c r="ED48">
        <v>141</v>
      </c>
      <c r="EE48">
        <v>0.98886193802484701</v>
      </c>
      <c r="EF48" s="28">
        <v>7.3948821421841898E-138</v>
      </c>
      <c r="EG48" s="49">
        <v>376206.97690443916</v>
      </c>
      <c r="EH48">
        <v>231</v>
      </c>
      <c r="EI48" s="58">
        <v>0.5</v>
      </c>
      <c r="EJ48" s="28">
        <v>3.7254425088203813E-2</v>
      </c>
      <c r="EK48">
        <v>50</v>
      </c>
      <c r="EL48" s="20">
        <v>350</v>
      </c>
      <c r="EM48" s="49">
        <v>2.3006246127395199E-11</v>
      </c>
      <c r="EN48" s="53">
        <v>5.1879999999999998E-5</v>
      </c>
    </row>
    <row r="49" spans="1:144" s="34" customFormat="1" ht="15" thickBot="1" x14ac:dyDescent="0.35">
      <c r="A49" s="26"/>
      <c r="B49" s="34">
        <v>7.75</v>
      </c>
      <c r="C49" s="34" t="s">
        <v>160</v>
      </c>
      <c r="D49" t="s">
        <v>259</v>
      </c>
      <c r="E49" s="62" t="s">
        <v>255</v>
      </c>
      <c r="F49" s="34">
        <f>(10582-9233)/500</f>
        <v>2.698</v>
      </c>
      <c r="G49" s="41">
        <f>(10582-9233)/500</f>
        <v>2.698</v>
      </c>
      <c r="H49" s="26">
        <f>25/2</f>
        <v>12.5</v>
      </c>
      <c r="I49" s="34">
        <v>103.733333</v>
      </c>
      <c r="J49" s="41">
        <v>8.6046666700000003</v>
      </c>
      <c r="K49" s="34">
        <v>10</v>
      </c>
      <c r="L49" s="34">
        <v>0.41099999999999998</v>
      </c>
      <c r="M49" s="34">
        <v>0.59399999999999997</v>
      </c>
      <c r="N49" s="34">
        <v>0.628</v>
      </c>
      <c r="O49" s="34">
        <v>0.66399999999999992</v>
      </c>
      <c r="P49" s="26">
        <v>0.48900000000000005</v>
      </c>
      <c r="Q49" s="41">
        <v>0.51800000000000002</v>
      </c>
      <c r="R49" s="26">
        <v>1</v>
      </c>
      <c r="S49" s="29">
        <v>136800000</v>
      </c>
      <c r="T49" s="34">
        <v>3.694</v>
      </c>
      <c r="U49" s="34">
        <v>2.7309999999999999</v>
      </c>
      <c r="V49" s="34">
        <v>3.004</v>
      </c>
      <c r="W49" s="34">
        <v>3.367</v>
      </c>
      <c r="X49" s="34">
        <v>4.1550000000000002</v>
      </c>
      <c r="Y49" s="41">
        <v>4.9779999999999998</v>
      </c>
      <c r="Z49" s="26"/>
      <c r="AA49" s="34">
        <v>0.22250191418742823</v>
      </c>
      <c r="AB49" s="41">
        <v>0.20744456462377467</v>
      </c>
      <c r="AC49" s="34">
        <f t="shared" si="0"/>
        <v>10</v>
      </c>
      <c r="AD49" s="34">
        <v>1</v>
      </c>
      <c r="AE49" s="34">
        <v>1</v>
      </c>
      <c r="AF49" s="34">
        <f>0.342-0.049</f>
        <v>0.29300000000000004</v>
      </c>
      <c r="AG49" s="34">
        <f>0.181-0.046</f>
        <v>0.13500000000000001</v>
      </c>
      <c r="AH49" s="34">
        <f>0.355-0.046</f>
        <v>0.309</v>
      </c>
      <c r="AI49" s="44">
        <v>1381054.183282386</v>
      </c>
      <c r="AJ49" s="34">
        <v>0</v>
      </c>
      <c r="AK49" s="34">
        <v>0</v>
      </c>
      <c r="AL49" s="34">
        <v>0</v>
      </c>
      <c r="AM49" s="34">
        <v>0</v>
      </c>
      <c r="AN49" s="34">
        <v>0</v>
      </c>
      <c r="AO49" s="34">
        <v>0</v>
      </c>
      <c r="AP49" s="34">
        <v>0</v>
      </c>
      <c r="AQ49" s="34">
        <v>0</v>
      </c>
      <c r="AR49" s="34">
        <v>0</v>
      </c>
      <c r="AS49" s="34">
        <v>0</v>
      </c>
      <c r="AT49" s="34">
        <v>6.2657835503032071E-4</v>
      </c>
      <c r="AU49" s="34">
        <v>5.6158033963629814E-4</v>
      </c>
      <c r="AV49" s="34">
        <v>4.514477589038335E-4</v>
      </c>
      <c r="AW49" s="34">
        <v>2.3759168215381843E-4</v>
      </c>
      <c r="AX49" s="34">
        <v>2.4635037188459191E-3</v>
      </c>
      <c r="AY49" s="34">
        <v>1.8089366709438449E-3</v>
      </c>
      <c r="AZ49" s="34">
        <v>8.5230223448223732E-4</v>
      </c>
      <c r="BA49" s="34">
        <v>7.6137334508382727E-4</v>
      </c>
      <c r="BD49" s="34">
        <v>9.7683954728329482E-4</v>
      </c>
      <c r="BE49" s="34">
        <v>8.0997164370619917E-4</v>
      </c>
      <c r="BF49" s="34">
        <v>3.5909555787979934E-2</v>
      </c>
      <c r="BG49" s="34">
        <v>3.1686090701786511E-2</v>
      </c>
      <c r="BH49" s="34">
        <v>2.227272003626413E-2</v>
      </c>
      <c r="BI49" s="34">
        <v>2.020069279403261E-2</v>
      </c>
      <c r="BJ49" s="34">
        <v>8.3556753307459531E-3</v>
      </c>
      <c r="BK49" s="34">
        <v>7.2357466837753796E-3</v>
      </c>
      <c r="BL49" s="34">
        <v>9.5854812946563964E-3</v>
      </c>
      <c r="BM49" s="34">
        <v>8.5047022589150902E-3</v>
      </c>
      <c r="BN49" s="34">
        <v>0.1325660776857007</v>
      </c>
      <c r="BO49" s="34">
        <v>0.11503757265011245</v>
      </c>
      <c r="BP49" s="34">
        <v>0</v>
      </c>
      <c r="BQ49" s="34">
        <v>0</v>
      </c>
      <c r="BR49" s="34">
        <v>4.5343257232660035E-2</v>
      </c>
      <c r="BS49" s="34">
        <v>4.1195157798897292E-2</v>
      </c>
      <c r="BT49" s="34">
        <v>0</v>
      </c>
      <c r="BU49" s="34">
        <v>0</v>
      </c>
      <c r="BV49" s="34">
        <v>2.0642059596775286E-2</v>
      </c>
      <c r="BW49" s="34">
        <v>1.8029968788899994E-2</v>
      </c>
      <c r="BX49" s="34">
        <v>0</v>
      </c>
      <c r="BY49" s="34">
        <v>0</v>
      </c>
      <c r="BZ49" s="34">
        <v>8.4062686140713835E-4</v>
      </c>
      <c r="CA49" s="34">
        <v>7.7217296699990995E-4</v>
      </c>
      <c r="CB49" s="34">
        <v>0</v>
      </c>
      <c r="CC49" s="34">
        <v>0</v>
      </c>
      <c r="CD49" s="34">
        <v>0</v>
      </c>
      <c r="CE49" s="34">
        <v>0</v>
      </c>
      <c r="CF49" s="34">
        <v>0</v>
      </c>
      <c r="CG49" s="34">
        <v>0</v>
      </c>
      <c r="CH49" s="34">
        <v>0</v>
      </c>
      <c r="CI49" s="34">
        <v>0</v>
      </c>
      <c r="CJ49" s="34">
        <v>0</v>
      </c>
      <c r="CK49" s="34">
        <v>0</v>
      </c>
      <c r="CL49" s="34">
        <v>0</v>
      </c>
      <c r="CM49" s="34">
        <v>0</v>
      </c>
      <c r="CN49" s="34">
        <v>0</v>
      </c>
      <c r="CO49" s="34">
        <v>0</v>
      </c>
      <c r="CP49" s="34">
        <v>0</v>
      </c>
      <c r="CQ49" s="34">
        <v>0</v>
      </c>
      <c r="CR49" s="34">
        <v>0</v>
      </c>
      <c r="CS49" s="34">
        <v>0</v>
      </c>
      <c r="CT49" s="34">
        <v>0</v>
      </c>
      <c r="CU49" s="34">
        <v>0</v>
      </c>
      <c r="CV49" s="34">
        <v>0</v>
      </c>
      <c r="CW49" s="34">
        <v>0</v>
      </c>
      <c r="CX49" s="34">
        <v>0</v>
      </c>
      <c r="CY49" s="34">
        <v>0</v>
      </c>
      <c r="CZ49" s="34">
        <v>0</v>
      </c>
      <c r="DA49" s="34">
        <v>0</v>
      </c>
      <c r="DB49" s="34">
        <v>0</v>
      </c>
      <c r="DC49" s="34">
        <v>0</v>
      </c>
      <c r="DD49" s="34">
        <v>0</v>
      </c>
      <c r="DE49" s="34">
        <v>0</v>
      </c>
      <c r="DF49" s="40">
        <v>0.28088612544073516</v>
      </c>
      <c r="DG49" s="59">
        <v>0.24684155832494323</v>
      </c>
      <c r="DH49" s="26">
        <v>11</v>
      </c>
      <c r="DI49" s="34">
        <f>0.457-0.081</f>
        <v>0.376</v>
      </c>
      <c r="DJ49" s="34">
        <f>0.596-0.059</f>
        <v>0.53699999999999992</v>
      </c>
      <c r="DK49" s="34">
        <v>102.521306123342</v>
      </c>
      <c r="DL49" s="34">
        <v>2.09967349476596E-2</v>
      </c>
      <c r="DM49" s="34">
        <v>6.9294487939711104E-4</v>
      </c>
      <c r="DN49" s="34">
        <v>146</v>
      </c>
      <c r="DO49" s="34">
        <v>0.86348240771450002</v>
      </c>
      <c r="DP49" s="29">
        <v>2.346173162173E-64</v>
      </c>
      <c r="DQ49" s="34">
        <v>-5.93922595446056E-2</v>
      </c>
      <c r="DR49" s="34">
        <v>2.07377378414958E-3</v>
      </c>
      <c r="DS49" s="34">
        <v>148</v>
      </c>
      <c r="DT49" s="34">
        <v>0.84786269280919901</v>
      </c>
      <c r="DU49" s="29">
        <v>8.7271511687909499E-62</v>
      </c>
      <c r="DV49" s="34">
        <v>48.666784743367799</v>
      </c>
      <c r="DW49" s="34">
        <v>-1.7319609977787899E-2</v>
      </c>
      <c r="DX49" s="34">
        <v>1.21492425173683E-3</v>
      </c>
      <c r="DY49" s="34">
        <v>174</v>
      </c>
      <c r="DZ49" s="34">
        <v>0.53894369216571103</v>
      </c>
      <c r="EA49" s="29">
        <v>6.0386088512127697E-31</v>
      </c>
      <c r="EB49" s="34">
        <v>-6.6576740028682205E-2</v>
      </c>
      <c r="EC49" s="34">
        <v>7.7054696336926304E-4</v>
      </c>
      <c r="ED49" s="34">
        <v>142</v>
      </c>
      <c r="EE49" s="34">
        <v>0.98146027899433397</v>
      </c>
      <c r="EF49" s="29">
        <v>2.4150490338612802E-123</v>
      </c>
      <c r="EG49" s="50">
        <v>690527.0918072823</v>
      </c>
      <c r="EH49" s="34">
        <v>212</v>
      </c>
      <c r="EI49" s="59">
        <v>1</v>
      </c>
      <c r="EJ49" s="29">
        <v>3.7254425088203813E-2</v>
      </c>
      <c r="EK49" s="34">
        <v>50</v>
      </c>
      <c r="EL49" s="41">
        <v>350</v>
      </c>
      <c r="EM49" s="50">
        <v>1.40855864870898E-11</v>
      </c>
      <c r="EN49" s="54">
        <v>5.1879999999999998E-5</v>
      </c>
    </row>
    <row r="50" spans="1:144" s="2" customFormat="1" x14ac:dyDescent="0.3">
      <c r="A50" s="23">
        <v>44504</v>
      </c>
      <c r="B50" s="2">
        <v>9.75</v>
      </c>
      <c r="C50" s="2" t="s">
        <v>152</v>
      </c>
      <c r="D50" s="2" t="s">
        <v>256</v>
      </c>
      <c r="E50" s="60" t="s">
        <v>253</v>
      </c>
      <c r="F50" s="25">
        <f>(9650-9210)/1000</f>
        <v>0.44</v>
      </c>
      <c r="G50" s="24"/>
      <c r="H50" s="25">
        <v>2.5</v>
      </c>
      <c r="I50" s="2">
        <v>109.5</v>
      </c>
      <c r="J50" s="24">
        <v>4.319</v>
      </c>
      <c r="K50" s="2">
        <v>1</v>
      </c>
      <c r="L50" s="2">
        <v>0.69699999999999995</v>
      </c>
      <c r="M50" s="2">
        <v>0.81</v>
      </c>
      <c r="N50" s="2">
        <v>0.85699999999999998</v>
      </c>
      <c r="P50" s="25"/>
      <c r="R50" s="25">
        <v>1</v>
      </c>
      <c r="S50" s="27">
        <v>22330000</v>
      </c>
      <c r="T50" s="2">
        <v>3.6930000000000001</v>
      </c>
      <c r="U50" s="2">
        <v>2.9449999999999998</v>
      </c>
      <c r="V50" s="2">
        <v>3.2149999999999999</v>
      </c>
      <c r="W50" s="2">
        <v>3.548</v>
      </c>
      <c r="X50" s="2">
        <v>3.9649999999999999</v>
      </c>
      <c r="Y50" s="24">
        <v>4.5650000000000004</v>
      </c>
      <c r="Z50" s="25"/>
      <c r="AA50" s="2">
        <v>0.13493217215751085</v>
      </c>
      <c r="AB50" s="24">
        <v>0.16768978396191872</v>
      </c>
      <c r="AC50" s="2">
        <f t="shared" si="0"/>
        <v>1</v>
      </c>
      <c r="AD50" s="2">
        <v>1</v>
      </c>
      <c r="AE50" s="2">
        <v>1</v>
      </c>
      <c r="AF50" s="2">
        <f>0.206-0.046</f>
        <v>0.15999999999999998</v>
      </c>
      <c r="AG50" s="2">
        <f>0.126-0.046</f>
        <v>0.08</v>
      </c>
      <c r="AH50" s="2">
        <f>0.232-0.05</f>
        <v>0.182</v>
      </c>
      <c r="AI50" s="42">
        <v>423946.40685357287</v>
      </c>
      <c r="AJ50" s="2">
        <v>0</v>
      </c>
      <c r="AL50" s="2">
        <v>0</v>
      </c>
      <c r="AN50" s="2">
        <v>0</v>
      </c>
      <c r="AP50" s="2">
        <v>0</v>
      </c>
      <c r="AR50" s="2">
        <v>0</v>
      </c>
      <c r="AT50" s="2">
        <v>4.9991848693029949E-4</v>
      </c>
      <c r="AV50" s="2">
        <v>2.1954092283182466E-4</v>
      </c>
      <c r="AX50" s="2">
        <v>9.9190175978234024E-4</v>
      </c>
      <c r="AZ50" s="2">
        <v>3.9940577527235573E-4</v>
      </c>
      <c r="BD50" s="2">
        <v>4.3908184566364932E-4</v>
      </c>
      <c r="BF50" s="2">
        <v>4.6175010721387508E-2</v>
      </c>
      <c r="BH50" s="2">
        <v>1.955765763154833E-2</v>
      </c>
      <c r="BJ50" s="2">
        <v>1.3254452582051485E-2</v>
      </c>
      <c r="BL50" s="2">
        <v>3.5708463352164251E-4</v>
      </c>
      <c r="BN50" s="2">
        <v>0.21096295641322699</v>
      </c>
      <c r="BP50" s="2">
        <v>0</v>
      </c>
      <c r="BR50" s="2">
        <v>3.8409081210131639E-2</v>
      </c>
      <c r="BT50" s="2">
        <v>0</v>
      </c>
      <c r="BV50" s="2">
        <v>0</v>
      </c>
      <c r="BX50" s="2">
        <v>3.0852112336269912E-2</v>
      </c>
      <c r="BZ50" s="2">
        <v>6.7184812529257174E-4</v>
      </c>
      <c r="CB50" s="2">
        <v>1.0844792573620253E-3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N50" s="2">
        <v>2.4863670778543995E-4</v>
      </c>
      <c r="CP50" s="2">
        <v>0</v>
      </c>
      <c r="CR50" s="2">
        <v>0</v>
      </c>
      <c r="CT50" s="2">
        <v>0</v>
      </c>
      <c r="CV50" s="2">
        <v>0</v>
      </c>
      <c r="CX50" s="2">
        <v>0</v>
      </c>
      <c r="CZ50" s="2">
        <v>0</v>
      </c>
      <c r="DB50" s="2">
        <v>0</v>
      </c>
      <c r="DD50" s="2">
        <v>0</v>
      </c>
      <c r="DF50" s="37">
        <v>0.36412316840905806</v>
      </c>
      <c r="DG50" s="57"/>
      <c r="DH50" s="25">
        <v>1</v>
      </c>
      <c r="DI50" s="2">
        <f>0.786-0.082</f>
        <v>0.70400000000000007</v>
      </c>
      <c r="DJ50" s="2">
        <f>0.875-0.058</f>
        <v>0.81699999999999995</v>
      </c>
      <c r="DK50" s="2">
        <v>49.099594557021497</v>
      </c>
      <c r="DL50" s="2">
        <v>-7.3072540893710805E-2</v>
      </c>
      <c r="DM50" s="2">
        <v>2.56982565164885E-4</v>
      </c>
      <c r="DN50" s="2">
        <v>144</v>
      </c>
      <c r="DO50" s="2">
        <v>0.99823447904351603</v>
      </c>
      <c r="DP50" s="27">
        <v>1.3708662403009501E-197</v>
      </c>
      <c r="DQ50" s="2">
        <v>-0.110194154772983</v>
      </c>
      <c r="DR50" s="2">
        <v>2.04618887972378E-4</v>
      </c>
      <c r="DS50" s="2">
        <v>148</v>
      </c>
      <c r="DT50" s="2">
        <v>0.99949339078753896</v>
      </c>
      <c r="DU50" s="27">
        <v>1.1062566340283799E-242</v>
      </c>
      <c r="DV50" s="2">
        <v>100.909269409111</v>
      </c>
      <c r="DW50" s="2">
        <v>-1.336328830915E-2</v>
      </c>
      <c r="DX50" s="2">
        <v>2.36037584500196E-4</v>
      </c>
      <c r="DY50" s="2">
        <v>90</v>
      </c>
      <c r="DZ50" s="2">
        <v>0.97297517271998102</v>
      </c>
      <c r="EA50" s="27">
        <v>5.1982840740579904E-71</v>
      </c>
      <c r="EB50" s="2">
        <v>-0.116802037427678</v>
      </c>
      <c r="EC50" s="2">
        <v>1.5838257668424801E-4</v>
      </c>
      <c r="ED50" s="2">
        <v>152</v>
      </c>
      <c r="EE50" s="2">
        <v>0.99972243087667501</v>
      </c>
      <c r="EF50" s="27">
        <v>7.0735857007488704E-269</v>
      </c>
      <c r="EG50" s="48">
        <v>84690.230979655928</v>
      </c>
      <c r="EH50" s="2">
        <v>210</v>
      </c>
      <c r="EI50" s="57">
        <v>0.25</v>
      </c>
      <c r="EJ50" s="27">
        <v>2.4972387940156059E-2</v>
      </c>
      <c r="EK50" s="2">
        <v>80</v>
      </c>
      <c r="EL50" s="24">
        <v>150</v>
      </c>
      <c r="EM50" s="48">
        <v>1.40291661877063E-11</v>
      </c>
      <c r="EN50" s="52">
        <v>5.1879999999999998E-5</v>
      </c>
    </row>
    <row r="51" spans="1:144" x14ac:dyDescent="0.3">
      <c r="B51">
        <v>9.75</v>
      </c>
      <c r="C51" t="s">
        <v>153</v>
      </c>
      <c r="D51" t="s">
        <v>257</v>
      </c>
      <c r="E51" s="61" t="s">
        <v>254</v>
      </c>
      <c r="F51" s="19">
        <f>(9595-9160)/1000</f>
        <v>0.435</v>
      </c>
      <c r="H51" s="19">
        <v>2.5</v>
      </c>
      <c r="I51">
        <v>105.3</v>
      </c>
      <c r="J51" s="20">
        <v>3.88</v>
      </c>
      <c r="K51">
        <v>1</v>
      </c>
      <c r="L51">
        <v>0.68799999999999994</v>
      </c>
      <c r="M51">
        <v>0.76900000000000002</v>
      </c>
      <c r="N51">
        <v>0.82399999999999995</v>
      </c>
      <c r="Q51"/>
      <c r="R51" s="19">
        <v>1</v>
      </c>
      <c r="S51" s="28">
        <v>21100000</v>
      </c>
      <c r="T51">
        <v>3.766</v>
      </c>
      <c r="U51">
        <v>2.9289999999999998</v>
      </c>
      <c r="V51">
        <v>3.2429999999999999</v>
      </c>
      <c r="W51">
        <v>3.62</v>
      </c>
      <c r="X51">
        <v>4.109</v>
      </c>
      <c r="Y51" s="20">
        <v>4.74</v>
      </c>
      <c r="AA51">
        <v>0.13191044004566305</v>
      </c>
      <c r="AB51" s="20">
        <v>0.15714359366009312</v>
      </c>
      <c r="AC51">
        <f t="shared" si="0"/>
        <v>1</v>
      </c>
      <c r="AD51">
        <v>1</v>
      </c>
      <c r="AE51">
        <v>1</v>
      </c>
      <c r="AF51">
        <f>0.142-0.046</f>
        <v>9.5999999999999988E-2</v>
      </c>
      <c r="AG51">
        <f>0.097-0.046</f>
        <v>5.1000000000000004E-2</v>
      </c>
      <c r="AH51">
        <f>0.171-0.05</f>
        <v>0.12100000000000001</v>
      </c>
      <c r="AI51" s="43">
        <v>903883.4575469686</v>
      </c>
      <c r="AJ51">
        <v>0</v>
      </c>
      <c r="AL51">
        <v>0</v>
      </c>
      <c r="AN51">
        <v>0</v>
      </c>
      <c r="AP51">
        <v>0</v>
      </c>
      <c r="AR51">
        <v>0</v>
      </c>
      <c r="AT51">
        <v>3.7281824764234605E-4</v>
      </c>
      <c r="AV51">
        <v>0</v>
      </c>
      <c r="AX51">
        <v>6.5616011585052907E-4</v>
      </c>
      <c r="AZ51">
        <v>4.0562625343487256E-4</v>
      </c>
      <c r="BD51">
        <v>3.4597533381209715E-4</v>
      </c>
      <c r="BF51">
        <v>3.4009971822925381E-2</v>
      </c>
      <c r="BH51">
        <v>1.2216508338744396E-2</v>
      </c>
      <c r="BJ51">
        <v>1.0525404767438714E-2</v>
      </c>
      <c r="BL51">
        <v>3.0123714409501564E-4</v>
      </c>
      <c r="BN51">
        <v>0.15777668240224085</v>
      </c>
      <c r="BP51">
        <v>0</v>
      </c>
      <c r="BR51">
        <v>2.5265147006226507E-2</v>
      </c>
      <c r="BT51">
        <v>0</v>
      </c>
      <c r="BV51">
        <v>0</v>
      </c>
      <c r="BX51">
        <v>2.3377195400165668E-2</v>
      </c>
      <c r="BZ51">
        <v>4.1159134539715006E-4</v>
      </c>
      <c r="CB51">
        <v>9.3353689209643459E-4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N51">
        <v>0</v>
      </c>
      <c r="CP51">
        <v>0</v>
      </c>
      <c r="CR51">
        <v>0</v>
      </c>
      <c r="CT51">
        <v>0</v>
      </c>
      <c r="CV51">
        <v>0</v>
      </c>
      <c r="CX51">
        <v>0</v>
      </c>
      <c r="CZ51">
        <v>0</v>
      </c>
      <c r="DB51">
        <v>0</v>
      </c>
      <c r="DD51">
        <v>0</v>
      </c>
      <c r="DF51" s="39">
        <v>0.26659785507006994</v>
      </c>
      <c r="DG51" s="58"/>
      <c r="DH51" s="19">
        <v>1</v>
      </c>
      <c r="DI51">
        <f>0.768-0.078</f>
        <v>0.69000000000000006</v>
      </c>
      <c r="DJ51">
        <f>0.823-0.055</f>
        <v>0.7679999999999999</v>
      </c>
      <c r="DK51">
        <v>100.96285441313201</v>
      </c>
      <c r="DL51">
        <v>-6.4346561655075005E-2</v>
      </c>
      <c r="DM51">
        <v>2.8309750958691602E-4</v>
      </c>
      <c r="DN51">
        <v>129</v>
      </c>
      <c r="DO51">
        <v>0.99752847456358196</v>
      </c>
      <c r="DP51" s="28">
        <v>1.22093977705132E-167</v>
      </c>
      <c r="DQ51">
        <v>-0.135004009079288</v>
      </c>
      <c r="DR51">
        <v>9.881684721935399E-4</v>
      </c>
      <c r="DS51">
        <v>149</v>
      </c>
      <c r="DT51">
        <v>0.99213274147449404</v>
      </c>
      <c r="DU51" s="28">
        <v>8.8274007981703594E-157</v>
      </c>
      <c r="DV51">
        <v>49.180094634383202</v>
      </c>
      <c r="DW51">
        <v>-0.108597676029372</v>
      </c>
      <c r="DX51">
        <v>3.7889940159128099E-4</v>
      </c>
      <c r="DY51">
        <v>143</v>
      </c>
      <c r="DZ51">
        <v>0.99827435950608701</v>
      </c>
      <c r="EA51" s="28">
        <v>6.5395013364234296E-197</v>
      </c>
      <c r="EB51">
        <v>-0.12940202004700099</v>
      </c>
      <c r="EC51">
        <v>6.3020489740206996E-4</v>
      </c>
      <c r="ED51">
        <v>146</v>
      </c>
      <c r="EE51">
        <v>0.99657256941613404</v>
      </c>
      <c r="EF51" s="28">
        <v>1.33070690683738E-179</v>
      </c>
      <c r="EG51" s="49">
        <v>180212.31272607422</v>
      </c>
      <c r="EH51">
        <v>224</v>
      </c>
      <c r="EI51" s="58">
        <v>0.5</v>
      </c>
      <c r="EJ51" s="28">
        <v>2.4972387940156059E-2</v>
      </c>
      <c r="EK51">
        <v>80</v>
      </c>
      <c r="EL51" s="20">
        <v>150</v>
      </c>
      <c r="EM51" s="49">
        <v>9.2751269563027194E-12</v>
      </c>
      <c r="EN51" s="53">
        <v>5.1879999999999998E-5</v>
      </c>
    </row>
    <row r="52" spans="1:144" x14ac:dyDescent="0.3">
      <c r="B52">
        <v>9.75</v>
      </c>
      <c r="C52" t="s">
        <v>154</v>
      </c>
      <c r="D52" t="s">
        <v>256</v>
      </c>
      <c r="E52" s="61" t="s">
        <v>255</v>
      </c>
      <c r="F52" s="19">
        <f>(9548-9072)/1000</f>
        <v>0.47599999999999998</v>
      </c>
      <c r="H52" s="19">
        <f>25/10</f>
        <v>2.5</v>
      </c>
      <c r="I52">
        <v>95.1</v>
      </c>
      <c r="J52" s="20">
        <v>3.6339999999999999</v>
      </c>
      <c r="K52">
        <v>1</v>
      </c>
      <c r="L52">
        <v>0.58499999999999996</v>
      </c>
      <c r="M52">
        <v>0.64300000000000002</v>
      </c>
      <c r="N52">
        <v>0.69399999999999995</v>
      </c>
      <c r="Q52"/>
      <c r="R52" s="19">
        <v>1</v>
      </c>
      <c r="S52" s="28">
        <v>13170000</v>
      </c>
      <c r="T52">
        <v>4.21</v>
      </c>
      <c r="U52">
        <v>3.0779999999999998</v>
      </c>
      <c r="V52">
        <v>3.44</v>
      </c>
      <c r="W52">
        <v>3.984</v>
      </c>
      <c r="X52">
        <v>4.7889999999999997</v>
      </c>
      <c r="Y52" s="20">
        <v>5.5789999999999997</v>
      </c>
      <c r="AA52">
        <v>0.11996877517392894</v>
      </c>
      <c r="AB52" s="20">
        <v>9.8340845844013133E-2</v>
      </c>
      <c r="AC52">
        <f t="shared" si="0"/>
        <v>1</v>
      </c>
      <c r="AD52">
        <v>1</v>
      </c>
      <c r="AE52">
        <v>1</v>
      </c>
      <c r="AF52">
        <f>0.114-0.046</f>
        <v>6.8000000000000005E-2</v>
      </c>
      <c r="AG52">
        <f>0.084-0.046</f>
        <v>3.8000000000000006E-2</v>
      </c>
      <c r="AH52">
        <f>0.143-0.05</f>
        <v>9.2999999999999985E-2</v>
      </c>
      <c r="AI52" s="43">
        <v>1586173.3624612472</v>
      </c>
      <c r="AJ52">
        <v>0</v>
      </c>
      <c r="AL52">
        <v>0</v>
      </c>
      <c r="AN52">
        <v>0</v>
      </c>
      <c r="AP52">
        <v>0</v>
      </c>
      <c r="AR52">
        <v>0</v>
      </c>
      <c r="AT52">
        <v>3.4381298797585047E-4</v>
      </c>
      <c r="AV52">
        <v>0</v>
      </c>
      <c r="AX52">
        <v>8.3899018449452823E-4</v>
      </c>
      <c r="AZ52">
        <v>4.2814447559256857E-4</v>
      </c>
      <c r="BD52">
        <v>4.6706670064643841E-4</v>
      </c>
      <c r="BF52">
        <v>4.0312613426627557E-2</v>
      </c>
      <c r="BH52">
        <v>1.3704947910634846E-2</v>
      </c>
      <c r="BJ52">
        <v>1.2532956467346099E-2</v>
      </c>
      <c r="BL52">
        <v>3.8273521302972042E-4</v>
      </c>
      <c r="BN52">
        <v>0.1798271667863878</v>
      </c>
      <c r="BP52">
        <v>0</v>
      </c>
      <c r="BR52">
        <v>2.7911560055297348E-2</v>
      </c>
      <c r="BT52">
        <v>0</v>
      </c>
      <c r="BV52">
        <v>0</v>
      </c>
      <c r="BX52">
        <v>2.768883843415576E-2</v>
      </c>
      <c r="BZ52">
        <v>4.0868336306563362E-4</v>
      </c>
      <c r="CB52">
        <v>1.0595494597997908E-3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N52">
        <v>1.5785124605180556E-4</v>
      </c>
      <c r="CP52">
        <v>0</v>
      </c>
      <c r="CR52">
        <v>0</v>
      </c>
      <c r="CT52">
        <v>0</v>
      </c>
      <c r="CV52">
        <v>0</v>
      </c>
      <c r="CX52">
        <v>0</v>
      </c>
      <c r="CZ52">
        <v>0</v>
      </c>
      <c r="DB52">
        <v>0</v>
      </c>
      <c r="DD52">
        <v>0</v>
      </c>
      <c r="DF52" s="39">
        <v>0.30606491671110581</v>
      </c>
      <c r="DG52" s="58"/>
      <c r="DH52" s="19">
        <v>1</v>
      </c>
      <c r="DI52">
        <f>0.665-0.089</f>
        <v>0.57600000000000007</v>
      </c>
      <c r="DJ52">
        <f>0.697-0.066</f>
        <v>0.63100000000000001</v>
      </c>
      <c r="DK52">
        <v>49.223394638171101</v>
      </c>
      <c r="DL52">
        <v>-0.123040379918749</v>
      </c>
      <c r="DM52">
        <v>3.2100348799451198E-4</v>
      </c>
      <c r="DN52">
        <v>149</v>
      </c>
      <c r="DO52">
        <v>0.99899364415689995</v>
      </c>
      <c r="DP52" s="28">
        <v>2.0118039238768299E-222</v>
      </c>
      <c r="DQ52">
        <v>-0.149020537572679</v>
      </c>
      <c r="DR52">
        <v>6.7846403157052705E-4</v>
      </c>
      <c r="DS52">
        <v>149</v>
      </c>
      <c r="DT52">
        <v>0.99694154694406301</v>
      </c>
      <c r="DU52" s="28">
        <v>6.1117599331029995E-187</v>
      </c>
      <c r="DV52">
        <v>100.18568871395399</v>
      </c>
      <c r="DW52">
        <v>-0.119197860067983</v>
      </c>
      <c r="DX52">
        <v>8.2100770858628005E-4</v>
      </c>
      <c r="DY52">
        <v>153</v>
      </c>
      <c r="DZ52">
        <v>0.99284019661841805</v>
      </c>
      <c r="EA52" s="28">
        <v>4.3839303023559102E-164</v>
      </c>
      <c r="EB52">
        <v>-0.15123979242740501</v>
      </c>
      <c r="EC52">
        <v>3.2260081749867198E-4</v>
      </c>
      <c r="ED52">
        <v>142</v>
      </c>
      <c r="EE52">
        <v>0.99935887701798898</v>
      </c>
      <c r="EF52" s="28">
        <v>1.25243622186666E-225</v>
      </c>
      <c r="EG52" s="49">
        <v>314469.28195953951</v>
      </c>
      <c r="EH52">
        <v>198</v>
      </c>
      <c r="EI52" s="58">
        <v>1</v>
      </c>
      <c r="EJ52" s="28">
        <v>2.4972387940156059E-2</v>
      </c>
      <c r="EK52">
        <v>80</v>
      </c>
      <c r="EL52" s="20">
        <v>150</v>
      </c>
      <c r="EM52" s="49">
        <v>5.9579189252058302E-12</v>
      </c>
      <c r="EN52" s="53">
        <v>5.1879999999999998E-5</v>
      </c>
    </row>
    <row r="53" spans="1:144" x14ac:dyDescent="0.3">
      <c r="B53">
        <v>9.75</v>
      </c>
      <c r="C53" t="s">
        <v>156</v>
      </c>
      <c r="D53" t="s">
        <v>258</v>
      </c>
      <c r="E53" s="61" t="s">
        <v>253</v>
      </c>
      <c r="F53" s="19">
        <f>(10485-9523)/1000</f>
        <v>0.96199999999999997</v>
      </c>
      <c r="H53" s="19">
        <f>25/3</f>
        <v>8.3333333333333339</v>
      </c>
      <c r="I53">
        <v>66.510000000000005</v>
      </c>
      <c r="J53" s="20">
        <v>4.1406666666666663</v>
      </c>
      <c r="K53">
        <v>2</v>
      </c>
      <c r="L53">
        <v>0.75800000000000001</v>
      </c>
      <c r="M53">
        <v>1.0620000000000001</v>
      </c>
      <c r="N53">
        <v>1.127</v>
      </c>
      <c r="Q53"/>
      <c r="R53" s="19">
        <v>1</v>
      </c>
      <c r="S53" s="28">
        <v>64610000</v>
      </c>
      <c r="T53">
        <v>3.387</v>
      </c>
      <c r="U53">
        <v>2.7010000000000001</v>
      </c>
      <c r="V53">
        <v>2.9369999999999998</v>
      </c>
      <c r="W53">
        <v>3.23</v>
      </c>
      <c r="X53">
        <v>3.6019999999999999</v>
      </c>
      <c r="Y53" s="20">
        <v>4.1989999999999998</v>
      </c>
      <c r="AA53">
        <v>0.28408179577699327</v>
      </c>
      <c r="AB53" s="20">
        <v>0.23309238659828152</v>
      </c>
      <c r="AC53">
        <f t="shared" si="0"/>
        <v>2</v>
      </c>
      <c r="AD53">
        <v>1</v>
      </c>
      <c r="AE53">
        <v>1</v>
      </c>
      <c r="AF53">
        <f>0.465-0.046</f>
        <v>0.41900000000000004</v>
      </c>
      <c r="AG53">
        <f>0.226-0.046</f>
        <v>0.18</v>
      </c>
      <c r="AH53">
        <f>0.452-0.05</f>
        <v>0.40200000000000002</v>
      </c>
      <c r="AI53" s="43">
        <v>451936.50606464397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5.523383386268299E-4</v>
      </c>
      <c r="AU53">
        <v>5.6660972783151547E-4</v>
      </c>
      <c r="AV53">
        <v>2.5149022226838636E-4</v>
      </c>
      <c r="AW53">
        <v>0</v>
      </c>
      <c r="AX53">
        <v>1.4360796804297577E-3</v>
      </c>
      <c r="AY53">
        <v>1.4551568010218467E-3</v>
      </c>
      <c r="AZ53">
        <v>4.7477593362816862E-4</v>
      </c>
      <c r="BA53">
        <v>5.4729348710998659E-4</v>
      </c>
      <c r="BD53">
        <v>6.4635337498884348E-4</v>
      </c>
      <c r="BE53">
        <v>6.5031343762480751E-4</v>
      </c>
      <c r="BF53">
        <v>2.9661743972215288E-2</v>
      </c>
      <c r="BG53">
        <v>3.118929001836206E-2</v>
      </c>
      <c r="BH53">
        <v>1.6624208804713055E-2</v>
      </c>
      <c r="BI53">
        <v>1.7605680293189097E-2</v>
      </c>
      <c r="BJ53">
        <v>8.4025938748549644E-3</v>
      </c>
      <c r="BK53">
        <v>8.8683007401508408E-3</v>
      </c>
      <c r="BL53">
        <v>3.0319849226749388E-4</v>
      </c>
      <c r="BM53">
        <v>2.8115861494669897E-4</v>
      </c>
      <c r="BN53">
        <v>0.12485196828875406</v>
      </c>
      <c r="BO53">
        <v>0.13230981019556604</v>
      </c>
      <c r="BP53">
        <v>0</v>
      </c>
      <c r="BQ53">
        <v>0</v>
      </c>
      <c r="BR53">
        <v>3.1868746950813556E-2</v>
      </c>
      <c r="BS53">
        <v>3.4118919861127278E-2</v>
      </c>
      <c r="BT53">
        <v>0</v>
      </c>
      <c r="BU53">
        <v>0</v>
      </c>
      <c r="BV53">
        <v>0</v>
      </c>
      <c r="BW53">
        <v>0</v>
      </c>
      <c r="BX53">
        <v>2.1057017769181993E-2</v>
      </c>
      <c r="BY53">
        <v>2.2496981693674034E-2</v>
      </c>
      <c r="BZ53">
        <v>3.8546164908425572E-4</v>
      </c>
      <c r="CA53">
        <v>3.9490981030681376E-4</v>
      </c>
      <c r="CB53">
        <v>5.9229472908068563E-4</v>
      </c>
      <c r="CC53">
        <v>6.0094971133645581E-4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1.4809117886505519E-4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 s="39">
        <v>0.23710827208090735</v>
      </c>
      <c r="DG53" s="58">
        <v>0.25123346557111248</v>
      </c>
      <c r="DH53" s="19">
        <v>6</v>
      </c>
      <c r="DI53">
        <f>0.373-0.076</f>
        <v>0.29699999999999999</v>
      </c>
      <c r="DJ53">
        <f>0.441-0.052</f>
        <v>0.38900000000000001</v>
      </c>
      <c r="DK53">
        <v>100.224266085588</v>
      </c>
      <c r="DL53">
        <v>3.4702634354366997E-2</v>
      </c>
      <c r="DM53">
        <v>6.0220167482685901E-4</v>
      </c>
      <c r="DN53">
        <v>119</v>
      </c>
      <c r="DO53">
        <v>0.96567558925668895</v>
      </c>
      <c r="DP53" s="28">
        <v>9.7918762091905005E-88</v>
      </c>
      <c r="DQ53">
        <v>-5.8797738689806402E-2</v>
      </c>
      <c r="DR53">
        <v>2.0460476871641299E-3</v>
      </c>
      <c r="DS53">
        <v>50</v>
      </c>
      <c r="DT53">
        <v>0.94392490857254796</v>
      </c>
      <c r="DU53" s="28">
        <v>6.7048012930996396E-32</v>
      </c>
      <c r="DV53">
        <v>49.531420984279698</v>
      </c>
      <c r="DW53">
        <v>6.3727244898581503E-3</v>
      </c>
      <c r="DX53">
        <v>6.5977285504862E-4</v>
      </c>
      <c r="DY53">
        <v>64</v>
      </c>
      <c r="DZ53">
        <v>0.59432218739035902</v>
      </c>
      <c r="EA53" s="28">
        <v>5.60330807633586E-14</v>
      </c>
      <c r="EB53">
        <v>-7.2359316857862996E-2</v>
      </c>
      <c r="EC53">
        <v>3.6945092805159299E-4</v>
      </c>
      <c r="ED53">
        <v>145</v>
      </c>
      <c r="EE53">
        <v>0.99626000417888005</v>
      </c>
      <c r="EF53" s="28">
        <v>1.17004610381488E-175</v>
      </c>
      <c r="EG53" s="49">
        <v>90387.376576370298</v>
      </c>
      <c r="EH53">
        <v>222</v>
      </c>
      <c r="EI53" s="58">
        <v>0.25</v>
      </c>
      <c r="EJ53" s="28">
        <v>3.2065180830546811E-2</v>
      </c>
      <c r="EK53">
        <v>50</v>
      </c>
      <c r="EL53" s="20">
        <v>300</v>
      </c>
      <c r="EM53" s="49">
        <v>2.9981254922277299E-11</v>
      </c>
      <c r="EN53" s="53">
        <v>5.1879999999999998E-5</v>
      </c>
    </row>
    <row r="54" spans="1:144" x14ac:dyDescent="0.3">
      <c r="B54">
        <v>9.75</v>
      </c>
      <c r="C54" t="s">
        <v>155</v>
      </c>
      <c r="D54" t="s">
        <v>258</v>
      </c>
      <c r="E54" s="61" t="s">
        <v>254</v>
      </c>
      <c r="F54" s="19">
        <f>(10471-9173)/1000</f>
        <v>1.298</v>
      </c>
      <c r="H54" s="19">
        <f>25/3</f>
        <v>8.3333333333333339</v>
      </c>
      <c r="I54">
        <v>85.13333333333334</v>
      </c>
      <c r="J54" s="20">
        <v>3.9686666666666675</v>
      </c>
      <c r="K54">
        <v>2</v>
      </c>
      <c r="L54">
        <v>0.83</v>
      </c>
      <c r="M54">
        <v>1.022</v>
      </c>
      <c r="N54">
        <v>1.099</v>
      </c>
      <c r="Q54"/>
      <c r="R54" s="19">
        <v>1</v>
      </c>
      <c r="S54" s="28">
        <v>54190000</v>
      </c>
      <c r="T54">
        <v>3.6840000000000002</v>
      </c>
      <c r="U54">
        <v>2.8490000000000002</v>
      </c>
      <c r="V54">
        <v>3.109</v>
      </c>
      <c r="W54">
        <v>3.4409999999999998</v>
      </c>
      <c r="X54">
        <v>3.9489999999999998</v>
      </c>
      <c r="Y54" s="20">
        <v>4.7619999999999996</v>
      </c>
      <c r="AA54">
        <v>0.24807720546954548</v>
      </c>
      <c r="AB54" s="20">
        <v>0.11978295733441272</v>
      </c>
      <c r="AC54">
        <f t="shared" si="0"/>
        <v>2</v>
      </c>
      <c r="AD54">
        <v>1</v>
      </c>
      <c r="AE54">
        <v>1</v>
      </c>
      <c r="AF54">
        <f>0.335-0.046</f>
        <v>0.28900000000000003</v>
      </c>
      <c r="AG54">
        <f>0.18-0.046</f>
        <v>0.13400000000000001</v>
      </c>
      <c r="AH54">
        <f>0.37-0.05</f>
        <v>0.32</v>
      </c>
      <c r="AI54" s="43">
        <v>952730.95682676602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5.45029635457555E-4</v>
      </c>
      <c r="AU54">
        <v>3.7644984508061107E-4</v>
      </c>
      <c r="AV54">
        <v>2.8140117048080289E-4</v>
      </c>
      <c r="AW54">
        <v>1.9494724120245929E-4</v>
      </c>
      <c r="AX54">
        <v>1.1315289170912284E-3</v>
      </c>
      <c r="AY54">
        <v>1.0061070264356807E-3</v>
      </c>
      <c r="AZ54">
        <v>6.1019622230574101E-4</v>
      </c>
      <c r="BA54">
        <v>4.3022839437784115E-4</v>
      </c>
      <c r="BD54">
        <v>6.1908257505776635E-4</v>
      </c>
      <c r="BE54">
        <v>4.8624771656245589E-4</v>
      </c>
      <c r="BF54">
        <v>4.1998384164863831E-2</v>
      </c>
      <c r="BG54">
        <v>3.2300741171648856E-2</v>
      </c>
      <c r="BH54">
        <v>1.9527760172575716E-2</v>
      </c>
      <c r="BI54">
        <v>1.5019900664138901E-2</v>
      </c>
      <c r="BJ54">
        <v>1.3110332426821407E-2</v>
      </c>
      <c r="BK54">
        <v>1.0220165139361113E-2</v>
      </c>
      <c r="BL54">
        <v>3.4212458095297612E-4</v>
      </c>
      <c r="BM54">
        <v>2.7113351937353529E-4</v>
      </c>
      <c r="BN54">
        <v>0.1874383575396788</v>
      </c>
      <c r="BO54">
        <v>0.15678015661163758</v>
      </c>
      <c r="BP54">
        <v>0</v>
      </c>
      <c r="BQ54">
        <v>0</v>
      </c>
      <c r="BR54">
        <v>3.8424589299757637E-2</v>
      </c>
      <c r="BS54">
        <v>3.0333342576525188E-2</v>
      </c>
      <c r="BT54">
        <v>0</v>
      </c>
      <c r="BU54">
        <v>0</v>
      </c>
      <c r="BV54">
        <v>0</v>
      </c>
      <c r="BW54">
        <v>0</v>
      </c>
      <c r="BX54">
        <v>3.0318754531118507E-2</v>
      </c>
      <c r="BY54">
        <v>2.3637913189020032E-2</v>
      </c>
      <c r="BZ54">
        <v>5.1244634203346216E-4</v>
      </c>
      <c r="CA54">
        <v>3.9661680106707235E-4</v>
      </c>
      <c r="CB54">
        <v>9.90828331850827E-4</v>
      </c>
      <c r="CC54">
        <v>8.4701215143137478E-4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2.0142399571257473E-4</v>
      </c>
      <c r="CO54">
        <v>1.5461332922953668E-4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 s="39">
        <v>0.33605223990575883</v>
      </c>
      <c r="DG54" s="58">
        <v>0.27245557537709225</v>
      </c>
      <c r="DH54" s="19">
        <v>6</v>
      </c>
      <c r="DI54">
        <f>0.391-0.075</f>
        <v>0.316</v>
      </c>
      <c r="DJ54">
        <f>0.421-0.052</f>
        <v>0.36899999999999999</v>
      </c>
      <c r="DK54">
        <v>49.513346065478203</v>
      </c>
      <c r="DL54">
        <v>-3.4756024289362697E-2</v>
      </c>
      <c r="DM54">
        <v>1.6496690480753801E-4</v>
      </c>
      <c r="DN54">
        <v>142</v>
      </c>
      <c r="DO54">
        <v>0.99683346004724604</v>
      </c>
      <c r="DP54" s="28">
        <v>4.50139715356863E-177</v>
      </c>
      <c r="DQ54">
        <v>-7.0624302042096299E-2</v>
      </c>
      <c r="DR54">
        <v>2.4997014591308703E-4</v>
      </c>
      <c r="DS54">
        <v>151</v>
      </c>
      <c r="DT54">
        <v>0.998124360782216</v>
      </c>
      <c r="DU54" s="28">
        <v>2.80685024094154E-205</v>
      </c>
      <c r="DV54">
        <v>102.299333409558</v>
      </c>
      <c r="DW54">
        <v>-1.32517765688859E-2</v>
      </c>
      <c r="DX54">
        <v>4.5082115657506797E-4</v>
      </c>
      <c r="DY54">
        <v>113</v>
      </c>
      <c r="DZ54">
        <v>0.88513427322951099</v>
      </c>
      <c r="EA54" s="28">
        <v>3.3763534451453202E-54</v>
      </c>
      <c r="EB54">
        <v>-7.1009447100484999E-2</v>
      </c>
      <c r="EC54">
        <v>2.5589812237168501E-4</v>
      </c>
      <c r="ED54">
        <v>140</v>
      </c>
      <c r="EE54">
        <v>0.99819806508494702</v>
      </c>
      <c r="EF54" s="28">
        <v>1.8248647946406699E-191</v>
      </c>
      <c r="EG54" s="49">
        <v>190546.33770379942</v>
      </c>
      <c r="EH54">
        <v>234</v>
      </c>
      <c r="EI54" s="58">
        <v>0.5</v>
      </c>
      <c r="EJ54" s="28">
        <v>3.2065180830546811E-2</v>
      </c>
      <c r="EK54">
        <v>50</v>
      </c>
      <c r="EL54" s="20">
        <v>300</v>
      </c>
      <c r="EM54" s="49">
        <v>1.4987610035612301E-11</v>
      </c>
      <c r="EN54" s="53">
        <v>5.1879999999999998E-5</v>
      </c>
    </row>
    <row r="55" spans="1:144" x14ac:dyDescent="0.3">
      <c r="B55">
        <v>9.75</v>
      </c>
      <c r="C55" t="s">
        <v>157</v>
      </c>
      <c r="D55" t="s">
        <v>258</v>
      </c>
      <c r="E55" s="61" t="s">
        <v>255</v>
      </c>
      <c r="F55" s="19">
        <f>(10449-9141)/1000</f>
        <v>1.3080000000000001</v>
      </c>
      <c r="H55" s="19">
        <f>25/3</f>
        <v>8.3333333333333339</v>
      </c>
      <c r="I55">
        <v>74.88</v>
      </c>
      <c r="J55" s="20">
        <v>3.2110000000000003</v>
      </c>
      <c r="K55">
        <v>2</v>
      </c>
      <c r="L55">
        <v>0.81299999999999994</v>
      </c>
      <c r="M55">
        <v>0.95899999999999996</v>
      </c>
      <c r="N55">
        <v>1.042</v>
      </c>
      <c r="Q55"/>
      <c r="R55" s="19">
        <v>1</v>
      </c>
      <c r="S55" s="28">
        <v>42500000</v>
      </c>
      <c r="T55">
        <v>4.0510000000000002</v>
      </c>
      <c r="U55">
        <v>3.0350000000000001</v>
      </c>
      <c r="V55">
        <v>3.3479999999999999</v>
      </c>
      <c r="W55">
        <v>3.7890000000000001</v>
      </c>
      <c r="X55">
        <v>4.6029999999999998</v>
      </c>
      <c r="Y55" s="20">
        <v>5.3710000000000004</v>
      </c>
      <c r="AA55">
        <v>0.23059512232255855</v>
      </c>
      <c r="AB55" s="20">
        <v>0.23403221723968262</v>
      </c>
      <c r="AC55">
        <f t="shared" si="0"/>
        <v>2</v>
      </c>
      <c r="AD55">
        <v>1</v>
      </c>
      <c r="AE55">
        <v>1</v>
      </c>
      <c r="AF55">
        <f>0.249-0.046</f>
        <v>0.20300000000000001</v>
      </c>
      <c r="AG55">
        <f>0.148-0.046</f>
        <v>0.10199999999999999</v>
      </c>
      <c r="AH55">
        <f>0.298-0.05</f>
        <v>0.248</v>
      </c>
      <c r="AI55" s="43">
        <v>1726316.1536224303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5.0446682751386295E-4</v>
      </c>
      <c r="AU55">
        <v>6.9478653101618043E-4</v>
      </c>
      <c r="AV55">
        <v>1.2756632419890786E-4</v>
      </c>
      <c r="AW55">
        <v>2.6940702223076382E-4</v>
      </c>
      <c r="AX55">
        <v>1.1017091635360224E-3</v>
      </c>
      <c r="AY55">
        <v>1.2761385263562498E-3</v>
      </c>
      <c r="AZ55">
        <v>5.1219811988955429E-4</v>
      </c>
      <c r="BA55">
        <v>5.9553131229958328E-4</v>
      </c>
      <c r="BD55">
        <v>5.8371257436469958E-4</v>
      </c>
      <c r="BE55">
        <v>8.4366935909107633E-4</v>
      </c>
      <c r="BF55">
        <v>3.9242107275915546E-2</v>
      </c>
      <c r="BG55">
        <v>5.3899128592352165E-2</v>
      </c>
      <c r="BH55">
        <v>1.8060298989615076E-2</v>
      </c>
      <c r="BI55">
        <v>2.465783219259465E-2</v>
      </c>
      <c r="BJ55">
        <v>1.2097539744863096E-2</v>
      </c>
      <c r="BK55">
        <v>1.6430283526836717E-2</v>
      </c>
      <c r="BL55">
        <v>3.363112183425753E-4</v>
      </c>
      <c r="BM55">
        <v>4.7146228890383669E-4</v>
      </c>
      <c r="BN55">
        <v>0.18157133426620611</v>
      </c>
      <c r="BO55">
        <v>0.25707810613446652</v>
      </c>
      <c r="BP55">
        <v>0</v>
      </c>
      <c r="BQ55">
        <v>0</v>
      </c>
      <c r="BR55">
        <v>3.4897120960776989E-2</v>
      </c>
      <c r="BS55">
        <v>4.8362105319661994E-2</v>
      </c>
      <c r="BT55">
        <v>0</v>
      </c>
      <c r="BU55">
        <v>0</v>
      </c>
      <c r="BV55">
        <v>0</v>
      </c>
      <c r="BW55">
        <v>0</v>
      </c>
      <c r="BX55">
        <v>2.852653604320729E-2</v>
      </c>
      <c r="BY55">
        <v>3.9156183783697597E-2</v>
      </c>
      <c r="BZ55">
        <v>4.8320577348071161E-4</v>
      </c>
      <c r="CA55">
        <v>6.8769687253642344E-4</v>
      </c>
      <c r="CB55">
        <v>9.7221001624319173E-4</v>
      </c>
      <c r="CC55">
        <v>1.3966627205121178E-3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1.8748384011051607E-4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 s="39">
        <v>0.31920380113826419</v>
      </c>
      <c r="DG55" s="58">
        <v>0.44581899418255599</v>
      </c>
      <c r="DH55" s="19">
        <v>6</v>
      </c>
      <c r="DI55">
        <f>0.378-0.075</f>
        <v>0.30299999999999999</v>
      </c>
      <c r="DJ55">
        <f>0.396-0.053</f>
        <v>0.34300000000000003</v>
      </c>
      <c r="DK55">
        <v>102.292284802385</v>
      </c>
      <c r="DL55">
        <v>-4.2638599972334698E-2</v>
      </c>
      <c r="DM55">
        <v>1.24601277464039E-4</v>
      </c>
      <c r="DN55">
        <v>182</v>
      </c>
      <c r="DO55">
        <v>0.99845669900571199</v>
      </c>
      <c r="DP55" s="28">
        <v>3.2964116869175998E-255</v>
      </c>
      <c r="DQ55">
        <v>-6.4688151792808998E-2</v>
      </c>
      <c r="DR55">
        <v>3.48759693872843E-4</v>
      </c>
      <c r="DS55">
        <v>157</v>
      </c>
      <c r="DT55">
        <v>0.99548585603386897</v>
      </c>
      <c r="DU55" s="28">
        <v>6.6096975884571105E-184</v>
      </c>
      <c r="DV55">
        <v>48.993678786220599</v>
      </c>
      <c r="DW55">
        <v>-6.1910692829905599E-2</v>
      </c>
      <c r="DX55" s="28">
        <v>1.18074800525615E-4</v>
      </c>
      <c r="DY55">
        <v>184</v>
      </c>
      <c r="DZ55">
        <v>0.99933480833765098</v>
      </c>
      <c r="EA55" s="28">
        <v>2.7736753353903401E-291</v>
      </c>
      <c r="EB55">
        <v>-7.9082754991042295E-2</v>
      </c>
      <c r="EC55">
        <v>4.0311644803561698E-4</v>
      </c>
      <c r="ED55">
        <v>79</v>
      </c>
      <c r="EE55">
        <v>0.99797733470888395</v>
      </c>
      <c r="EF55" s="28">
        <v>1.04720878380526E-105</v>
      </c>
      <c r="EG55" s="49">
        <v>345263.30153299158</v>
      </c>
      <c r="EH55">
        <v>212</v>
      </c>
      <c r="EI55" s="58">
        <v>1</v>
      </c>
      <c r="EJ55" s="28">
        <v>3.2065180830546811E-2</v>
      </c>
      <c r="EK55">
        <v>50</v>
      </c>
      <c r="EL55" s="20">
        <v>300</v>
      </c>
      <c r="EM55" s="49">
        <v>5.95652273102563E-12</v>
      </c>
      <c r="EN55" s="53">
        <v>5.1879999999999998E-5</v>
      </c>
    </row>
    <row r="56" spans="1:144" x14ac:dyDescent="0.3">
      <c r="B56">
        <v>9.75</v>
      </c>
      <c r="C56" t="s">
        <v>158</v>
      </c>
      <c r="D56" t="s">
        <v>259</v>
      </c>
      <c r="E56" s="61" t="s">
        <v>253</v>
      </c>
      <c r="F56" s="19">
        <f>(10311-9177)/500</f>
        <v>2.2679999999999998</v>
      </c>
      <c r="G56" s="20">
        <f>(10288-9131)/500</f>
        <v>2.3140000000000001</v>
      </c>
      <c r="H56" s="19">
        <f>25/2</f>
        <v>12.5</v>
      </c>
      <c r="I56">
        <v>79.453333333333333</v>
      </c>
      <c r="J56" s="20">
        <v>9.1643333333333334</v>
      </c>
      <c r="K56">
        <v>10</v>
      </c>
      <c r="L56">
        <v>0.315</v>
      </c>
      <c r="M56">
        <v>0.51200000000000001</v>
      </c>
      <c r="N56">
        <v>0.52600000000000002</v>
      </c>
      <c r="Q56"/>
      <c r="R56" s="19">
        <v>1</v>
      </c>
      <c r="S56" s="28">
        <v>98870000</v>
      </c>
      <c r="T56">
        <v>4.0380000000000003</v>
      </c>
      <c r="U56">
        <v>2.8559999999999999</v>
      </c>
      <c r="V56">
        <v>3.1880000000000002</v>
      </c>
      <c r="W56">
        <v>3.802</v>
      </c>
      <c r="X56">
        <v>4.7009999999999996</v>
      </c>
      <c r="Y56" s="20">
        <v>5.4180000000000001</v>
      </c>
      <c r="AA56">
        <v>0.26524696395630143</v>
      </c>
      <c r="AB56" s="20">
        <v>0.2625387674167583</v>
      </c>
      <c r="AC56">
        <f t="shared" si="0"/>
        <v>10</v>
      </c>
      <c r="AD56">
        <v>1</v>
      </c>
      <c r="AE56">
        <v>1</v>
      </c>
      <c r="AF56">
        <f>0.43-0.046</f>
        <v>0.38400000000000001</v>
      </c>
      <c r="AG56">
        <f>0.203-0.046</f>
        <v>0.15700000000000003</v>
      </c>
      <c r="AH56">
        <f>0.358-0.05</f>
        <v>0.308</v>
      </c>
      <c r="AI56" s="43">
        <v>456008.4546504874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4.8781772862105095E-4</v>
      </c>
      <c r="AU56">
        <v>3.2595028907071033E-4</v>
      </c>
      <c r="AV56">
        <v>5.6912068339122609E-4</v>
      </c>
      <c r="AW56">
        <v>3.5877981458862359E-4</v>
      </c>
      <c r="AX56">
        <v>2.8492990058093201E-3</v>
      </c>
      <c r="AY56">
        <v>1.7915541068346957E-3</v>
      </c>
      <c r="AZ56">
        <v>1.2306310881121966E-3</v>
      </c>
      <c r="BA56">
        <v>8.2308310405625413E-4</v>
      </c>
      <c r="BD56">
        <v>1.2010663772866784E-3</v>
      </c>
      <c r="BE56">
        <v>8.4418779903205551E-4</v>
      </c>
      <c r="BF56">
        <v>2.8744290100110106E-2</v>
      </c>
      <c r="BG56">
        <v>1.9880622667204906E-2</v>
      </c>
      <c r="BH56">
        <v>2.0558560790294746E-2</v>
      </c>
      <c r="BI56">
        <v>1.4154215430437465E-2</v>
      </c>
      <c r="BJ56">
        <v>4.7118757878169687E-3</v>
      </c>
      <c r="BK56">
        <v>3.3415767045018863E-3</v>
      </c>
      <c r="BL56">
        <v>5.8316392103334724E-3</v>
      </c>
      <c r="BM56">
        <v>3.9278182316074802E-3</v>
      </c>
      <c r="BN56">
        <v>6.8944905645108523E-2</v>
      </c>
      <c r="BO56">
        <v>4.6376394726269338E-2</v>
      </c>
      <c r="BP56">
        <v>0</v>
      </c>
      <c r="BQ56">
        <v>0</v>
      </c>
      <c r="BR56">
        <v>4.5222920796483337E-2</v>
      </c>
      <c r="BS56">
        <v>3.1345161971281905E-2</v>
      </c>
      <c r="BT56">
        <v>0</v>
      </c>
      <c r="BU56">
        <v>0</v>
      </c>
      <c r="BV56">
        <v>1.2029141717132732E-2</v>
      </c>
      <c r="BW56">
        <v>8.2589706338636101E-3</v>
      </c>
      <c r="BX56">
        <v>0</v>
      </c>
      <c r="BY56">
        <v>0</v>
      </c>
      <c r="BZ56">
        <v>4.0651477385087576E-4</v>
      </c>
      <c r="CA56">
        <v>2.3215164473381527E-4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 s="39">
        <v>0.19278778370435123</v>
      </c>
      <c r="DG56" s="58">
        <v>0.13166046712348273</v>
      </c>
      <c r="DH56" s="19">
        <v>11</v>
      </c>
      <c r="DI56">
        <f>0.322-0.075</f>
        <v>0.247</v>
      </c>
      <c r="DJ56">
        <f>0.446-0.051</f>
        <v>0.39500000000000002</v>
      </c>
      <c r="DK56">
        <v>48.800852102692502</v>
      </c>
      <c r="DL56">
        <v>9.9022772222477601E-2</v>
      </c>
      <c r="DM56">
        <v>1.9898856918828999E-4</v>
      </c>
      <c r="DN56">
        <v>147</v>
      </c>
      <c r="DO56">
        <v>0.999410770160293</v>
      </c>
      <c r="DP56" s="28">
        <v>2.81756449936941E-236</v>
      </c>
      <c r="DQ56">
        <v>-2.53380498401794E-2</v>
      </c>
      <c r="DR56">
        <v>1.0140226952068E-4</v>
      </c>
      <c r="DS56">
        <v>202</v>
      </c>
      <c r="DT56">
        <v>0.99679110029643403</v>
      </c>
      <c r="DU56" s="28">
        <v>1.48107787596553E-251</v>
      </c>
      <c r="DV56">
        <v>101.05310539232001</v>
      </c>
      <c r="DW56">
        <v>0.14680300330426399</v>
      </c>
      <c r="DX56">
        <v>3.5206249858442499E-4</v>
      </c>
      <c r="DY56">
        <v>100</v>
      </c>
      <c r="DZ56">
        <v>0.99943093728190302</v>
      </c>
      <c r="EA56" s="28">
        <v>4.9219680862884299E-161</v>
      </c>
      <c r="EB56">
        <v>-2.90303538378558E-2</v>
      </c>
      <c r="EC56" s="28">
        <v>1.4280215743187199E-4</v>
      </c>
      <c r="ED56">
        <v>146</v>
      </c>
      <c r="EE56">
        <v>0.99650359077075501</v>
      </c>
      <c r="EF56" s="28">
        <v>5.5867035582878802E-179</v>
      </c>
      <c r="EG56" s="49">
        <v>91201.691370773129</v>
      </c>
      <c r="EH56">
        <v>224</v>
      </c>
      <c r="EI56" s="58">
        <v>0.25</v>
      </c>
      <c r="EJ56" s="28">
        <v>3.3709197807224416E-2</v>
      </c>
      <c r="EK56">
        <v>50</v>
      </c>
      <c r="EL56" s="20">
        <v>300</v>
      </c>
      <c r="EM56" s="49">
        <v>3.94733659465613E-11</v>
      </c>
      <c r="EN56" s="53">
        <v>5.1879999999999998E-5</v>
      </c>
    </row>
    <row r="57" spans="1:144" x14ac:dyDescent="0.3">
      <c r="B57">
        <v>9.75</v>
      </c>
      <c r="C57" t="s">
        <v>159</v>
      </c>
      <c r="D57" t="s">
        <v>259</v>
      </c>
      <c r="E57" s="61" t="s">
        <v>254</v>
      </c>
      <c r="F57" s="19">
        <f>(10825-9187)/500</f>
        <v>3.2759999999999998</v>
      </c>
      <c r="G57" s="20">
        <f>(10949-9335)/500</f>
        <v>3.2280000000000002</v>
      </c>
      <c r="H57" s="19">
        <v>25</v>
      </c>
      <c r="I57">
        <v>52.916666666666664</v>
      </c>
      <c r="J57" s="20">
        <v>4.8540000000000001</v>
      </c>
      <c r="K57">
        <v>10</v>
      </c>
      <c r="L57">
        <v>0.38700000000000001</v>
      </c>
      <c r="M57">
        <v>0.58899999999999997</v>
      </c>
      <c r="N57">
        <v>0.61199999999999999</v>
      </c>
      <c r="Q57"/>
      <c r="R57" s="19">
        <v>1</v>
      </c>
      <c r="S57" s="28">
        <v>112600000</v>
      </c>
      <c r="T57">
        <v>4.0339999999999998</v>
      </c>
      <c r="U57">
        <v>2.8570000000000002</v>
      </c>
      <c r="V57">
        <v>3.1850000000000001</v>
      </c>
      <c r="W57">
        <v>3.786</v>
      </c>
      <c r="X57">
        <v>4.6840000000000002</v>
      </c>
      <c r="Y57" s="20">
        <v>5.3789999999999996</v>
      </c>
      <c r="AA57">
        <v>0.23415680653118401</v>
      </c>
      <c r="AB57" s="20">
        <v>0.23353626400870944</v>
      </c>
      <c r="AC57">
        <f t="shared" si="0"/>
        <v>10</v>
      </c>
      <c r="AD57">
        <v>1</v>
      </c>
      <c r="AE57">
        <v>1</v>
      </c>
      <c r="AF57">
        <f>0.421-0.046</f>
        <v>0.375</v>
      </c>
      <c r="AG57">
        <f>0.199-0.046</f>
        <v>0.15300000000000002</v>
      </c>
      <c r="AH57">
        <f>0.366-0.05</f>
        <v>0.316</v>
      </c>
      <c r="AI57" s="43">
        <v>940517.44190967875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6.0576312936656558E-4</v>
      </c>
      <c r="AU57">
        <v>5.8807332270502063E-4</v>
      </c>
      <c r="AV57">
        <v>5.453698264387811E-4</v>
      </c>
      <c r="AW57">
        <v>4.5314740883763496E-4</v>
      </c>
      <c r="AX57">
        <v>4.2677934068967704E-3</v>
      </c>
      <c r="AY57">
        <v>3.4367921456786923E-3</v>
      </c>
      <c r="AZ57">
        <v>1.2682593614834741E-3</v>
      </c>
      <c r="BA57">
        <v>1.255065576162663E-3</v>
      </c>
      <c r="BD57">
        <v>1.3012011630804475E-3</v>
      </c>
      <c r="BE57">
        <v>1.3059810153579028E-3</v>
      </c>
      <c r="BF57">
        <v>3.9048845593034474E-2</v>
      </c>
      <c r="BG57">
        <v>3.7847991725781564E-2</v>
      </c>
      <c r="BH57">
        <v>2.6655407792217607E-2</v>
      </c>
      <c r="BI57">
        <v>2.5595191283447088E-2</v>
      </c>
      <c r="BJ57">
        <v>7.0623562423733433E-3</v>
      </c>
      <c r="BK57">
        <v>6.7666618690473794E-3</v>
      </c>
      <c r="BL57">
        <v>9.8660695782935189E-3</v>
      </c>
      <c r="BM57">
        <v>9.4371766548377121E-3</v>
      </c>
      <c r="BN57">
        <v>0.11548663599863369</v>
      </c>
      <c r="BO57">
        <v>0.11372472498648781</v>
      </c>
      <c r="BP57">
        <v>0</v>
      </c>
      <c r="BQ57">
        <v>0</v>
      </c>
      <c r="BR57">
        <v>5.7029578964715756E-2</v>
      </c>
      <c r="BS57">
        <v>5.4919938487945498E-2</v>
      </c>
      <c r="BT57">
        <v>0</v>
      </c>
      <c r="BU57">
        <v>0</v>
      </c>
      <c r="BV57">
        <v>1.7697067857929571E-2</v>
      </c>
      <c r="BW57">
        <v>1.7306157782462035E-2</v>
      </c>
      <c r="BX57">
        <v>0</v>
      </c>
      <c r="BY57">
        <v>0</v>
      </c>
      <c r="BZ57">
        <v>7.1373903460108926E-4</v>
      </c>
      <c r="CA57">
        <v>7.0772460481383439E-4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 s="39">
        <v>0.28154808794906511</v>
      </c>
      <c r="DG57" s="58">
        <v>0.27334462686356487</v>
      </c>
      <c r="DH57" s="19">
        <v>11</v>
      </c>
      <c r="DI57">
        <f>0.413-0.075</f>
        <v>0.33799999999999997</v>
      </c>
      <c r="DJ57">
        <f>0.567-0.052</f>
        <v>0.5149999999999999</v>
      </c>
      <c r="DK57">
        <v>100.997628680766</v>
      </c>
      <c r="DL57">
        <v>0.111315437391891</v>
      </c>
      <c r="DM57">
        <v>5.1060987082140899E-4</v>
      </c>
      <c r="DN57">
        <v>124</v>
      </c>
      <c r="DO57">
        <v>0.99741857614044005</v>
      </c>
      <c r="DP57" s="28">
        <v>5.8287349353574096E-160</v>
      </c>
      <c r="DQ57">
        <v>-2.6981952738988901E-2</v>
      </c>
      <c r="DR57">
        <v>4.2735400985809201E-4</v>
      </c>
      <c r="DS57">
        <v>110</v>
      </c>
      <c r="DT57">
        <v>0.97337769466305302</v>
      </c>
      <c r="DU57" s="28">
        <v>4.3354917672564704E-87</v>
      </c>
      <c r="DV57">
        <v>49.9221126008756</v>
      </c>
      <c r="DW57">
        <v>7.9364315936127597E-2</v>
      </c>
      <c r="DX57">
        <v>3.4718139090483097E-4</v>
      </c>
      <c r="DY57">
        <v>156</v>
      </c>
      <c r="DZ57">
        <v>0.99704255941206399</v>
      </c>
      <c r="EA57" s="28">
        <v>7.1153200669267099E-197</v>
      </c>
      <c r="EB57">
        <v>-3.8403294067944301E-2</v>
      </c>
      <c r="EC57">
        <v>4.2453311060065699E-4</v>
      </c>
      <c r="ED57">
        <v>146</v>
      </c>
      <c r="EE57">
        <v>0.98258681593962605</v>
      </c>
      <c r="EF57" s="28">
        <v>8.9654790027163995E-129</v>
      </c>
      <c r="EG57" s="49">
        <v>188103.48845221958</v>
      </c>
      <c r="EH57">
        <v>231</v>
      </c>
      <c r="EI57" s="58">
        <v>0.5</v>
      </c>
      <c r="EJ57" s="28">
        <v>3.3709197807224416E-2</v>
      </c>
      <c r="EK57">
        <v>50</v>
      </c>
      <c r="EL57" s="20">
        <v>300</v>
      </c>
      <c r="EM57" s="49">
        <v>2.7852998964169601E-11</v>
      </c>
      <c r="EN57" s="53">
        <v>5.1879999999999998E-5</v>
      </c>
    </row>
    <row r="58" spans="1:144" s="34" customFormat="1" ht="15" thickBot="1" x14ac:dyDescent="0.35">
      <c r="A58" s="26"/>
      <c r="B58" s="34">
        <v>9.75</v>
      </c>
      <c r="C58" s="34" t="s">
        <v>160</v>
      </c>
      <c r="D58" t="s">
        <v>259</v>
      </c>
      <c r="E58" s="62" t="s">
        <v>255</v>
      </c>
      <c r="F58" s="26">
        <f>(10874-9312)/500</f>
        <v>3.1240000000000001</v>
      </c>
      <c r="G58" s="41">
        <f>(10786-9266)/500</f>
        <v>3.04</v>
      </c>
      <c r="H58" s="26">
        <f>25/2</f>
        <v>12.5</v>
      </c>
      <c r="I58" s="34">
        <v>134.06666666666666</v>
      </c>
      <c r="J58" s="41">
        <v>9.391</v>
      </c>
      <c r="K58" s="34">
        <v>10</v>
      </c>
      <c r="L58" s="34">
        <v>0.46200000000000002</v>
      </c>
      <c r="M58" s="34">
        <v>0.624</v>
      </c>
      <c r="N58" s="34">
        <v>0.66500000000000004</v>
      </c>
      <c r="P58" s="26"/>
      <c r="R58" s="26">
        <v>1</v>
      </c>
      <c r="S58" s="29">
        <v>132000000</v>
      </c>
      <c r="T58" s="34">
        <v>3.734</v>
      </c>
      <c r="U58" s="34">
        <v>2.7959999999999998</v>
      </c>
      <c r="V58" s="34">
        <v>3.05</v>
      </c>
      <c r="W58" s="34">
        <v>3.4079999999999999</v>
      </c>
      <c r="X58" s="34">
        <v>4.1870000000000003</v>
      </c>
      <c r="Y58" s="41">
        <v>5.008</v>
      </c>
      <c r="Z58" s="26"/>
      <c r="AA58" s="34">
        <v>0.19745920476119355</v>
      </c>
      <c r="AB58" s="41">
        <v>0.18635698592658018</v>
      </c>
      <c r="AC58" s="34">
        <f t="shared" si="0"/>
        <v>10</v>
      </c>
      <c r="AD58" s="34">
        <v>1</v>
      </c>
      <c r="AE58" s="34">
        <v>1</v>
      </c>
      <c r="AF58" s="34">
        <f>0.315-0.046</f>
        <v>0.26900000000000002</v>
      </c>
      <c r="AG58" s="34">
        <f>0.161-0.046</f>
        <v>0.115</v>
      </c>
      <c r="AH58" s="34">
        <f>0.314-0.05</f>
        <v>0.26400000000000001</v>
      </c>
      <c r="AI58" s="44">
        <v>1726317.7291860273</v>
      </c>
      <c r="AJ58" s="34">
        <v>0</v>
      </c>
      <c r="AK58" s="34">
        <v>0</v>
      </c>
      <c r="AL58" s="34">
        <v>0</v>
      </c>
      <c r="AM58" s="34">
        <v>0</v>
      </c>
      <c r="AN58" s="34">
        <v>0</v>
      </c>
      <c r="AO58" s="34">
        <v>0</v>
      </c>
      <c r="AP58" s="34">
        <v>0</v>
      </c>
      <c r="AQ58" s="34">
        <v>0</v>
      </c>
      <c r="AR58" s="34">
        <v>0</v>
      </c>
      <c r="AS58" s="34">
        <v>0</v>
      </c>
      <c r="AT58" s="34">
        <v>6.7922767889723738E-4</v>
      </c>
      <c r="AU58" s="34">
        <v>6.7410299442140264E-4</v>
      </c>
      <c r="AV58" s="34">
        <v>3.916267698146234E-4</v>
      </c>
      <c r="AW58" s="34">
        <v>3.6895349077385411E-4</v>
      </c>
      <c r="AX58" s="34">
        <v>2.2763305995474985E-3</v>
      </c>
      <c r="AY58" s="34">
        <v>2.1998505126591449E-3</v>
      </c>
      <c r="AZ58" s="34">
        <v>1.0157819342066796E-3</v>
      </c>
      <c r="BA58" s="34">
        <v>1.0014451892433182E-3</v>
      </c>
      <c r="BD58" s="34">
        <v>1.0800332011293911E-3</v>
      </c>
      <c r="BE58" s="34">
        <v>1.0624750899728278E-3</v>
      </c>
      <c r="BF58" s="34">
        <v>4.5645935772377862E-2</v>
      </c>
      <c r="BG58" s="34">
        <v>4.5594884017737335E-2</v>
      </c>
      <c r="BH58" s="34">
        <v>2.7242537175229741E-2</v>
      </c>
      <c r="BI58" s="34">
        <v>2.7383006822772282E-2</v>
      </c>
      <c r="BJ58" s="34">
        <v>1.143060634396432E-2</v>
      </c>
      <c r="BK58" s="34">
        <v>1.1351561535688804E-2</v>
      </c>
      <c r="BL58" s="34">
        <v>1.1880365212423302E-2</v>
      </c>
      <c r="BM58" s="34">
        <v>1.1784319013588963E-2</v>
      </c>
      <c r="BN58" s="34">
        <v>0.18078776719981468</v>
      </c>
      <c r="BO58" s="34">
        <v>0.17715593138578267</v>
      </c>
      <c r="BP58" s="34">
        <v>0</v>
      </c>
      <c r="BQ58" s="34">
        <v>0</v>
      </c>
      <c r="BR58" s="34">
        <v>5.4711483576758556E-2</v>
      </c>
      <c r="BS58" s="34">
        <v>5.4754917299957379E-2</v>
      </c>
      <c r="BT58" s="34">
        <v>0</v>
      </c>
      <c r="BU58" s="34">
        <v>0</v>
      </c>
      <c r="BV58" s="34">
        <v>2.7826917745812498E-2</v>
      </c>
      <c r="BW58" s="34">
        <v>2.8162525100271927E-2</v>
      </c>
      <c r="BX58" s="34">
        <v>0</v>
      </c>
      <c r="BY58" s="34">
        <v>0</v>
      </c>
      <c r="BZ58" s="34">
        <v>1.1259269632170423E-3</v>
      </c>
      <c r="CA58" s="34">
        <v>1.4480730991274574E-3</v>
      </c>
      <c r="CB58" s="34">
        <v>0</v>
      </c>
      <c r="CC58" s="34">
        <v>0</v>
      </c>
      <c r="CD58" s="34">
        <v>0</v>
      </c>
      <c r="CE58" s="34">
        <v>0</v>
      </c>
      <c r="CF58" s="34">
        <v>0</v>
      </c>
      <c r="CG58" s="34">
        <v>0</v>
      </c>
      <c r="CH58" s="34">
        <v>0</v>
      </c>
      <c r="CI58" s="34">
        <v>0</v>
      </c>
      <c r="CJ58" s="34">
        <v>0</v>
      </c>
      <c r="CK58" s="34">
        <v>0</v>
      </c>
      <c r="CL58" s="34">
        <v>0</v>
      </c>
      <c r="CM58" s="34">
        <v>0</v>
      </c>
      <c r="CN58" s="34">
        <v>0</v>
      </c>
      <c r="CO58" s="34">
        <v>0</v>
      </c>
      <c r="CP58" s="34">
        <v>0</v>
      </c>
      <c r="CQ58" s="34">
        <v>0</v>
      </c>
      <c r="CR58" s="34">
        <v>0</v>
      </c>
      <c r="CS58" s="34">
        <v>0</v>
      </c>
      <c r="CT58" s="34">
        <v>0</v>
      </c>
      <c r="CU58" s="34">
        <v>0</v>
      </c>
      <c r="CV58" s="34">
        <v>0</v>
      </c>
      <c r="CW58" s="34">
        <v>0</v>
      </c>
      <c r="CX58" s="34">
        <v>0</v>
      </c>
      <c r="CY58" s="34">
        <v>0</v>
      </c>
      <c r="CZ58" s="34">
        <v>0</v>
      </c>
      <c r="DA58" s="34">
        <v>0</v>
      </c>
      <c r="DB58" s="34">
        <v>0</v>
      </c>
      <c r="DC58" s="34">
        <v>0</v>
      </c>
      <c r="DD58" s="34">
        <v>0</v>
      </c>
      <c r="DE58" s="34">
        <v>0</v>
      </c>
      <c r="DF58" s="40">
        <v>0.36609454017319343</v>
      </c>
      <c r="DG58" s="59">
        <v>0.36294204555199744</v>
      </c>
      <c r="DH58" s="26">
        <v>11</v>
      </c>
      <c r="DI58" s="34">
        <f>0.492-0.076</f>
        <v>0.41599999999999998</v>
      </c>
      <c r="DJ58" s="34">
        <f>0.611-0.052</f>
        <v>0.55899999999999994</v>
      </c>
      <c r="DK58" s="34">
        <v>49.843441085210202</v>
      </c>
      <c r="DL58" s="34">
        <v>4.0376452965506002E-2</v>
      </c>
      <c r="DM58" s="34">
        <v>2.4358163661666201E-4</v>
      </c>
      <c r="DN58" s="34">
        <v>127</v>
      </c>
      <c r="DO58" s="34">
        <v>0.99543509169396704</v>
      </c>
      <c r="DP58" s="29">
        <v>2.2480550258072201E-148</v>
      </c>
      <c r="DQ58" s="34">
        <v>-3.9365018470336098E-2</v>
      </c>
      <c r="DR58" s="34">
        <v>3.79151700512117E-4</v>
      </c>
      <c r="DS58" s="34">
        <v>113</v>
      </c>
      <c r="DT58" s="34">
        <v>0.98971572030119304</v>
      </c>
      <c r="DU58" s="29">
        <v>2.1875645422270299E-112</v>
      </c>
      <c r="DV58" s="34">
        <v>101.414975359438</v>
      </c>
      <c r="DW58" s="34">
        <v>8.5930603599376307E-2</v>
      </c>
      <c r="DX58" s="34">
        <v>1.6949204221576E-4</v>
      </c>
      <c r="DY58" s="34">
        <v>128</v>
      </c>
      <c r="DZ58" s="34">
        <v>0.99950615145087796</v>
      </c>
      <c r="EA58" s="29">
        <v>2.1434633356343E-210</v>
      </c>
      <c r="EB58" s="34">
        <v>-3.2399277284313903E-2</v>
      </c>
      <c r="EC58" s="34">
        <v>2.1971986990690099E-4</v>
      </c>
      <c r="ED58" s="34">
        <v>100</v>
      </c>
      <c r="EE58" s="34">
        <v>0.99546737052356804</v>
      </c>
      <c r="EF58" s="29">
        <v>7.1005169356635602E-117</v>
      </c>
      <c r="EG58" s="50">
        <v>345263.54590364115</v>
      </c>
      <c r="EH58" s="34">
        <v>212</v>
      </c>
      <c r="EI58" s="59">
        <v>1</v>
      </c>
      <c r="EJ58" s="29">
        <v>3.3709197807224416E-2</v>
      </c>
      <c r="EK58" s="34">
        <v>50</v>
      </c>
      <c r="EL58" s="41">
        <v>300</v>
      </c>
      <c r="EM58" s="50">
        <v>2.11452733927004E-11</v>
      </c>
      <c r="EN58" s="54">
        <v>5.1879999999999998E-5</v>
      </c>
    </row>
    <row r="59" spans="1:144" s="2" customFormat="1" x14ac:dyDescent="0.3">
      <c r="A59" s="23">
        <v>44508</v>
      </c>
      <c r="B59" s="2">
        <v>13.75</v>
      </c>
      <c r="C59" s="2" t="s">
        <v>152</v>
      </c>
      <c r="D59" s="2" t="s">
        <v>256</v>
      </c>
      <c r="E59" s="60" t="s">
        <v>253</v>
      </c>
      <c r="F59" s="25"/>
      <c r="G59" s="24"/>
      <c r="H59" s="25"/>
      <c r="J59" s="24"/>
      <c r="K59" s="25"/>
      <c r="O59" s="24"/>
      <c r="P59" s="25"/>
      <c r="Q59" s="24"/>
      <c r="R59" s="25"/>
      <c r="Y59" s="24"/>
      <c r="Z59" s="25"/>
      <c r="AB59" s="24"/>
      <c r="AC59" s="25"/>
      <c r="AI59" s="1"/>
      <c r="AJ59" s="25"/>
      <c r="DE59" s="24"/>
      <c r="DF59" s="25"/>
      <c r="DH59" s="25"/>
      <c r="EG59" s="48"/>
      <c r="EJ59" s="27"/>
      <c r="EL59" s="24"/>
      <c r="EM59" s="48"/>
      <c r="EN59" s="52"/>
    </row>
    <row r="60" spans="1:144" x14ac:dyDescent="0.3">
      <c r="A60" s="22"/>
      <c r="B60">
        <v>13.75</v>
      </c>
      <c r="C60" t="s">
        <v>153</v>
      </c>
      <c r="D60" t="s">
        <v>257</v>
      </c>
      <c r="E60" s="61" t="s">
        <v>254</v>
      </c>
      <c r="K60" s="19"/>
      <c r="O60" s="20"/>
      <c r="R60" s="19"/>
      <c r="AC60" s="19"/>
      <c r="AI60" s="21"/>
      <c r="AJ60" s="19"/>
      <c r="DE60" s="20"/>
      <c r="DF60" s="39"/>
      <c r="DG60" s="58"/>
      <c r="DP60" s="28"/>
      <c r="DU60" s="28"/>
      <c r="DX60" s="28"/>
      <c r="EF60" s="28"/>
      <c r="EG60" s="49"/>
      <c r="EJ60" s="28"/>
      <c r="EM60" s="49"/>
      <c r="EN60" s="53"/>
    </row>
    <row r="61" spans="1:144" x14ac:dyDescent="0.3">
      <c r="A61" s="22"/>
      <c r="B61">
        <v>13.75</v>
      </c>
      <c r="C61" t="s">
        <v>154</v>
      </c>
      <c r="D61" t="s">
        <v>256</v>
      </c>
      <c r="E61" s="61" t="s">
        <v>255</v>
      </c>
      <c r="K61" s="19"/>
      <c r="O61" s="20"/>
      <c r="R61" s="19"/>
      <c r="AC61" s="19"/>
      <c r="AI61" s="21"/>
      <c r="AJ61" s="19"/>
      <c r="DE61" s="20"/>
      <c r="DF61" s="39"/>
      <c r="DG61" s="58"/>
      <c r="DP61" s="28"/>
      <c r="DU61" s="28"/>
      <c r="DX61" s="28"/>
      <c r="EF61" s="28"/>
      <c r="EG61" s="49"/>
      <c r="EJ61" s="28"/>
      <c r="EM61" s="49"/>
      <c r="EN61" s="53"/>
    </row>
    <row r="62" spans="1:144" x14ac:dyDescent="0.3">
      <c r="A62" s="22"/>
      <c r="B62">
        <v>13.75</v>
      </c>
      <c r="C62" t="s">
        <v>156</v>
      </c>
      <c r="D62" t="s">
        <v>258</v>
      </c>
      <c r="E62" s="61" t="s">
        <v>253</v>
      </c>
      <c r="F62" s="19">
        <f>(0.09973-0.09341)/5*1000</f>
        <v>1.2639999999999985</v>
      </c>
      <c r="G62" s="20">
        <f>(0.09766-0.09133)/5*1000</f>
        <v>1.2660000000000005</v>
      </c>
      <c r="H62" s="19">
        <f>50/2</f>
        <v>25</v>
      </c>
      <c r="I62">
        <v>31.32</v>
      </c>
      <c r="J62" s="20">
        <v>1.5429999999999999</v>
      </c>
      <c r="K62" s="19">
        <v>2</v>
      </c>
      <c r="L62">
        <f>0.994-0.062</f>
        <v>0.93199999999999994</v>
      </c>
      <c r="M62">
        <f>1.241-0.037</f>
        <v>1.2040000000000002</v>
      </c>
      <c r="N62">
        <f>1.319-0.038</f>
        <v>1.2809999999999999</v>
      </c>
      <c r="O62" s="20">
        <f>1.402-0.039</f>
        <v>1.363</v>
      </c>
      <c r="P62" s="19">
        <f>1.09-0.037</f>
        <v>1.0530000000000002</v>
      </c>
      <c r="Q62" s="20">
        <f>1.138-0.037</f>
        <v>1.101</v>
      </c>
      <c r="R62" s="19">
        <f>K62*(10.1/0.1)</f>
        <v>201.99999999999997</v>
      </c>
      <c r="S62">
        <f>344.7*10^3</f>
        <v>344700</v>
      </c>
      <c r="T62">
        <v>3.5739999999999998</v>
      </c>
      <c r="U62">
        <v>2.8119999999999998</v>
      </c>
      <c r="V62">
        <v>3.077</v>
      </c>
      <c r="W62">
        <v>3.423</v>
      </c>
      <c r="X62">
        <v>3.86</v>
      </c>
      <c r="Y62" s="20">
        <v>4.4779999999999998</v>
      </c>
      <c r="AA62">
        <v>0.16688479258617128</v>
      </c>
      <c r="AB62" s="20">
        <v>0.16786507958160804</v>
      </c>
      <c r="AC62" s="19">
        <f>K62</f>
        <v>2</v>
      </c>
      <c r="AD62">
        <v>1</v>
      </c>
      <c r="AE62">
        <v>1</v>
      </c>
      <c r="AF62">
        <f>0.468-0.045</f>
        <v>0.42300000000000004</v>
      </c>
      <c r="AG62">
        <f>0.237-0.046</f>
        <v>0.191</v>
      </c>
      <c r="AH62">
        <f>0.481-0.049</f>
        <v>0.432</v>
      </c>
      <c r="AI62" s="43">
        <v>632711.26529001398</v>
      </c>
      <c r="AJ62" s="19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5.0640417712549592E-4</v>
      </c>
      <c r="AU62">
        <v>5.4129976826405423E-4</v>
      </c>
      <c r="AV62">
        <v>2.1674098780971227E-4</v>
      </c>
      <c r="AW62">
        <v>1.5652041491972651E-4</v>
      </c>
      <c r="AX62">
        <v>1.128268506635605E-3</v>
      </c>
      <c r="AY62">
        <v>1.423357523176263E-3</v>
      </c>
      <c r="AZ62">
        <v>4.4158444245343247E-4</v>
      </c>
      <c r="BA62">
        <v>4.2553987806300648E-4</v>
      </c>
      <c r="BD62">
        <v>4.4563567587043644E-4</v>
      </c>
      <c r="BE62">
        <v>6.5869007945384907E-4</v>
      </c>
      <c r="BF62">
        <v>3.6205873047764459E-2</v>
      </c>
      <c r="BG62">
        <v>4.1861058886083102E-2</v>
      </c>
      <c r="BH62">
        <v>1.8649853035177764E-2</v>
      </c>
      <c r="BI62">
        <v>2.1151451487016793E-2</v>
      </c>
      <c r="BJ62">
        <v>1.1505502904291268E-2</v>
      </c>
      <c r="BK62">
        <v>1.2771087604856434E-2</v>
      </c>
      <c r="BL62">
        <v>2.6333017210525788E-4</v>
      </c>
      <c r="BM62">
        <v>2.7554114709826854E-4</v>
      </c>
      <c r="BN62">
        <v>0.16119452642917087</v>
      </c>
      <c r="BO62">
        <v>0.17436537264156407</v>
      </c>
      <c r="BP62">
        <v>0</v>
      </c>
      <c r="BQ62">
        <v>0</v>
      </c>
      <c r="BR62">
        <v>3.4668429966011452E-2</v>
      </c>
      <c r="BS62">
        <v>3.9218146463323979E-2</v>
      </c>
      <c r="BT62">
        <v>0</v>
      </c>
      <c r="BU62">
        <v>0</v>
      </c>
      <c r="BV62">
        <v>0</v>
      </c>
      <c r="BW62">
        <v>0</v>
      </c>
      <c r="BX62">
        <v>2.7684103555096613E-2</v>
      </c>
      <c r="BY62">
        <v>3.0844304265118607E-2</v>
      </c>
      <c r="BZ62">
        <v>4.9627609358298601E-4</v>
      </c>
      <c r="CA62">
        <v>5.6249524111776723E-4</v>
      </c>
      <c r="CB62">
        <v>6.9073529759917647E-4</v>
      </c>
      <c r="CC62">
        <v>7.4021112889120669E-4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1.8027988705667655E-4</v>
      </c>
      <c r="CO62">
        <v>2.1358514952587681E-4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 s="20">
        <v>0</v>
      </c>
      <c r="DF62" s="39">
        <v>0.29427754417775115</v>
      </c>
      <c r="DG62" s="58">
        <v>0.32520866167847301</v>
      </c>
      <c r="DH62" s="19">
        <v>6</v>
      </c>
      <c r="DI62">
        <f>0.483-0.076</f>
        <v>0.40699999999999997</v>
      </c>
      <c r="DJ62">
        <f>0.482-0.052</f>
        <v>0.43</v>
      </c>
      <c r="DK62">
        <v>101.61898186033299</v>
      </c>
      <c r="DL62">
        <v>1.39903648018243E-2</v>
      </c>
      <c r="DM62">
        <v>3.7794433527906998E-4</v>
      </c>
      <c r="DN62">
        <v>96</v>
      </c>
      <c r="DO62">
        <v>0.93512073036157595</v>
      </c>
      <c r="DP62" s="28">
        <v>7.6084882071935002E-58</v>
      </c>
      <c r="DQ62">
        <v>-1.08300574851731E-2</v>
      </c>
      <c r="DR62">
        <v>1.27534078489821E-3</v>
      </c>
      <c r="DS62">
        <v>42</v>
      </c>
      <c r="DT62">
        <v>0.63429508200923701</v>
      </c>
      <c r="DU62" s="28">
        <v>1.7242106461805899E-10</v>
      </c>
      <c r="DV62">
        <v>48.161302176578303</v>
      </c>
      <c r="DW62">
        <v>1.1682284868318999E-2</v>
      </c>
      <c r="DX62" s="28">
        <v>1.24587500471848E-4</v>
      </c>
      <c r="DY62">
        <v>180</v>
      </c>
      <c r="DZ62">
        <v>0.98004544693306395</v>
      </c>
      <c r="EA62" s="28">
        <v>1.85192060164477E-153</v>
      </c>
      <c r="EB62">
        <v>-9.5436543541321806E-3</v>
      </c>
      <c r="EC62">
        <v>2.1347245063376601E-4</v>
      </c>
      <c r="ED62">
        <v>140</v>
      </c>
      <c r="EE62">
        <v>0.93494614926156805</v>
      </c>
      <c r="EF62" s="28">
        <v>5.5586742040755497E-84</v>
      </c>
      <c r="EG62" s="49">
        <v>180774.75922536995</v>
      </c>
      <c r="EH62">
        <v>222</v>
      </c>
      <c r="EI62" s="58">
        <v>0.25</v>
      </c>
      <c r="EJ62" s="28">
        <v>2.8725083542459715E-2</v>
      </c>
      <c r="EK62">
        <v>55</v>
      </c>
      <c r="EL62" s="20">
        <v>220</v>
      </c>
      <c r="EM62" s="49">
        <v>7.4571321293437893E-12</v>
      </c>
      <c r="EN62" s="53">
        <v>5.1879999999999998E-5</v>
      </c>
    </row>
    <row r="63" spans="1:144" x14ac:dyDescent="0.3">
      <c r="B63">
        <v>13.75</v>
      </c>
      <c r="C63" t="s">
        <v>155</v>
      </c>
      <c r="D63" t="s">
        <v>258</v>
      </c>
      <c r="E63" s="61" t="s">
        <v>254</v>
      </c>
      <c r="F63" s="19">
        <f>(0.10171-0.09451)/5*1000</f>
        <v>1.4399999999999997</v>
      </c>
      <c r="G63" s="20">
        <f>(0.09867-0.09142)/5*1000</f>
        <v>1.4499999999999986</v>
      </c>
      <c r="H63" s="19">
        <f>50/2</f>
        <v>25</v>
      </c>
      <c r="I63">
        <v>37.17</v>
      </c>
      <c r="J63" s="20">
        <v>1.4890000000000001</v>
      </c>
      <c r="K63" s="19">
        <v>2</v>
      </c>
      <c r="L63">
        <f>1.029-0.062</f>
        <v>0.96699999999999986</v>
      </c>
      <c r="M63">
        <f>1.152-0.037</f>
        <v>1.115</v>
      </c>
      <c r="N63">
        <f>1.238-0.038</f>
        <v>1.2</v>
      </c>
      <c r="O63" s="20">
        <f>1.292-0.039</f>
        <v>1.2530000000000001</v>
      </c>
      <c r="P63" s="19">
        <f>1.081-0.037</f>
        <v>1.044</v>
      </c>
      <c r="Q63" s="20">
        <f>1.106-0.037</f>
        <v>1.0690000000000002</v>
      </c>
      <c r="R63" s="19">
        <f t="shared" ref="R63:R76" si="1">K63*(10.1/0.1)</f>
        <v>201.99999999999997</v>
      </c>
      <c r="S63">
        <f>264*10^3</f>
        <v>264000</v>
      </c>
      <c r="T63">
        <v>4.125</v>
      </c>
      <c r="U63">
        <v>3.13</v>
      </c>
      <c r="V63">
        <v>3.4670000000000001</v>
      </c>
      <c r="W63">
        <v>3.8919999999999999</v>
      </c>
      <c r="X63">
        <v>4.5309999999999997</v>
      </c>
      <c r="Y63" s="20">
        <v>5.4109999999999996</v>
      </c>
      <c r="AA63">
        <v>0.1515232642907329</v>
      </c>
      <c r="AB63" s="20">
        <v>0.14965626553898553</v>
      </c>
      <c r="AC63" s="19">
        <f t="shared" si="0"/>
        <v>2</v>
      </c>
      <c r="AD63">
        <v>1</v>
      </c>
      <c r="AE63">
        <v>1</v>
      </c>
      <c r="AF63">
        <f>0.26-0.045</f>
        <v>0.21500000000000002</v>
      </c>
      <c r="AG63">
        <f>0.156-0.046</f>
        <v>0.11</v>
      </c>
      <c r="AH63">
        <f>0.31-0.049</f>
        <v>0.26100000000000001</v>
      </c>
      <c r="AI63" s="43">
        <v>1333823.5888863218</v>
      </c>
      <c r="AJ63" s="19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4.7701828909128542E-4</v>
      </c>
      <c r="AU63">
        <v>4.8430215986519014E-4</v>
      </c>
      <c r="AV63">
        <v>2.7140695758642099E-4</v>
      </c>
      <c r="AW63">
        <v>1.8992241563340787E-4</v>
      </c>
      <c r="AX63">
        <v>1.0143492354239977E-3</v>
      </c>
      <c r="AY63">
        <v>9.9076193488761128E-4</v>
      </c>
      <c r="AZ63">
        <v>5.9216063473400938E-4</v>
      </c>
      <c r="BA63">
        <v>5.8559411486967436E-4</v>
      </c>
      <c r="BD63">
        <v>6.1546325230456072E-4</v>
      </c>
      <c r="BE63">
        <v>6.1249979041774045E-4</v>
      </c>
      <c r="BF63">
        <v>5.0679080989318975E-2</v>
      </c>
      <c r="BG63">
        <v>4.9283284170072404E-2</v>
      </c>
      <c r="BH63">
        <v>2.1035409955157656E-2</v>
      </c>
      <c r="BI63">
        <v>2.0703125990838407E-2</v>
      </c>
      <c r="BJ63">
        <v>1.467105387397709E-2</v>
      </c>
      <c r="BK63">
        <v>1.4568631965879332E-2</v>
      </c>
      <c r="BL63">
        <v>3.1252922388739384E-4</v>
      </c>
      <c r="BM63">
        <v>3.102066122012329E-4</v>
      </c>
      <c r="BN63">
        <v>0.20714382129568065</v>
      </c>
      <c r="BO63">
        <v>0.20604208066029339</v>
      </c>
      <c r="BP63">
        <v>0</v>
      </c>
      <c r="BQ63">
        <v>0</v>
      </c>
      <c r="BR63">
        <v>4.0247732770972183E-2</v>
      </c>
      <c r="BS63">
        <v>3.953076812729691E-2</v>
      </c>
      <c r="BT63">
        <v>0</v>
      </c>
      <c r="BU63">
        <v>0</v>
      </c>
      <c r="BV63">
        <v>0</v>
      </c>
      <c r="BW63">
        <v>0</v>
      </c>
      <c r="BX63">
        <v>3.4297340837221413E-2</v>
      </c>
      <c r="BY63">
        <v>3.3829930284700785E-2</v>
      </c>
      <c r="BZ63">
        <v>6.4424883871524172E-4</v>
      </c>
      <c r="CA63">
        <v>6.3624009237191648E-4</v>
      </c>
      <c r="CB63">
        <v>9.8967587564341387E-4</v>
      </c>
      <c r="CC63">
        <v>1.0176676104356774E-3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1.4529867426343751E-4</v>
      </c>
      <c r="CM63">
        <v>0</v>
      </c>
      <c r="CN63">
        <v>2.6729473095632369E-4</v>
      </c>
      <c r="CO63">
        <v>2.6114332149593586E-4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 s="20">
        <v>0</v>
      </c>
      <c r="DF63" s="39">
        <v>0.37340388543493408</v>
      </c>
      <c r="DG63" s="58">
        <v>0.36904615925125961</v>
      </c>
      <c r="DH63" s="19">
        <v>6</v>
      </c>
      <c r="DI63">
        <f>0.44-0.076</f>
        <v>0.36399999999999999</v>
      </c>
      <c r="DJ63">
        <f>0.455-0.052</f>
        <v>0.40300000000000002</v>
      </c>
      <c r="DK63">
        <v>48.113183133867402</v>
      </c>
      <c r="DL63">
        <v>-4.8118322668692301E-3</v>
      </c>
      <c r="DM63">
        <v>2.8102349671308699E-4</v>
      </c>
      <c r="DN63">
        <v>144</v>
      </c>
      <c r="DO63">
        <v>0.67140102979463501</v>
      </c>
      <c r="DP63" s="28">
        <v>2.3782820897622401E-36</v>
      </c>
      <c r="DQ63">
        <v>-2.22311063094426E-2</v>
      </c>
      <c r="DR63">
        <v>3.8375897576322E-4</v>
      </c>
      <c r="DS63">
        <v>150</v>
      </c>
      <c r="DT63">
        <v>0.95747558466581195</v>
      </c>
      <c r="DU63" s="28">
        <v>1.34319945138055E-103</v>
      </c>
      <c r="DV63">
        <v>99.926922268103496</v>
      </c>
      <c r="DW63">
        <v>2.3875594897731899E-3</v>
      </c>
      <c r="DX63">
        <v>2.5915482056036601E-4</v>
      </c>
      <c r="DY63">
        <v>143</v>
      </c>
      <c r="DZ63">
        <v>0.37133915934371198</v>
      </c>
      <c r="EA63" s="28">
        <v>4.0380251168306602E-16</v>
      </c>
      <c r="EB63">
        <v>-1.1616858564506999E-2</v>
      </c>
      <c r="EC63">
        <v>1.4657727637541E-4</v>
      </c>
      <c r="ED63">
        <v>208</v>
      </c>
      <c r="EE63">
        <v>0.96809111573762396</v>
      </c>
      <c r="EF63" s="28">
        <v>2.7396375122561102E-156</v>
      </c>
      <c r="EG63" s="49">
        <v>381092.63205955579</v>
      </c>
      <c r="EH63">
        <v>234</v>
      </c>
      <c r="EI63" s="58">
        <v>0.5</v>
      </c>
      <c r="EJ63" s="28">
        <v>2.8725083542459715E-2</v>
      </c>
      <c r="EK63">
        <v>55</v>
      </c>
      <c r="EL63" s="20">
        <v>220</v>
      </c>
      <c r="EM63" s="49">
        <v>3.9448795288224902E-12</v>
      </c>
      <c r="EN63" s="53">
        <v>5.1879999999999998E-5</v>
      </c>
    </row>
    <row r="64" spans="1:144" x14ac:dyDescent="0.3">
      <c r="B64">
        <v>13.75</v>
      </c>
      <c r="C64" t="s">
        <v>157</v>
      </c>
      <c r="D64" t="s">
        <v>258</v>
      </c>
      <c r="E64" s="61" t="s">
        <v>255</v>
      </c>
      <c r="F64" s="19">
        <f>(0.10159-0.09451)/5*1000</f>
        <v>1.4160000000000006</v>
      </c>
      <c r="G64" s="20">
        <f>(0.09837-0.09122)/5*1000</f>
        <v>1.4300000000000006</v>
      </c>
      <c r="H64" s="19">
        <f>50/2</f>
        <v>25</v>
      </c>
      <c r="I64">
        <f>36.26</f>
        <v>36.26</v>
      </c>
      <c r="J64" s="20">
        <v>1.4730000000000001</v>
      </c>
      <c r="K64" s="19">
        <v>2</v>
      </c>
      <c r="L64">
        <f>0.953-0.062</f>
        <v>0.89100000000000001</v>
      </c>
      <c r="M64">
        <f>1.038-0.037</f>
        <v>1.0010000000000001</v>
      </c>
      <c r="N64">
        <f>1.126-0.038</f>
        <v>1.0879999999999999</v>
      </c>
      <c r="O64" s="20">
        <f>1.171-0.039</f>
        <v>1.1320000000000001</v>
      </c>
      <c r="P64" s="19">
        <f>0.996-0.037</f>
        <v>0.95899999999999996</v>
      </c>
      <c r="Q64" s="20">
        <f>1.012-0.037</f>
        <v>0.97499999999999998</v>
      </c>
      <c r="R64" s="19">
        <f t="shared" si="1"/>
        <v>201.99999999999997</v>
      </c>
      <c r="S64">
        <f>207.6*10^3</f>
        <v>207600</v>
      </c>
      <c r="T64">
        <v>4.1310000000000002</v>
      </c>
      <c r="U64">
        <f>3.029</f>
        <v>3.0289999999999999</v>
      </c>
      <c r="V64">
        <v>3.4</v>
      </c>
      <c r="W64">
        <v>3.8889999999999998</v>
      </c>
      <c r="X64">
        <v>4.7329999999999997</v>
      </c>
      <c r="Y64" s="20">
        <v>5.516</v>
      </c>
      <c r="AA64">
        <v>0.15231575942531081</v>
      </c>
      <c r="AB64" s="20">
        <v>0.14850799458274366</v>
      </c>
      <c r="AC64" s="19">
        <f t="shared" si="0"/>
        <v>2</v>
      </c>
      <c r="AD64">
        <v>1</v>
      </c>
      <c r="AE64">
        <v>1</v>
      </c>
      <c r="AF64">
        <f>0.203-0.045</f>
        <v>0.15800000000000003</v>
      </c>
      <c r="AG64">
        <f>0.131-0.046</f>
        <v>8.5000000000000006E-2</v>
      </c>
      <c r="AH64">
        <f>0.258-0.049</f>
        <v>0.20900000000000002</v>
      </c>
      <c r="AI64" s="43">
        <v>2416842.0196314626</v>
      </c>
      <c r="AJ64" s="19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7.5822516338705346E-5</v>
      </c>
      <c r="AT64">
        <v>4.9392531208706288E-4</v>
      </c>
      <c r="AU64">
        <v>4.7740102879925591E-4</v>
      </c>
      <c r="AV64">
        <v>1.638830528583803E-4</v>
      </c>
      <c r="AW64">
        <v>1.6568623940680058E-4</v>
      </c>
      <c r="AX64">
        <v>1.3497590325697154E-3</v>
      </c>
      <c r="AY64">
        <v>1.3423393633296725E-3</v>
      </c>
      <c r="AZ64">
        <v>6.6463682548120891E-4</v>
      </c>
      <c r="BA64">
        <v>6.150048547472768E-4</v>
      </c>
      <c r="BD64">
        <v>7.1243604923156999E-4</v>
      </c>
      <c r="BE64">
        <v>7.1750566387182287E-4</v>
      </c>
      <c r="BF64">
        <v>5.7038130855252112E-2</v>
      </c>
      <c r="BG64">
        <v>5.6044072539686768E-2</v>
      </c>
      <c r="BH64">
        <v>2.2039994455940227E-2</v>
      </c>
      <c r="BI64">
        <v>2.1544827605575832E-2</v>
      </c>
      <c r="BJ64">
        <v>1.773123585787198E-2</v>
      </c>
      <c r="BK64">
        <v>1.7227156536288441E-2</v>
      </c>
      <c r="BL64">
        <v>4.2564070672940441E-4</v>
      </c>
      <c r="BM64">
        <v>4.1000323649818446E-4</v>
      </c>
      <c r="BN64">
        <v>0.24663488993781466</v>
      </c>
      <c r="BO64">
        <v>0.22753354268774417</v>
      </c>
      <c r="BP64">
        <v>0</v>
      </c>
      <c r="BQ64">
        <v>6.6134083695426333E-4</v>
      </c>
      <c r="BR64">
        <v>4.5013211851768452E-2</v>
      </c>
      <c r="BS64">
        <v>4.3620412825522606E-2</v>
      </c>
      <c r="BT64">
        <v>0</v>
      </c>
      <c r="BU64">
        <v>0</v>
      </c>
      <c r="BV64">
        <v>0</v>
      </c>
      <c r="BW64">
        <v>0</v>
      </c>
      <c r="BX64">
        <v>4.1230244714954178E-2</v>
      </c>
      <c r="BY64">
        <v>3.9622881269665303E-2</v>
      </c>
      <c r="BZ64">
        <v>6.8739836060042851E-4</v>
      </c>
      <c r="CA64">
        <v>6.4449138887899549E-4</v>
      </c>
      <c r="CB64">
        <v>1.3429305720339495E-3</v>
      </c>
      <c r="CC64">
        <v>1.2623044849721502E-3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2.0257766256105342E-4</v>
      </c>
      <c r="CM64">
        <v>1.6849448075267854E-4</v>
      </c>
      <c r="CN64">
        <v>2.20786890656429E-4</v>
      </c>
      <c r="CO64">
        <v>2.7661177256898064E-4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 s="20">
        <v>0</v>
      </c>
      <c r="DF64" s="39">
        <v>0.43595168213841079</v>
      </c>
      <c r="DG64" s="58">
        <v>0.41240989933160188</v>
      </c>
      <c r="DH64" s="19">
        <v>6</v>
      </c>
      <c r="DI64">
        <f>0.402-0.083</f>
        <v>0.31900000000000001</v>
      </c>
      <c r="DJ64">
        <f>0.41-0.059</f>
        <v>0.35099999999999998</v>
      </c>
      <c r="DK64">
        <v>99.8909148467432</v>
      </c>
      <c r="DL64">
        <v>-8.7647252642558907E-3</v>
      </c>
      <c r="DM64">
        <v>1.8012539705002101E-4</v>
      </c>
      <c r="DN64">
        <v>139</v>
      </c>
      <c r="DO64">
        <v>0.944903585872646</v>
      </c>
      <c r="DP64" s="28">
        <v>2.48548432607208E-88</v>
      </c>
      <c r="DQ64">
        <v>-1.59730578831009E-2</v>
      </c>
      <c r="DR64">
        <v>2.2127964972068899E-4</v>
      </c>
      <c r="DS64">
        <v>148</v>
      </c>
      <c r="DT64">
        <v>0.97255755382965803</v>
      </c>
      <c r="DU64" s="28">
        <v>4.1057966539209602E-116</v>
      </c>
      <c r="DV64">
        <v>49.216499458086702</v>
      </c>
      <c r="DW64">
        <v>-1.11594103161639E-2</v>
      </c>
      <c r="DX64">
        <v>1.45233251407191E-4</v>
      </c>
      <c r="DY64">
        <v>165</v>
      </c>
      <c r="DZ64">
        <v>0.97296876190343695</v>
      </c>
      <c r="EA64" s="28">
        <v>6.0479944140976603E-130</v>
      </c>
      <c r="EB64">
        <v>-1.3866991194708101E-2</v>
      </c>
      <c r="EC64">
        <v>2.3453586684306601E-4</v>
      </c>
      <c r="ED64">
        <v>139</v>
      </c>
      <c r="EE64">
        <v>0.96201271920868603</v>
      </c>
      <c r="EF64" s="28">
        <v>2.1373270968266399E-99</v>
      </c>
      <c r="EG64" s="49">
        <v>690525.86600903235</v>
      </c>
      <c r="EH64">
        <v>212</v>
      </c>
      <c r="EI64" s="58">
        <v>1</v>
      </c>
      <c r="EJ64" s="28">
        <v>2.8725083542459715E-2</v>
      </c>
      <c r="EK64">
        <v>55</v>
      </c>
      <c r="EL64" s="20">
        <v>220</v>
      </c>
      <c r="EM64" s="49">
        <v>1.72317615264181E-12</v>
      </c>
      <c r="EN64" s="53">
        <v>5.1879999999999998E-5</v>
      </c>
    </row>
    <row r="65" spans="1:144" x14ac:dyDescent="0.3">
      <c r="B65">
        <v>13.75</v>
      </c>
      <c r="C65" t="s">
        <v>158</v>
      </c>
      <c r="D65" t="s">
        <v>259</v>
      </c>
      <c r="E65" s="61" t="s">
        <v>253</v>
      </c>
      <c r="F65" s="19">
        <f>(0.10601-0.09247)/5*1000</f>
        <v>2.7079999999999993</v>
      </c>
      <c r="G65" s="20">
        <f>(0.10365-0.08994)/5*1000</f>
        <v>2.742</v>
      </c>
      <c r="H65" s="19">
        <f>50/1</f>
        <v>50</v>
      </c>
      <c r="I65">
        <v>31.82</v>
      </c>
      <c r="J65" s="20">
        <v>2.7450000000000001</v>
      </c>
      <c r="K65" s="19">
        <v>11</v>
      </c>
      <c r="L65">
        <f>0.406-0.062</f>
        <v>0.34400000000000003</v>
      </c>
      <c r="M65">
        <f>0.539-0.037</f>
        <v>0.502</v>
      </c>
      <c r="N65">
        <f>0.557-0.038</f>
        <v>0.51900000000000002</v>
      </c>
      <c r="O65" s="20">
        <f>0.585-0.039</f>
        <v>0.54599999999999993</v>
      </c>
      <c r="P65" s="19">
        <f>0.446-0.037</f>
        <v>0.40900000000000003</v>
      </c>
      <c r="Q65" s="20">
        <f>0.471-0.037</f>
        <v>0.434</v>
      </c>
      <c r="R65" s="19">
        <f t="shared" si="1"/>
        <v>1110.9999999999998</v>
      </c>
      <c r="S65">
        <v>85626</v>
      </c>
      <c r="T65">
        <v>4.1740000000000004</v>
      </c>
      <c r="U65">
        <v>2.8879999999999999</v>
      </c>
      <c r="V65">
        <v>3.2469999999999999</v>
      </c>
      <c r="W65">
        <v>3.8940000000000001</v>
      </c>
      <c r="X65">
        <v>4.87</v>
      </c>
      <c r="Y65" s="20">
        <v>5.6040000000000001</v>
      </c>
      <c r="AA65">
        <v>0.15416180777902777</v>
      </c>
      <c r="AB65" s="20">
        <v>0.16174770167467267</v>
      </c>
      <c r="AC65" s="19">
        <f t="shared" si="0"/>
        <v>11</v>
      </c>
      <c r="AD65">
        <v>1</v>
      </c>
      <c r="AE65">
        <v>1</v>
      </c>
      <c r="AF65">
        <f>0.383-0.045</f>
        <v>0.33800000000000002</v>
      </c>
      <c r="AG65">
        <f>0.184-0.046</f>
        <v>0.13800000000000001</v>
      </c>
      <c r="AH65">
        <f>0.335-0.049</f>
        <v>0.28600000000000003</v>
      </c>
      <c r="AI65" s="43">
        <v>638411.83739203366</v>
      </c>
      <c r="AJ65" s="19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7.4159485154870711E-5</v>
      </c>
      <c r="AS65">
        <v>5.7535039164987412E-5</v>
      </c>
      <c r="AT65">
        <v>9.0090041225176273E-4</v>
      </c>
      <c r="AU65">
        <v>8.3713481985056679E-4</v>
      </c>
      <c r="AV65">
        <v>5.1636974848576645E-4</v>
      </c>
      <c r="AW65">
        <v>4.8617108094414362E-4</v>
      </c>
      <c r="AX65">
        <v>4.8368464206565674E-3</v>
      </c>
      <c r="AY65">
        <v>4.6603381723639798E-3</v>
      </c>
      <c r="AZ65">
        <v>1.1261255153147034E-3</v>
      </c>
      <c r="BA65">
        <v>1.1967288146317381E-3</v>
      </c>
      <c r="BD65">
        <v>1.4694564651057714E-3</v>
      </c>
      <c r="BE65">
        <v>1.4124852115004409E-3</v>
      </c>
      <c r="BF65">
        <v>4.4553370692487326E-2</v>
      </c>
      <c r="BG65">
        <v>4.4327870924664552E-2</v>
      </c>
      <c r="BH65">
        <v>2.8592601498600153E-2</v>
      </c>
      <c r="BI65">
        <v>2.8989029483278906E-2</v>
      </c>
      <c r="BJ65">
        <v>7.5450409526085123E-3</v>
      </c>
      <c r="BK65">
        <v>7.5342133786551017E-3</v>
      </c>
      <c r="BL65">
        <v>9.4649476238401649E-3</v>
      </c>
      <c r="BM65">
        <v>9.8701359687535899E-3</v>
      </c>
      <c r="BN65">
        <v>0.14196048111961085</v>
      </c>
      <c r="BO65">
        <v>0.14761189648169171</v>
      </c>
      <c r="BP65">
        <v>0</v>
      </c>
      <c r="BQ65">
        <v>0</v>
      </c>
      <c r="BR65">
        <v>6.2469752976384428E-2</v>
      </c>
      <c r="BS65">
        <v>6.4237871227708437E-2</v>
      </c>
      <c r="BT65">
        <v>0</v>
      </c>
      <c r="BU65">
        <v>0</v>
      </c>
      <c r="BV65">
        <v>2.0031300934610079E-2</v>
      </c>
      <c r="BW65">
        <v>2.0168907979286336E-2</v>
      </c>
      <c r="BX65">
        <v>0</v>
      </c>
      <c r="BY65">
        <v>0</v>
      </c>
      <c r="BZ65">
        <v>8.4871410788352035E-4</v>
      </c>
      <c r="CA65">
        <v>8.4864182768356439E-4</v>
      </c>
      <c r="CB65">
        <v>1.840253890880125E-4</v>
      </c>
      <c r="CC65">
        <v>1.6109810966196474E-4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1.4831897030974142E-4</v>
      </c>
      <c r="CM65">
        <v>1.8698887728620908E-4</v>
      </c>
      <c r="CN65">
        <v>1.4557232271141288E-4</v>
      </c>
      <c r="CO65">
        <v>1.0931657441347608E-4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 s="20">
        <v>0</v>
      </c>
      <c r="DF65" s="39">
        <v>0.32486798463510363</v>
      </c>
      <c r="DG65" s="58">
        <v>0.33269636397153973</v>
      </c>
      <c r="DH65" s="19">
        <v>11</v>
      </c>
      <c r="DI65">
        <f>0.443-0.075</f>
        <v>0.36799999999999999</v>
      </c>
      <c r="DJ65">
        <f>0.585-0.051</f>
        <v>0.53399999999999992</v>
      </c>
      <c r="DK65">
        <v>49.192573419003203</v>
      </c>
      <c r="DL65">
        <v>3.4128242202022298E-2</v>
      </c>
      <c r="DM65">
        <v>2.8428881453353399E-4</v>
      </c>
      <c r="DN65">
        <v>126</v>
      </c>
      <c r="DO65">
        <v>0.99140034713852698</v>
      </c>
      <c r="DP65" s="28">
        <v>3.7820314237722502E-130</v>
      </c>
      <c r="DQ65">
        <v>-1.83561749899167E-2</v>
      </c>
      <c r="DR65">
        <v>3.1837198701971798E-4</v>
      </c>
      <c r="DS65">
        <v>148</v>
      </c>
      <c r="DT65">
        <v>0.95764003338967096</v>
      </c>
      <c r="DU65" s="28">
        <v>2.3964988339496598E-102</v>
      </c>
      <c r="DV65">
        <v>101.21205457705599</v>
      </c>
      <c r="DW65">
        <v>6.2182690680653997E-2</v>
      </c>
      <c r="DX65">
        <v>3.8428476456549298E-4</v>
      </c>
      <c r="DY65">
        <v>144</v>
      </c>
      <c r="DZ65">
        <v>0.99456806645912699</v>
      </c>
      <c r="EA65" s="28">
        <v>6.1882659718458406E-163</v>
      </c>
      <c r="EB65">
        <v>-2.3008470460127502E-2</v>
      </c>
      <c r="EC65">
        <v>2.53050886245106E-4</v>
      </c>
      <c r="ED65">
        <v>138</v>
      </c>
      <c r="EE65">
        <v>0.98369673603505303</v>
      </c>
      <c r="EF65" s="28">
        <v>1.13810135191997E-123</v>
      </c>
      <c r="EG65" s="49">
        <v>182403.38274154626</v>
      </c>
      <c r="EH65">
        <v>224</v>
      </c>
      <c r="EI65" s="58">
        <v>0.25</v>
      </c>
      <c r="EJ65" s="28">
        <v>3.0501343507952371E-2</v>
      </c>
      <c r="EK65">
        <v>50</v>
      </c>
      <c r="EL65" s="20">
        <v>250</v>
      </c>
      <c r="EM65" s="49">
        <v>1.5130325999314201E-11</v>
      </c>
      <c r="EN65" s="53">
        <v>5.1879999999999998E-5</v>
      </c>
    </row>
    <row r="66" spans="1:144" x14ac:dyDescent="0.3">
      <c r="B66">
        <v>13.75</v>
      </c>
      <c r="C66" t="s">
        <v>159</v>
      </c>
      <c r="D66" t="s">
        <v>259</v>
      </c>
      <c r="E66" s="61" t="s">
        <v>254</v>
      </c>
      <c r="F66" s="19">
        <f>(0.10737-0.09085)/5*1000</f>
        <v>3.3039999999999989</v>
      </c>
      <c r="G66" s="20">
        <f>(0.10858-0.09192)/5*1000</f>
        <v>3.331999999999999</v>
      </c>
      <c r="H66" s="19">
        <f>50/1</f>
        <v>50</v>
      </c>
      <c r="I66">
        <v>40.049999999999997</v>
      </c>
      <c r="J66" s="20">
        <v>2.835</v>
      </c>
      <c r="K66" s="19">
        <v>11</v>
      </c>
      <c r="L66">
        <f>0.464-0.062</f>
        <v>0.40200000000000002</v>
      </c>
      <c r="M66">
        <f>0.584-0.037</f>
        <v>0.54699999999999993</v>
      </c>
      <c r="N66">
        <f>0.609-0.038</f>
        <v>0.57099999999999995</v>
      </c>
      <c r="O66" s="20">
        <f>0.639-0.039</f>
        <v>0.6</v>
      </c>
      <c r="P66" s="19">
        <f>0.502-0.037</f>
        <v>0.46500000000000002</v>
      </c>
      <c r="Q66" s="20">
        <f>0.526-0.037</f>
        <v>0.48900000000000005</v>
      </c>
      <c r="R66" s="19">
        <f t="shared" si="1"/>
        <v>1110.9999999999998</v>
      </c>
      <c r="S66">
        <v>94072</v>
      </c>
      <c r="T66">
        <v>4.2119999999999997</v>
      </c>
      <c r="U66">
        <v>2.9809999999999999</v>
      </c>
      <c r="V66">
        <v>3.3130000000000002</v>
      </c>
      <c r="W66">
        <v>3.9340000000000002</v>
      </c>
      <c r="X66">
        <v>4.8899999999999997</v>
      </c>
      <c r="Y66" s="20">
        <v>5.6070000000000002</v>
      </c>
      <c r="AA66">
        <v>0.18613200130503924</v>
      </c>
      <c r="AB66" s="20">
        <v>0.17391152069506272</v>
      </c>
      <c r="AC66" s="19">
        <f t="shared" si="0"/>
        <v>11</v>
      </c>
      <c r="AD66">
        <v>1</v>
      </c>
      <c r="AE66">
        <v>1</v>
      </c>
      <c r="AF66">
        <f>0.34-0.045</f>
        <v>0.29500000000000004</v>
      </c>
      <c r="AG66">
        <f>0.17-0.046</f>
        <v>0.12400000000000001</v>
      </c>
      <c r="AH66">
        <f>0.315-0.049</f>
        <v>0.26600000000000001</v>
      </c>
      <c r="AI66" s="43">
        <v>1316724.418814118</v>
      </c>
      <c r="AJ66" s="19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1.4772510055875146E-4</v>
      </c>
      <c r="AS66">
        <v>1.0826037562687246E-4</v>
      </c>
      <c r="AT66">
        <v>8.7748709731898353E-4</v>
      </c>
      <c r="AU66">
        <v>8.7664499288101589E-4</v>
      </c>
      <c r="AV66">
        <v>4.5794781173212954E-4</v>
      </c>
      <c r="AW66">
        <v>4.0927702980890805E-4</v>
      </c>
      <c r="AX66">
        <v>2.7683683844710026E-3</v>
      </c>
      <c r="AY66">
        <v>3.8894520316678808E-3</v>
      </c>
      <c r="AZ66">
        <v>9.277136315089591E-4</v>
      </c>
      <c r="BA66">
        <v>1.0033888472734519E-3</v>
      </c>
      <c r="BD66">
        <v>1.2792993708387876E-3</v>
      </c>
      <c r="BE66">
        <v>1.3149674893215238E-3</v>
      </c>
      <c r="BF66">
        <v>4.8515877525505152E-2</v>
      </c>
      <c r="BG66">
        <v>5.0446694545156053E-2</v>
      </c>
      <c r="BH66">
        <v>2.976660776258842E-2</v>
      </c>
      <c r="BI66">
        <v>3.0624483817572358E-2</v>
      </c>
      <c r="BJ66">
        <v>9.7321296248105461E-3</v>
      </c>
      <c r="BK66">
        <v>1.0165913321059972E-2</v>
      </c>
      <c r="BL66">
        <v>1.2275955856432246E-2</v>
      </c>
      <c r="BM66">
        <v>1.2766802833071422E-2</v>
      </c>
      <c r="BN66">
        <v>0.17827465135430126</v>
      </c>
      <c r="BO66">
        <v>0.18076842232721188</v>
      </c>
      <c r="BP66">
        <v>0</v>
      </c>
      <c r="BQ66">
        <v>0</v>
      </c>
      <c r="BR66">
        <v>6.3069754432553346E-2</v>
      </c>
      <c r="BS66">
        <v>6.4430766479788154E-2</v>
      </c>
      <c r="BT66">
        <v>0</v>
      </c>
      <c r="BU66">
        <v>0</v>
      </c>
      <c r="BV66">
        <v>2.5083722074875997E-2</v>
      </c>
      <c r="BW66">
        <v>2.6098672016975785E-2</v>
      </c>
      <c r="BX66">
        <v>0</v>
      </c>
      <c r="BY66">
        <v>0</v>
      </c>
      <c r="BZ66">
        <v>1.137483274302386E-3</v>
      </c>
      <c r="CA66">
        <v>1.1090087259338153E-3</v>
      </c>
      <c r="CB66">
        <v>2.1567864681577712E-4</v>
      </c>
      <c r="CC66">
        <v>1.7427279978959954E-4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2.8067769106162775E-4</v>
      </c>
      <c r="CM66">
        <v>1.7955379372261771E-4</v>
      </c>
      <c r="CN66">
        <v>1.9499713273755191E-4</v>
      </c>
      <c r="CO66">
        <v>2.0067776945469038E-4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 s="20">
        <v>0</v>
      </c>
      <c r="DF66" s="39">
        <v>0.37500607677241299</v>
      </c>
      <c r="DG66" s="58">
        <v>0.38456725919631607</v>
      </c>
      <c r="DH66" s="19">
        <v>11</v>
      </c>
      <c r="DI66">
        <f>0.501-0.077</f>
        <v>0.42399999999999999</v>
      </c>
      <c r="DJ66">
        <f>0.635-0.053</f>
        <v>0.58199999999999996</v>
      </c>
      <c r="DK66">
        <v>101.07086835816899</v>
      </c>
      <c r="DL66">
        <v>3.70858472923664E-2</v>
      </c>
      <c r="DM66">
        <v>3.0521612987705299E-4</v>
      </c>
      <c r="DN66">
        <v>142</v>
      </c>
      <c r="DO66">
        <v>0.99053939665822699</v>
      </c>
      <c r="DP66" s="28">
        <v>8.4735215180233894E-144</v>
      </c>
      <c r="DQ66">
        <v>-2.1861069152294101E-2</v>
      </c>
      <c r="DR66">
        <v>2.3848492345291401E-4</v>
      </c>
      <c r="DS66">
        <v>141</v>
      </c>
      <c r="DT66">
        <v>0.98360989727210002</v>
      </c>
      <c r="DU66" s="28">
        <v>3.39015791971874E-126</v>
      </c>
      <c r="DV66">
        <v>51.9665063160814</v>
      </c>
      <c r="DW66">
        <v>2.8113543378339E-2</v>
      </c>
      <c r="DX66">
        <v>1.82557471506306E-4</v>
      </c>
      <c r="DY66">
        <v>145</v>
      </c>
      <c r="DZ66">
        <v>0.99396441055755402</v>
      </c>
      <c r="EA66" s="28">
        <v>8.50876449461027E-161</v>
      </c>
      <c r="EB66">
        <v>-2.4814674794792001E-2</v>
      </c>
      <c r="EC66">
        <v>3.0063013127444799E-4</v>
      </c>
      <c r="ED66">
        <v>140</v>
      </c>
      <c r="EE66">
        <v>0.98000349891002203</v>
      </c>
      <c r="EF66" s="28">
        <v>2.4264300534698101E-119</v>
      </c>
      <c r="EG66" s="49">
        <v>376206.97690443916</v>
      </c>
      <c r="EH66">
        <v>231</v>
      </c>
      <c r="EI66" s="58">
        <v>0.5</v>
      </c>
      <c r="EJ66" s="28">
        <v>3.0501343507952371E-2</v>
      </c>
      <c r="EK66">
        <v>50</v>
      </c>
      <c r="EL66" s="20">
        <v>250</v>
      </c>
      <c r="EM66" s="49">
        <v>1.10642045435172E-11</v>
      </c>
      <c r="EN66" s="53">
        <v>5.1879999999999998E-5</v>
      </c>
    </row>
    <row r="67" spans="1:144" s="34" customFormat="1" ht="15" thickBot="1" x14ac:dyDescent="0.35">
      <c r="A67" s="26"/>
      <c r="B67" s="34">
        <v>13.75</v>
      </c>
      <c r="C67" s="34" t="s">
        <v>160</v>
      </c>
      <c r="D67" t="s">
        <v>259</v>
      </c>
      <c r="E67" s="62" t="s">
        <v>255</v>
      </c>
      <c r="F67" s="26">
        <f>(0.1113-0.09195)/5*1000</f>
        <v>3.8699999999999983</v>
      </c>
      <c r="G67" s="41">
        <f>(0.11118-0.09181)/5*1000</f>
        <v>3.8739999999999997</v>
      </c>
      <c r="H67" s="26">
        <f>50/1</f>
        <v>50</v>
      </c>
      <c r="I67" s="34">
        <v>47.61</v>
      </c>
      <c r="J67" s="41">
        <v>2.6070000000000002</v>
      </c>
      <c r="K67" s="26">
        <v>11</v>
      </c>
      <c r="L67" s="34">
        <f>0.554-0.062</f>
        <v>0.49200000000000005</v>
      </c>
      <c r="M67" s="34">
        <f>0.641-0.037</f>
        <v>0.60399999999999998</v>
      </c>
      <c r="N67" s="34">
        <f>0.681-0.038</f>
        <v>0.64300000000000002</v>
      </c>
      <c r="O67" s="41">
        <f>0.709-0.039</f>
        <v>0.66999999999999993</v>
      </c>
      <c r="P67" s="26">
        <f>0.583-0.037</f>
        <v>0.54599999999999993</v>
      </c>
      <c r="Q67" s="41">
        <f>0.602-0.037</f>
        <v>0.56499999999999995</v>
      </c>
      <c r="R67" s="26">
        <f t="shared" si="1"/>
        <v>1110.9999999999998</v>
      </c>
      <c r="S67" s="34">
        <f>124.8*1000</f>
        <v>124800</v>
      </c>
      <c r="T67" s="34">
        <v>3.91</v>
      </c>
      <c r="U67" s="34">
        <v>2.883</v>
      </c>
      <c r="V67" s="34">
        <v>3.169</v>
      </c>
      <c r="W67" s="34">
        <v>3.5590000000000002</v>
      </c>
      <c r="X67" s="34">
        <v>4.415</v>
      </c>
      <c r="Y67" s="41">
        <v>5.2869999999999999</v>
      </c>
      <c r="Z67" s="26"/>
      <c r="AA67" s="34">
        <v>0.22534304518479711</v>
      </c>
      <c r="AB67" s="41">
        <v>0.22704666822148198</v>
      </c>
      <c r="AC67" s="26">
        <f t="shared" si="0"/>
        <v>11</v>
      </c>
      <c r="AD67" s="34">
        <v>1</v>
      </c>
      <c r="AE67" s="34">
        <v>1</v>
      </c>
      <c r="AF67" s="34">
        <f>0.246-0.045</f>
        <v>0.20100000000000001</v>
      </c>
      <c r="AG67" s="34">
        <f>0.135-0.046</f>
        <v>8.900000000000001E-2</v>
      </c>
      <c r="AH67" s="34">
        <f>0.265-0.049</f>
        <v>0.21600000000000003</v>
      </c>
      <c r="AI67" s="44">
        <v>2416844.8209933098</v>
      </c>
      <c r="AJ67" s="26">
        <v>0</v>
      </c>
      <c r="AK67" s="34">
        <v>0</v>
      </c>
      <c r="AL67" s="34">
        <v>0</v>
      </c>
      <c r="AM67" s="34">
        <v>0</v>
      </c>
      <c r="AN67" s="34">
        <v>0</v>
      </c>
      <c r="AO67" s="34">
        <v>0</v>
      </c>
      <c r="AP67" s="34">
        <v>0</v>
      </c>
      <c r="AQ67" s="34">
        <v>0</v>
      </c>
      <c r="AR67" s="34">
        <v>1.7365393331307397E-4</v>
      </c>
      <c r="AS67" s="34">
        <v>1.4449892020172123E-4</v>
      </c>
      <c r="AT67" s="34">
        <v>8.1418073651703536E-4</v>
      </c>
      <c r="AU67" s="34">
        <v>7.6228415874531204E-4</v>
      </c>
      <c r="AV67" s="34">
        <v>3.3592072345807754E-4</v>
      </c>
      <c r="AW67" s="34">
        <v>3.0784552564714523E-4</v>
      </c>
      <c r="AX67" s="34">
        <v>2.277428633614085E-3</v>
      </c>
      <c r="AY67" s="34">
        <v>2.157012866779317E-3</v>
      </c>
      <c r="AZ67" s="34">
        <v>8.2841466547712347E-4</v>
      </c>
      <c r="BA67" s="34">
        <v>8.1045046547921907E-4</v>
      </c>
      <c r="BD67" s="34">
        <v>1.0447703856704615E-3</v>
      </c>
      <c r="BE67" s="34">
        <v>5.7590149355758464E-4</v>
      </c>
      <c r="BF67" s="34">
        <v>5.64147540404129E-2</v>
      </c>
      <c r="BG67" s="34">
        <v>5.7137804909909599E-2</v>
      </c>
      <c r="BH67" s="34">
        <v>2.9208022226100638E-2</v>
      </c>
      <c r="BI67" s="34">
        <v>2.9557358836624546E-2</v>
      </c>
      <c r="BJ67" s="34">
        <v>1.5176215057245857E-2</v>
      </c>
      <c r="BK67" s="34">
        <v>1.5333639039376854E-2</v>
      </c>
      <c r="BL67" s="34">
        <v>1.2335122836812288E-2</v>
      </c>
      <c r="BM67" s="34">
        <v>1.2615383989785055E-2</v>
      </c>
      <c r="BN67" s="34">
        <v>0.23069782701352279</v>
      </c>
      <c r="BO67" s="34">
        <v>0.22142260624302015</v>
      </c>
      <c r="BP67" s="34">
        <v>0</v>
      </c>
      <c r="BQ67" s="34">
        <v>5.026049398320739E-5</v>
      </c>
      <c r="BR67" s="34">
        <v>5.7060974415200895E-2</v>
      </c>
      <c r="BS67" s="34">
        <v>5.6478135926379999E-2</v>
      </c>
      <c r="BT67" s="34">
        <v>0</v>
      </c>
      <c r="BU67" s="34">
        <v>0</v>
      </c>
      <c r="BV67" s="34">
        <v>3.7079384941029324E-2</v>
      </c>
      <c r="BW67" s="34">
        <v>3.629645340487294E-2</v>
      </c>
      <c r="BX67" s="34">
        <v>0</v>
      </c>
      <c r="BY67" s="34">
        <v>0</v>
      </c>
      <c r="BZ67" s="34">
        <v>1.511643255561349E-3</v>
      </c>
      <c r="CA67" s="34">
        <v>1.4512717637651133E-3</v>
      </c>
      <c r="CB67" s="34">
        <v>2.5621072128158452E-4</v>
      </c>
      <c r="CC67" s="34">
        <v>2.3664315917093479E-4</v>
      </c>
      <c r="CD67" s="34">
        <v>0</v>
      </c>
      <c r="CE67" s="34">
        <v>0</v>
      </c>
      <c r="CF67" s="34">
        <v>0</v>
      </c>
      <c r="CG67" s="34">
        <v>0</v>
      </c>
      <c r="CH67" s="34">
        <v>0</v>
      </c>
      <c r="CI67" s="34">
        <v>0</v>
      </c>
      <c r="CJ67" s="34">
        <v>0</v>
      </c>
      <c r="CK67" s="34">
        <v>0</v>
      </c>
      <c r="CL67" s="34">
        <v>3.5300143821018318E-4</v>
      </c>
      <c r="CM67" s="34">
        <v>3.0575133839784495E-4</v>
      </c>
      <c r="CN67" s="34">
        <v>2.5905750707360217E-4</v>
      </c>
      <c r="CO67" s="34">
        <v>2.8271527865554157E-4</v>
      </c>
      <c r="CP67" s="34">
        <v>0</v>
      </c>
      <c r="CQ67" s="34">
        <v>0</v>
      </c>
      <c r="CR67" s="34">
        <v>0</v>
      </c>
      <c r="CS67" s="34">
        <v>0</v>
      </c>
      <c r="CT67" s="34">
        <v>0</v>
      </c>
      <c r="CU67" s="34">
        <v>0</v>
      </c>
      <c r="CV67" s="34">
        <v>0</v>
      </c>
      <c r="CW67" s="34">
        <v>0</v>
      </c>
      <c r="CX67" s="34">
        <v>0</v>
      </c>
      <c r="CY67" s="34">
        <v>0</v>
      </c>
      <c r="CZ67" s="34">
        <v>0</v>
      </c>
      <c r="DA67" s="34">
        <v>0</v>
      </c>
      <c r="DB67" s="34">
        <v>0</v>
      </c>
      <c r="DC67" s="34">
        <v>1.6544079269472433E-4</v>
      </c>
      <c r="DD67" s="34">
        <v>0</v>
      </c>
      <c r="DE67" s="41">
        <v>0</v>
      </c>
      <c r="DF67" s="40">
        <v>0.44582658253050128</v>
      </c>
      <c r="DG67" s="59">
        <v>0.43609145860704679</v>
      </c>
      <c r="DH67" s="26">
        <v>11</v>
      </c>
      <c r="DI67" s="34">
        <f>0.567-0.077</f>
        <v>0.48999999999999994</v>
      </c>
      <c r="DJ67" s="34">
        <f>0.653-0.053</f>
        <v>0.6</v>
      </c>
      <c r="DK67" s="34">
        <v>51.927756756376802</v>
      </c>
      <c r="DL67" s="34">
        <v>2.3255802396849701E-3</v>
      </c>
      <c r="DM67" s="34">
        <v>1.0792781964606101E-3</v>
      </c>
      <c r="DN67" s="34">
        <v>56</v>
      </c>
      <c r="DO67" s="34">
        <v>6.2121166869014401E-2</v>
      </c>
      <c r="DP67" s="29">
        <v>3.5658717502353401E-2</v>
      </c>
      <c r="DQ67" s="34">
        <v>-1.98349430699656E-2</v>
      </c>
      <c r="DR67" s="34">
        <v>3.5040914726169198E-4</v>
      </c>
      <c r="DS67" s="34">
        <v>111</v>
      </c>
      <c r="DT67" s="34">
        <v>0.96679883527246901</v>
      </c>
      <c r="DU67" s="29">
        <v>1.19140824903479E-82</v>
      </c>
      <c r="DV67" s="34">
        <v>101.558467014789</v>
      </c>
      <c r="DW67" s="34">
        <v>2.72365775744964E-2</v>
      </c>
      <c r="DX67" s="34">
        <v>1.98032549305965E-4</v>
      </c>
      <c r="DY67" s="34">
        <v>175</v>
      </c>
      <c r="DZ67" s="34">
        <v>0.99088485701857798</v>
      </c>
      <c r="EA67" s="29">
        <v>1.2225400253284E-178</v>
      </c>
      <c r="EB67" s="34">
        <v>-2.9150230182480801E-2</v>
      </c>
      <c r="EC67" s="34">
        <v>2.3772982655553899E-4</v>
      </c>
      <c r="ED67" s="34">
        <v>130</v>
      </c>
      <c r="EE67" s="34">
        <v>0.99149270506841403</v>
      </c>
      <c r="EF67" s="29">
        <v>1.37927581853906E-134</v>
      </c>
      <c r="EG67" s="50">
        <v>690527.0918072823</v>
      </c>
      <c r="EH67" s="34">
        <v>212</v>
      </c>
      <c r="EI67" s="59">
        <v>1</v>
      </c>
      <c r="EJ67" s="29">
        <v>3.0501343507952371E-2</v>
      </c>
      <c r="EK67" s="34">
        <v>50</v>
      </c>
      <c r="EL67" s="41">
        <v>250</v>
      </c>
      <c r="EM67" s="50">
        <v>9.0149538270704596E-12</v>
      </c>
      <c r="EN67" s="54">
        <v>5.1879999999999998E-5</v>
      </c>
    </row>
    <row r="68" spans="1:144" s="2" customFormat="1" x14ac:dyDescent="0.3">
      <c r="A68" s="23">
        <v>44510</v>
      </c>
      <c r="B68" s="2">
        <v>15.75</v>
      </c>
      <c r="C68" s="2" t="s">
        <v>152</v>
      </c>
      <c r="D68" s="2" t="s">
        <v>256</v>
      </c>
      <c r="E68" s="60" t="s">
        <v>253</v>
      </c>
      <c r="F68" s="25"/>
      <c r="G68" s="24"/>
      <c r="H68" s="25"/>
      <c r="J68" s="24"/>
      <c r="K68" s="25"/>
      <c r="O68" s="24"/>
      <c r="P68" s="25"/>
      <c r="Q68" s="24"/>
      <c r="R68" s="25"/>
      <c r="Y68" s="24"/>
      <c r="Z68" s="25"/>
      <c r="AB68" s="24"/>
      <c r="AC68" s="25"/>
      <c r="AH68" s="24"/>
      <c r="AJ68" s="25"/>
      <c r="DE68" s="24"/>
      <c r="DF68" s="25"/>
      <c r="DH68" s="25"/>
      <c r="EG68" s="48"/>
      <c r="EJ68" s="27"/>
      <c r="EL68" s="24"/>
      <c r="EM68" s="48"/>
      <c r="EN68" s="52"/>
    </row>
    <row r="69" spans="1:144" x14ac:dyDescent="0.3">
      <c r="A69" s="22"/>
      <c r="B69">
        <v>15.75</v>
      </c>
      <c r="C69" t="s">
        <v>153</v>
      </c>
      <c r="D69" t="s">
        <v>257</v>
      </c>
      <c r="E69" s="61" t="s">
        <v>254</v>
      </c>
      <c r="K69" s="19"/>
      <c r="O69" s="20"/>
      <c r="R69" s="19"/>
      <c r="AC69" s="19"/>
      <c r="AH69" s="20"/>
      <c r="AI69"/>
      <c r="AJ69" s="19"/>
      <c r="DE69" s="20"/>
      <c r="EF69"/>
      <c r="EG69" s="49"/>
      <c r="EJ69" s="28"/>
      <c r="EM69" s="49"/>
      <c r="EN69" s="53"/>
    </row>
    <row r="70" spans="1:144" x14ac:dyDescent="0.3">
      <c r="A70" s="22"/>
      <c r="B70">
        <v>15.75</v>
      </c>
      <c r="C70" t="s">
        <v>154</v>
      </c>
      <c r="D70" t="s">
        <v>256</v>
      </c>
      <c r="E70" s="61" t="s">
        <v>255</v>
      </c>
      <c r="K70" s="19"/>
      <c r="O70" s="20"/>
      <c r="R70" s="19"/>
      <c r="AC70" s="19"/>
      <c r="AH70" s="20"/>
      <c r="AI70"/>
      <c r="AJ70" s="19"/>
      <c r="DE70" s="20"/>
      <c r="DF70" s="39"/>
      <c r="DG70" s="58"/>
      <c r="DP70" s="28"/>
      <c r="DU70" s="28"/>
      <c r="EA70" s="28"/>
      <c r="EF70" s="28"/>
      <c r="EG70" s="49"/>
      <c r="EJ70" s="28"/>
      <c r="EM70" s="49"/>
      <c r="EN70" s="53"/>
    </row>
    <row r="71" spans="1:144" x14ac:dyDescent="0.3">
      <c r="A71" s="22"/>
      <c r="B71">
        <v>15.75</v>
      </c>
      <c r="C71" t="s">
        <v>156</v>
      </c>
      <c r="D71" t="s">
        <v>258</v>
      </c>
      <c r="E71" s="61" t="s">
        <v>253</v>
      </c>
      <c r="F71" s="19">
        <f>(0.10062-0.09355)/5*1000</f>
        <v>1.4140000000000015</v>
      </c>
      <c r="G71" s="20">
        <f>(0.09872-0.09136)/5*1000</f>
        <v>1.4720000000000011</v>
      </c>
      <c r="H71" s="19">
        <v>25</v>
      </c>
      <c r="I71">
        <v>37.200000000000003</v>
      </c>
      <c r="J71" s="20">
        <v>1.4730000000000001</v>
      </c>
      <c r="K71" s="19">
        <v>2</v>
      </c>
      <c r="O71" s="20"/>
      <c r="R71" s="19">
        <f>K71*(10.1/0.1)</f>
        <v>201.99999999999997</v>
      </c>
      <c r="S71">
        <v>359100</v>
      </c>
      <c r="T71">
        <v>3.653</v>
      </c>
      <c r="U71">
        <v>2.851</v>
      </c>
      <c r="V71">
        <v>3.15</v>
      </c>
      <c r="W71">
        <v>3.5169999999999999</v>
      </c>
      <c r="X71">
        <v>3.9580000000000002</v>
      </c>
      <c r="Y71" s="20">
        <v>4.5709999999999997</v>
      </c>
      <c r="AA71">
        <v>0.14388435392709259</v>
      </c>
      <c r="AB71" s="20">
        <v>0.16063211162987187</v>
      </c>
      <c r="AC71" s="19">
        <f>K71</f>
        <v>2</v>
      </c>
      <c r="AD71">
        <v>1</v>
      </c>
      <c r="AE71">
        <v>1</v>
      </c>
      <c r="AF71">
        <f>0.436-0.048</f>
        <v>0.38800000000000001</v>
      </c>
      <c r="AG71">
        <f>0.223-0.048</f>
        <v>0.17499999999999999</v>
      </c>
      <c r="AH71" s="20">
        <f>0.458-0.052</f>
        <v>0.40600000000000003</v>
      </c>
      <c r="AI71" s="43">
        <v>723098.64534741337</v>
      </c>
      <c r="AJ71" s="19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5.8126329541275258E-4</v>
      </c>
      <c r="AU71">
        <v>6.1216311549247755E-4</v>
      </c>
      <c r="AV71">
        <v>2.6435112637122524E-4</v>
      </c>
      <c r="AW71">
        <v>2.7512949010897867E-4</v>
      </c>
      <c r="AX71">
        <v>1.3866839786841464E-3</v>
      </c>
      <c r="AY71">
        <v>1.3137433152703732E-3</v>
      </c>
      <c r="AZ71">
        <v>7.0493633698993387E-4</v>
      </c>
      <c r="BA71">
        <v>6.2591958999792645E-4</v>
      </c>
      <c r="BD71">
        <v>7.0184451095050442E-4</v>
      </c>
      <c r="BE71">
        <v>5.88089285107942E-4</v>
      </c>
      <c r="BF71">
        <v>5.35566106549984E-2</v>
      </c>
      <c r="BG71">
        <v>4.7483910874183362E-2</v>
      </c>
      <c r="BH71">
        <v>2.5374616305598192E-2</v>
      </c>
      <c r="BI71">
        <v>2.2495274935035371E-2</v>
      </c>
      <c r="BJ71">
        <v>1.6946298522113282E-2</v>
      </c>
      <c r="BK71">
        <v>1.4021286639678826E-2</v>
      </c>
      <c r="BL71">
        <v>2.9372347374580584E-4</v>
      </c>
      <c r="BM71">
        <v>1.1796176888422461E-2</v>
      </c>
      <c r="BN71">
        <v>0.21739711022342859</v>
      </c>
      <c r="BO71">
        <v>0.19624298705748175</v>
      </c>
      <c r="BP71">
        <v>0</v>
      </c>
      <c r="BQ71">
        <v>0</v>
      </c>
      <c r="BR71">
        <v>4.5607525907625075E-2</v>
      </c>
      <c r="BS71">
        <v>4.1891903987718367E-2</v>
      </c>
      <c r="BT71">
        <v>0</v>
      </c>
      <c r="BU71">
        <v>0</v>
      </c>
      <c r="BV71">
        <v>0</v>
      </c>
      <c r="BW71">
        <v>0</v>
      </c>
      <c r="BX71">
        <v>3.9530541827126314E-2</v>
      </c>
      <c r="BY71">
        <v>3.5866568154331729E-2</v>
      </c>
      <c r="BZ71">
        <v>7.2503320624622586E-4</v>
      </c>
      <c r="CA71">
        <v>6.6374989488791111E-4</v>
      </c>
      <c r="CB71">
        <v>9.059050295528538E-4</v>
      </c>
      <c r="CC71">
        <v>1.0351747065350321E-3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2.798102565683729E-4</v>
      </c>
      <c r="CO71">
        <v>2.3729918521899412E-4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 s="20">
        <v>0</v>
      </c>
      <c r="DF71" s="39">
        <v>0.40425625465541165</v>
      </c>
      <c r="DG71" s="58">
        <v>0.37514937711947149</v>
      </c>
      <c r="DH71" s="19">
        <v>5</v>
      </c>
      <c r="DI71">
        <f>0.535-0.075</f>
        <v>0.46</v>
      </c>
      <c r="DJ71">
        <f>0.59-0.051</f>
        <v>0.53899999999999992</v>
      </c>
      <c r="DK71">
        <v>100.575069628896</v>
      </c>
      <c r="DL71">
        <v>2.5237710352632101E-2</v>
      </c>
      <c r="DM71">
        <v>9.0954173321853302E-4</v>
      </c>
      <c r="DN71">
        <v>125</v>
      </c>
      <c r="DO71">
        <v>0.86113226897907802</v>
      </c>
      <c r="DP71" s="28">
        <v>8.7387123299739203E-55</v>
      </c>
      <c r="DQ71">
        <v>3.8953776058497399E-3</v>
      </c>
      <c r="DR71">
        <v>1.1927677420159499E-3</v>
      </c>
      <c r="DS71">
        <v>49</v>
      </c>
      <c r="DT71">
        <v>0.16761539272810499</v>
      </c>
      <c r="DU71" s="28">
        <v>2.0411075732971202E-3</v>
      </c>
      <c r="DV71">
        <v>50.830126400899204</v>
      </c>
      <c r="DW71">
        <v>2.3707794874242599E-2</v>
      </c>
      <c r="DX71">
        <v>3.9450697049672902E-4</v>
      </c>
      <c r="DY71">
        <v>126</v>
      </c>
      <c r="DZ71">
        <v>0.96653618542462405</v>
      </c>
      <c r="EA71" s="28">
        <v>1.47559590431549E-93</v>
      </c>
      <c r="EB71">
        <v>-2.3249818132969301E-2</v>
      </c>
      <c r="EC71">
        <v>7.9876057571444099E-4</v>
      </c>
      <c r="ED71">
        <v>131</v>
      </c>
      <c r="EE71">
        <v>0.86683587115923899</v>
      </c>
      <c r="EF71" s="28">
        <v>1.52315181022386E-58</v>
      </c>
      <c r="EG71" s="49">
        <v>90387.380057399336</v>
      </c>
      <c r="EH71">
        <v>222</v>
      </c>
      <c r="EI71" s="58">
        <v>0.25</v>
      </c>
      <c r="EJ71" s="28">
        <v>2.5732910376579935E-2</v>
      </c>
      <c r="EK71">
        <v>55</v>
      </c>
      <c r="EL71" s="20">
        <v>165</v>
      </c>
      <c r="EM71" s="49">
        <v>5.9886730071002097E-12</v>
      </c>
      <c r="EN71" s="53">
        <v>5.1879999999999998E-5</v>
      </c>
    </row>
    <row r="72" spans="1:144" x14ac:dyDescent="0.3">
      <c r="B72">
        <v>15.75</v>
      </c>
      <c r="C72" t="s">
        <v>155</v>
      </c>
      <c r="D72" t="s">
        <v>258</v>
      </c>
      <c r="E72" s="61" t="s">
        <v>254</v>
      </c>
      <c r="F72" s="19">
        <f>(0.10036-0.09229)/5*1000</f>
        <v>1.6140000000000014</v>
      </c>
      <c r="G72" s="20">
        <f>(0.10056-0.09258)/5*1000</f>
        <v>1.5960000000000001</v>
      </c>
      <c r="H72" s="19">
        <v>25</v>
      </c>
      <c r="I72">
        <v>39.35</v>
      </c>
      <c r="J72" s="20">
        <v>1.3720000000000001</v>
      </c>
      <c r="K72" s="19">
        <v>2</v>
      </c>
      <c r="O72" s="20"/>
      <c r="R72" s="19">
        <f t="shared" si="1"/>
        <v>201.99999999999997</v>
      </c>
      <c r="S72">
        <v>271300</v>
      </c>
      <c r="T72">
        <v>3.9350000000000001</v>
      </c>
      <c r="U72">
        <v>3.02</v>
      </c>
      <c r="V72">
        <v>3.323</v>
      </c>
      <c r="W72">
        <v>3.7109999999999999</v>
      </c>
      <c r="X72">
        <v>4.29</v>
      </c>
      <c r="Y72" s="20">
        <v>5.1349999999999998</v>
      </c>
      <c r="AA72">
        <v>0.15207913012483995</v>
      </c>
      <c r="AB72" s="20">
        <v>0.15104746874601216</v>
      </c>
      <c r="AC72" s="19">
        <f t="shared" si="0"/>
        <v>2</v>
      </c>
      <c r="AD72">
        <v>1</v>
      </c>
      <c r="AE72">
        <v>1</v>
      </c>
      <c r="AF72">
        <f>0.238-0.048</f>
        <v>0.19</v>
      </c>
      <c r="AG72">
        <f>0.152-0.048</f>
        <v>0.104</v>
      </c>
      <c r="AH72" s="20">
        <f>0.294-0.052</f>
        <v>0.24199999999999999</v>
      </c>
      <c r="AI72" s="43">
        <v>1524369.9305394385</v>
      </c>
      <c r="AJ72" s="19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3.9993830070103061E-4</v>
      </c>
      <c r="AU72">
        <v>3.1499246809760115E-4</v>
      </c>
      <c r="AV72">
        <v>2.7364199521649459E-4</v>
      </c>
      <c r="AW72">
        <v>1.3296813202480704E-4</v>
      </c>
      <c r="AX72">
        <v>1.1711111963111519E-3</v>
      </c>
      <c r="AY72">
        <v>7.1260591143391732E-4</v>
      </c>
      <c r="AZ72">
        <v>5.1092596309653196E-4</v>
      </c>
      <c r="BA72">
        <v>4.6345203297966722E-4</v>
      </c>
      <c r="BD72">
        <v>6.5827165282849058E-4</v>
      </c>
      <c r="BE72">
        <v>4.763615603607165E-4</v>
      </c>
      <c r="BF72">
        <v>5.6201855940618516E-2</v>
      </c>
      <c r="BG72">
        <v>4.1595788174478718E-2</v>
      </c>
      <c r="BH72">
        <v>2.2471174474316759E-2</v>
      </c>
      <c r="BI72">
        <v>1.6806913697387987E-2</v>
      </c>
      <c r="BJ72">
        <v>1.6430001195306455E-2</v>
      </c>
      <c r="BK72">
        <v>1.2262760059258661E-2</v>
      </c>
      <c r="BL72">
        <v>9.8855562747441356E-3</v>
      </c>
      <c r="BM72">
        <v>7.2474086717210359E-3</v>
      </c>
      <c r="BN72">
        <v>0.22293976930561182</v>
      </c>
      <c r="BO72">
        <v>0.16037505865477453</v>
      </c>
      <c r="BP72">
        <v>0</v>
      </c>
      <c r="BQ72">
        <v>0</v>
      </c>
      <c r="BR72">
        <v>4.4777781035426394E-2</v>
      </c>
      <c r="BS72">
        <v>3.252426328381542E-2</v>
      </c>
      <c r="BT72">
        <v>0</v>
      </c>
      <c r="BU72">
        <v>0</v>
      </c>
      <c r="BV72">
        <v>3.9396792989630711E-2</v>
      </c>
      <c r="BW72">
        <v>2.816987969818752E-2</v>
      </c>
      <c r="BX72">
        <v>0</v>
      </c>
      <c r="BY72">
        <v>0</v>
      </c>
      <c r="BZ72">
        <v>7.5203709174882793E-4</v>
      </c>
      <c r="CA72">
        <v>5.49945866432697E-4</v>
      </c>
      <c r="CB72">
        <v>1.1022223024104959E-3</v>
      </c>
      <c r="CC72">
        <v>8.1588213048231124E-4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2.9469137946391729E-4</v>
      </c>
      <c r="CO72">
        <v>2.2333482369215162E-4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 s="20">
        <v>0</v>
      </c>
      <c r="DF72" s="39">
        <v>0.41726577109743168</v>
      </c>
      <c r="DG72" s="58">
        <v>0.30267161516512775</v>
      </c>
      <c r="DH72" s="19">
        <v>5</v>
      </c>
      <c r="DI72">
        <f>0.546-0.076</f>
        <v>0.47000000000000003</v>
      </c>
      <c r="DJ72">
        <f>0.564-0.052</f>
        <v>0.5119999999999999</v>
      </c>
      <c r="DK72">
        <v>50.881511905183601</v>
      </c>
      <c r="DL72">
        <v>3.62978160709794E-2</v>
      </c>
      <c r="DM72">
        <v>1.1095580856243801E-3</v>
      </c>
      <c r="DN72">
        <v>128</v>
      </c>
      <c r="DO72">
        <v>0.89382957941422403</v>
      </c>
      <c r="DP72" s="28">
        <v>1.9796890072195399E-63</v>
      </c>
      <c r="DQ72">
        <v>3.07866260062633E-2</v>
      </c>
      <c r="DR72">
        <v>8.2758588369302298E-4</v>
      </c>
      <c r="DS72">
        <v>141</v>
      </c>
      <c r="DT72">
        <v>0.90806884713545299</v>
      </c>
      <c r="DU72" s="28">
        <v>3.93019960706493E-74</v>
      </c>
      <c r="DV72">
        <v>99.093474098867603</v>
      </c>
      <c r="DW72">
        <v>2.4021582798722699E-2</v>
      </c>
      <c r="DX72">
        <v>9.4887994058904395E-4</v>
      </c>
      <c r="DY72">
        <v>247</v>
      </c>
      <c r="DZ72">
        <v>0.72231186497780997</v>
      </c>
      <c r="EA72" s="28">
        <v>2.4866214134564499E-70</v>
      </c>
      <c r="EB72">
        <v>1.20958810728167E-3</v>
      </c>
      <c r="EC72">
        <v>2.0338999942405198E-3</v>
      </c>
      <c r="ED72">
        <v>79</v>
      </c>
      <c r="EE72">
        <v>-8.3553313528832406E-3</v>
      </c>
      <c r="EF72" s="28">
        <v>0.55377849013449598</v>
      </c>
      <c r="EG72" s="49">
        <v>190546.34165311686</v>
      </c>
      <c r="EH72">
        <v>234</v>
      </c>
      <c r="EI72" s="58">
        <v>0.5</v>
      </c>
      <c r="EJ72" s="28">
        <v>2.5732910376579935E-2</v>
      </c>
      <c r="EK72">
        <v>55</v>
      </c>
      <c r="EL72" s="20">
        <v>165</v>
      </c>
      <c r="EM72" s="49">
        <v>9.2128446416510795E-13</v>
      </c>
      <c r="EN72" s="53">
        <v>5.1879999999999998E-5</v>
      </c>
    </row>
    <row r="73" spans="1:144" x14ac:dyDescent="0.3">
      <c r="B73">
        <v>15.75</v>
      </c>
      <c r="C73" t="s">
        <v>157</v>
      </c>
      <c r="D73" t="s">
        <v>258</v>
      </c>
      <c r="E73" s="61" t="s">
        <v>255</v>
      </c>
      <c r="F73" s="19">
        <f>(0.09926-0.09173)/5*1000</f>
        <v>1.5059999999999991</v>
      </c>
      <c r="G73" s="20">
        <f>(0.10218-0.09447)/5*1000</f>
        <v>1.5420000000000016</v>
      </c>
      <c r="H73" s="19">
        <v>25</v>
      </c>
      <c r="I73">
        <v>37.380000000000003</v>
      </c>
      <c r="J73" s="20">
        <v>1.349</v>
      </c>
      <c r="K73" s="19">
        <v>2</v>
      </c>
      <c r="O73" s="20"/>
      <c r="R73" s="19">
        <f t="shared" si="1"/>
        <v>201.99999999999997</v>
      </c>
      <c r="S73">
        <v>218900</v>
      </c>
      <c r="T73">
        <v>4.165</v>
      </c>
      <c r="U73">
        <v>3.0459999999999998</v>
      </c>
      <c r="V73">
        <v>3.419</v>
      </c>
      <c r="W73">
        <v>3.9209999999999998</v>
      </c>
      <c r="X73">
        <v>4.7690000000000001</v>
      </c>
      <c r="Y73" s="20">
        <v>5.5510000000000002</v>
      </c>
      <c r="AA73">
        <v>0.13261525508505287</v>
      </c>
      <c r="AB73" s="20">
        <v>0.15523632001619359</v>
      </c>
      <c r="AC73" s="19">
        <f t="shared" si="0"/>
        <v>2</v>
      </c>
      <c r="AD73">
        <v>1</v>
      </c>
      <c r="AE73">
        <v>1</v>
      </c>
      <c r="AF73">
        <f>0.195-0.048</f>
        <v>0.14700000000000002</v>
      </c>
      <c r="AG73">
        <f>0.136-0.048</f>
        <v>8.8000000000000009E-2</v>
      </c>
      <c r="AH73" s="20">
        <f>0.254-0.052</f>
        <v>0.20200000000000001</v>
      </c>
      <c r="AI73" s="43">
        <v>2762105.1612247298</v>
      </c>
      <c r="AJ73" s="19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6.010374412210854E-4</v>
      </c>
      <c r="AU73">
        <v>5.1966525105766152E-4</v>
      </c>
      <c r="AV73">
        <v>2.777904140097453E-4</v>
      </c>
      <c r="AW73">
        <v>1.6619924695988273E-4</v>
      </c>
      <c r="AX73">
        <v>1.4142057440496125E-3</v>
      </c>
      <c r="AY73">
        <v>1.4934523881747208E-3</v>
      </c>
      <c r="AZ73">
        <v>8.3084587462914741E-4</v>
      </c>
      <c r="BA73">
        <v>4.5646272052362154E-4</v>
      </c>
      <c r="BD73">
        <v>8.7377712043065347E-4</v>
      </c>
      <c r="BE73">
        <v>7.5843036640847879E-4</v>
      </c>
      <c r="BF73">
        <v>7.4574099324616186E-2</v>
      </c>
      <c r="BG73">
        <v>6.805742121283985E-2</v>
      </c>
      <c r="BH73">
        <v>2.7453269006363103E-2</v>
      </c>
      <c r="BI73">
        <v>2.5503391487717214E-2</v>
      </c>
      <c r="BJ73">
        <v>2.2599512863392828E-2</v>
      </c>
      <c r="BK73">
        <v>2.0646159974453036E-2</v>
      </c>
      <c r="BL73">
        <v>1.0641898223973335E-2</v>
      </c>
      <c r="BM73">
        <v>9.7823472259908426E-3</v>
      </c>
      <c r="BN73">
        <v>0.29321283272208643</v>
      </c>
      <c r="BO73">
        <v>0.27212668813493363</v>
      </c>
      <c r="BP73">
        <v>0</v>
      </c>
      <c r="BQ73">
        <v>0</v>
      </c>
      <c r="BR73">
        <v>5.6618737109986272E-2</v>
      </c>
      <c r="BS73">
        <v>5.1437496516851589E-2</v>
      </c>
      <c r="BT73">
        <v>0</v>
      </c>
      <c r="BU73">
        <v>0</v>
      </c>
      <c r="BV73">
        <v>5.3590821597280049E-2</v>
      </c>
      <c r="BW73">
        <v>4.7867723958910445E-2</v>
      </c>
      <c r="BX73">
        <v>0</v>
      </c>
      <c r="BY73">
        <v>0</v>
      </c>
      <c r="BZ73">
        <v>8.7377712043065347E-4</v>
      </c>
      <c r="CA73">
        <v>8.1461039354984778E-4</v>
      </c>
      <c r="CB73">
        <v>1.6818946884590035E-3</v>
      </c>
      <c r="CC73">
        <v>1.4934523881747208E-3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1.6162351360567002E-4</v>
      </c>
      <c r="CM73">
        <v>2.0599343285168561E-4</v>
      </c>
      <c r="CN73">
        <v>3.8385584481346626E-4</v>
      </c>
      <c r="CO73">
        <v>3.4176183177666024E-4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 s="20">
        <v>0</v>
      </c>
      <c r="DF73" s="39">
        <v>0.5457899786093473</v>
      </c>
      <c r="DG73" s="58">
        <v>0.50167125653117395</v>
      </c>
      <c r="DH73" s="19">
        <v>5</v>
      </c>
      <c r="DI73">
        <f>0.503-0.076</f>
        <v>0.42699999999999999</v>
      </c>
      <c r="DJ73">
        <f>0.513-0.052</f>
        <v>0.46100000000000002</v>
      </c>
      <c r="DK73">
        <v>99.005971148456993</v>
      </c>
      <c r="DL73">
        <v>2.17552214067788E-2</v>
      </c>
      <c r="DM73">
        <v>3.7302674280634499E-3</v>
      </c>
      <c r="DN73">
        <v>135</v>
      </c>
      <c r="DO73">
        <v>0.197668052542572</v>
      </c>
      <c r="DP73" s="28">
        <v>3.9461447401037601E-8</v>
      </c>
      <c r="DQ73">
        <v>-1.79567339814206E-2</v>
      </c>
      <c r="DR73">
        <v>3.3921078647367298E-3</v>
      </c>
      <c r="DS73">
        <v>137</v>
      </c>
      <c r="DT73">
        <v>0.16576213840388801</v>
      </c>
      <c r="DU73" s="28">
        <v>4.7306862995496998E-7</v>
      </c>
      <c r="DV73">
        <v>48.433764433690399</v>
      </c>
      <c r="DW73">
        <v>4.6570799943884402E-3</v>
      </c>
      <c r="DX73">
        <v>5.6985550184435801E-3</v>
      </c>
      <c r="DY73">
        <v>135</v>
      </c>
      <c r="DZ73">
        <v>-2.4846718855351399E-3</v>
      </c>
      <c r="EA73" s="28">
        <v>0.41525354638846501</v>
      </c>
      <c r="EB73">
        <v>-1.44670620739831E-2</v>
      </c>
      <c r="EC73">
        <v>3.1605530555214299E-3</v>
      </c>
      <c r="ED73">
        <v>142</v>
      </c>
      <c r="EE73">
        <v>0.12396479580817001</v>
      </c>
      <c r="EF73" s="28">
        <v>1.0291658687009399E-5</v>
      </c>
      <c r="EG73" s="49">
        <v>345263.14159326727</v>
      </c>
      <c r="EH73">
        <v>212</v>
      </c>
      <c r="EI73" s="58">
        <v>1</v>
      </c>
      <c r="EJ73" s="28">
        <v>2.5732910376579935E-2</v>
      </c>
      <c r="EK73">
        <v>55</v>
      </c>
      <c r="EL73" s="20">
        <v>165</v>
      </c>
      <c r="EM73" s="49">
        <v>8.3493367848934095E-12</v>
      </c>
      <c r="EN73" s="53">
        <v>5.1879999999999998E-5</v>
      </c>
    </row>
    <row r="74" spans="1:144" x14ac:dyDescent="0.3">
      <c r="B74">
        <v>15.75</v>
      </c>
      <c r="C74" t="s">
        <v>158</v>
      </c>
      <c r="D74" t="s">
        <v>259</v>
      </c>
      <c r="E74" s="61" t="s">
        <v>253</v>
      </c>
      <c r="F74" s="19">
        <f>(0.1066-0.09091)/5*1000</f>
        <v>3.1379999999999995</v>
      </c>
      <c r="G74" s="20">
        <f>(0.1064-0.0907)/5*1000</f>
        <v>3.1399999999999983</v>
      </c>
      <c r="H74" s="19">
        <v>50</v>
      </c>
      <c r="I74">
        <v>35.49</v>
      </c>
      <c r="J74" s="20">
        <v>2.5259999999999998</v>
      </c>
      <c r="K74" s="19">
        <v>11</v>
      </c>
      <c r="O74" s="20"/>
      <c r="R74" s="19">
        <f t="shared" si="1"/>
        <v>1110.9999999999998</v>
      </c>
      <c r="S74">
        <v>92072</v>
      </c>
      <c r="T74">
        <v>4.2160000000000002</v>
      </c>
      <c r="U74">
        <v>2.9220000000000002</v>
      </c>
      <c r="V74">
        <v>3.2919999999999998</v>
      </c>
      <c r="W74">
        <v>3.9380000000000002</v>
      </c>
      <c r="X74">
        <v>4.9279999999999999</v>
      </c>
      <c r="Y74" s="20">
        <v>5.72</v>
      </c>
      <c r="AA74">
        <v>0.21768303933576982</v>
      </c>
      <c r="AB74" s="20">
        <v>0.20726950993041887</v>
      </c>
      <c r="AC74" s="19">
        <f t="shared" si="0"/>
        <v>11</v>
      </c>
      <c r="AD74">
        <v>1</v>
      </c>
      <c r="AE74">
        <v>1</v>
      </c>
      <c r="AF74">
        <f>0.394-0.048</f>
        <v>0.34600000000000003</v>
      </c>
      <c r="AG74">
        <f>0.189-0.048</f>
        <v>0.14100000000000001</v>
      </c>
      <c r="AH74" s="20">
        <f>0.35-0.052</f>
        <v>0.29799999999999999</v>
      </c>
      <c r="AI74" s="43">
        <v>729613.52876280679</v>
      </c>
      <c r="AJ74" s="19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1.1882236349290877E-4</v>
      </c>
      <c r="AS74">
        <v>1.3664571801684511E-4</v>
      </c>
      <c r="AT74">
        <v>8.0799207175177975E-4</v>
      </c>
      <c r="AU74">
        <v>8.0338258351283067E-4</v>
      </c>
      <c r="AV74">
        <v>4.805704479046533E-4</v>
      </c>
      <c r="AW74">
        <v>3.9815735077322107E-4</v>
      </c>
      <c r="AX74">
        <v>4.829468951745115E-3</v>
      </c>
      <c r="AY74">
        <v>4.5964792388080138E-3</v>
      </c>
      <c r="AZ74">
        <v>8.6608300501497966E-4</v>
      </c>
      <c r="BA74">
        <v>8.9055312776495604E-4</v>
      </c>
      <c r="BD74">
        <v>8.5552101714894322E-4</v>
      </c>
      <c r="BE74">
        <v>8.2458622941199622E-4</v>
      </c>
      <c r="BF74">
        <v>5.1513455319625721E-2</v>
      </c>
      <c r="BG74">
        <v>5.0431693790837687E-2</v>
      </c>
      <c r="BH74">
        <v>3.0217847284729957E-2</v>
      </c>
      <c r="BI74">
        <v>2.9937192048966391E-2</v>
      </c>
      <c r="BJ74">
        <v>9.0252186315280501E-3</v>
      </c>
      <c r="BK74">
        <v>8.6275279203049445E-3</v>
      </c>
      <c r="BL74">
        <v>1.1039917816974481E-2</v>
      </c>
      <c r="BM74">
        <v>1.0785587880708911E-2</v>
      </c>
      <c r="BN74">
        <v>0.17669149501092188</v>
      </c>
      <c r="BO74">
        <v>0.17333744926502345</v>
      </c>
      <c r="BP74">
        <v>0</v>
      </c>
      <c r="BQ74">
        <v>0</v>
      </c>
      <c r="BR74">
        <v>6.7253457736986377E-2</v>
      </c>
      <c r="BS74">
        <v>6.5271889959598164E-2</v>
      </c>
      <c r="BT74">
        <v>0</v>
      </c>
      <c r="BU74">
        <v>0</v>
      </c>
      <c r="BV74">
        <v>2.4823311982151895E-2</v>
      </c>
      <c r="BW74">
        <v>2.3766931092309197E-2</v>
      </c>
      <c r="BX74">
        <v>0</v>
      </c>
      <c r="BY74">
        <v>0</v>
      </c>
      <c r="BZ74">
        <v>1.0297938169385426E-3</v>
      </c>
      <c r="CA74">
        <v>9.9657135726078424E-4</v>
      </c>
      <c r="CB74">
        <v>2.4028522395232665E-4</v>
      </c>
      <c r="CC74">
        <v>2.1910434095804472E-4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1.5314882405752686E-4</v>
      </c>
      <c r="CM74">
        <v>1.7905300981517632E-4</v>
      </c>
      <c r="CN74">
        <v>1.6635130889007229E-4</v>
      </c>
      <c r="CO74">
        <v>1.6962916719332497E-4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1.8219429068912679E-4</v>
      </c>
      <c r="DC74">
        <v>1.6962916719332497E-4</v>
      </c>
      <c r="DD74">
        <v>0</v>
      </c>
      <c r="DE74" s="20">
        <v>0</v>
      </c>
      <c r="DF74" s="39">
        <v>0.38029493510450429</v>
      </c>
      <c r="DG74" s="58">
        <v>0.37154206324845729</v>
      </c>
      <c r="DH74" s="19">
        <v>11</v>
      </c>
      <c r="DI74">
        <f>0.457-0.076</f>
        <v>0.38100000000000001</v>
      </c>
      <c r="DJ74">
        <f>0.588-0.053</f>
        <v>0.53499999999999992</v>
      </c>
      <c r="DK74">
        <v>48.3354229024985</v>
      </c>
      <c r="DL74">
        <v>9.2321752112370994E-2</v>
      </c>
      <c r="DM74">
        <v>2.56991676447396E-3</v>
      </c>
      <c r="DN74">
        <v>133</v>
      </c>
      <c r="DO74">
        <v>0.90714266478584005</v>
      </c>
      <c r="DP74" s="28">
        <v>1.0933977784380301E-69</v>
      </c>
      <c r="DQ74">
        <v>-1.1052395553258201E-3</v>
      </c>
      <c r="DR74">
        <v>2.7553895527098302E-3</v>
      </c>
      <c r="DS74">
        <v>142</v>
      </c>
      <c r="DT74">
        <v>-5.9867155269401904E-3</v>
      </c>
      <c r="DU74" s="28">
        <v>0.68894394607713805</v>
      </c>
      <c r="DV74">
        <v>101.22560434355</v>
      </c>
      <c r="DW74">
        <v>9.0055264864038406E-2</v>
      </c>
      <c r="DX74">
        <v>6.9029842413210196E-3</v>
      </c>
      <c r="DY74">
        <v>80</v>
      </c>
      <c r="DZ74">
        <v>0.68170070890957901</v>
      </c>
      <c r="EA74" s="28">
        <v>2.6840720611683899E-21</v>
      </c>
      <c r="EB74">
        <v>-1.25321293252149E-2</v>
      </c>
      <c r="EC74">
        <v>1.9081986645516601E-3</v>
      </c>
      <c r="ED74">
        <v>175</v>
      </c>
      <c r="EE74">
        <v>0.194937524296982</v>
      </c>
      <c r="EF74" s="28">
        <v>5.7615578479540995E-10</v>
      </c>
      <c r="EG74" s="49">
        <v>91201.691370773115</v>
      </c>
      <c r="EH74">
        <v>224</v>
      </c>
      <c r="EI74" s="58">
        <v>0.25</v>
      </c>
      <c r="EJ74" s="28">
        <v>2.75987569063635E-2</v>
      </c>
      <c r="EK74">
        <v>50</v>
      </c>
      <c r="EL74" s="20">
        <v>200</v>
      </c>
      <c r="EM74" s="49">
        <v>2.3018152093126599E-11</v>
      </c>
      <c r="EN74" s="53">
        <v>5.1879999999999998E-5</v>
      </c>
    </row>
    <row r="75" spans="1:144" x14ac:dyDescent="0.3">
      <c r="B75">
        <v>15.75</v>
      </c>
      <c r="C75" t="s">
        <v>159</v>
      </c>
      <c r="D75" t="s">
        <v>259</v>
      </c>
      <c r="E75" s="61" t="s">
        <v>254</v>
      </c>
      <c r="F75" s="19">
        <f>(0.11106-0.09203)/5*1000</f>
        <v>3.8060000000000014</v>
      </c>
      <c r="G75" s="20">
        <f>(0.11065-0.09156)/5*1000</f>
        <v>3.8179999999999992</v>
      </c>
      <c r="H75" s="19">
        <v>50</v>
      </c>
      <c r="I75">
        <v>46.84</v>
      </c>
      <c r="J75" s="20">
        <v>2.7879999999999998</v>
      </c>
      <c r="K75" s="19">
        <v>11</v>
      </c>
      <c r="O75" s="20"/>
      <c r="R75" s="19">
        <f t="shared" si="1"/>
        <v>1110.9999999999998</v>
      </c>
      <c r="S75">
        <v>102200</v>
      </c>
      <c r="T75">
        <v>4.2569999999999997</v>
      </c>
      <c r="U75">
        <v>3.0289999999999999</v>
      </c>
      <c r="V75">
        <v>3.3780000000000001</v>
      </c>
      <c r="W75">
        <v>4.0110000000000001</v>
      </c>
      <c r="X75">
        <v>4.9800000000000004</v>
      </c>
      <c r="Y75" s="20">
        <v>5.6989999999999998</v>
      </c>
      <c r="AA75">
        <v>0.18365537943322124</v>
      </c>
      <c r="AB75" s="20">
        <v>0.17396551627258647</v>
      </c>
      <c r="AC75" s="19">
        <f t="shared" si="0"/>
        <v>11</v>
      </c>
      <c r="AD75">
        <v>1</v>
      </c>
      <c r="AE75">
        <v>1</v>
      </c>
      <c r="AF75">
        <f>0.352-0.048</f>
        <v>0.30399999999999999</v>
      </c>
      <c r="AG75">
        <f>0.177-0.048</f>
        <v>0.129</v>
      </c>
      <c r="AH75" s="20">
        <f>0.333-0.052</f>
        <v>0.28100000000000003</v>
      </c>
      <c r="AI75" s="43">
        <v>1504827.9072663377</v>
      </c>
      <c r="AJ75" s="19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1.7511878425459758E-4</v>
      </c>
      <c r="AS75">
        <v>1.2024823185482367E-4</v>
      </c>
      <c r="AT75">
        <v>8.1456767827517353E-4</v>
      </c>
      <c r="AU75">
        <v>8.1550164512453154E-4</v>
      </c>
      <c r="AV75">
        <v>4.4045027554944237E-4</v>
      </c>
      <c r="AW75">
        <v>4.1103031979467007E-4</v>
      </c>
      <c r="AX75">
        <v>3.8658798281658892E-3</v>
      </c>
      <c r="AY75">
        <v>3.887297386143209E-3</v>
      </c>
      <c r="AZ75">
        <v>7.7742126949389534E-4</v>
      </c>
      <c r="BA75">
        <v>8.0238365619491432E-4</v>
      </c>
      <c r="BD75">
        <v>7.0047513701839033E-4</v>
      </c>
      <c r="BE75">
        <v>7.3242104857028964E-4</v>
      </c>
      <c r="BF75">
        <v>5.5443668420970774E-2</v>
      </c>
      <c r="BG75">
        <v>5.6549463944091174E-2</v>
      </c>
      <c r="BH75">
        <v>3.2569440556442203E-2</v>
      </c>
      <c r="BI75">
        <v>3.201007931975406E-2</v>
      </c>
      <c r="BJ75">
        <v>1.1783371528404059E-2</v>
      </c>
      <c r="BK75">
        <v>1.2011705196552751E-2</v>
      </c>
      <c r="BL75">
        <v>1.3240041415612759E-2</v>
      </c>
      <c r="BM75">
        <v>1.32994544431435E-2</v>
      </c>
      <c r="BN75">
        <v>0.21254644441664838</v>
      </c>
      <c r="BO75">
        <v>0.20955550048765709</v>
      </c>
      <c r="BP75">
        <v>0</v>
      </c>
      <c r="BQ75">
        <v>4.3726629765390432E-5</v>
      </c>
      <c r="BR75">
        <v>6.5401559289266303E-2</v>
      </c>
      <c r="BS75">
        <v>6.4846591942074011E-2</v>
      </c>
      <c r="BT75">
        <v>0</v>
      </c>
      <c r="BU75">
        <v>0</v>
      </c>
      <c r="BV75">
        <v>3.0396375642737426E-2</v>
      </c>
      <c r="BW75">
        <v>3.0722330073163318E-2</v>
      </c>
      <c r="BX75">
        <v>0</v>
      </c>
      <c r="BY75">
        <v>0</v>
      </c>
      <c r="BZ75">
        <v>1.3266574564742241E-3</v>
      </c>
      <c r="CA75">
        <v>1.2855629151024787E-3</v>
      </c>
      <c r="CB75">
        <v>2.9982458516317466E-4</v>
      </c>
      <c r="CC75">
        <v>2.8640942496330733E-4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2.0961187812292741E-4</v>
      </c>
      <c r="CM75">
        <v>2.0770149138560454E-4</v>
      </c>
      <c r="CN75">
        <v>2.3879834216536034E-4</v>
      </c>
      <c r="CO75">
        <v>2.7766409901022922E-4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2.7594475094663861E-4</v>
      </c>
      <c r="DC75">
        <v>2.6891877305715116E-4</v>
      </c>
      <c r="DD75">
        <v>0</v>
      </c>
      <c r="DE75" s="20">
        <v>0</v>
      </c>
      <c r="DF75" s="39">
        <v>0.43050565125571161</v>
      </c>
      <c r="DG75" s="58">
        <v>0.42813399102740246</v>
      </c>
      <c r="DH75" s="19">
        <v>11</v>
      </c>
      <c r="DI75">
        <f>0.542-0.076</f>
        <v>0.46600000000000003</v>
      </c>
      <c r="DJ75">
        <f>0.658-0.052</f>
        <v>0.60599999999999998</v>
      </c>
      <c r="DK75">
        <v>101.17165647661901</v>
      </c>
      <c r="DL75">
        <v>5.9133004466714101E-2</v>
      </c>
      <c r="DM75">
        <v>2.0853711280172799E-3</v>
      </c>
      <c r="DN75">
        <v>139</v>
      </c>
      <c r="DO75">
        <v>0.85335821477408402</v>
      </c>
      <c r="DP75" s="28">
        <v>3.4571415924486998E-59</v>
      </c>
      <c r="DQ75">
        <v>-2.3247826112337101E-2</v>
      </c>
      <c r="DR75">
        <v>1.3684541277522099E-3</v>
      </c>
      <c r="DS75">
        <v>168</v>
      </c>
      <c r="DT75">
        <v>0.63264831557566203</v>
      </c>
      <c r="DU75" s="28">
        <v>3.7474486055336098E-38</v>
      </c>
      <c r="DV75">
        <v>51.091854799347097</v>
      </c>
      <c r="DW75">
        <v>4.5993155522482898E-2</v>
      </c>
      <c r="DX75">
        <v>1.6468613214303399E-3</v>
      </c>
      <c r="DY75">
        <v>155</v>
      </c>
      <c r="DZ75">
        <v>0.83493398113227102</v>
      </c>
      <c r="EA75" s="28">
        <v>6.0478878952277997E-62</v>
      </c>
      <c r="EB75">
        <v>-4.7324413711060498E-2</v>
      </c>
      <c r="EC75">
        <v>1.9456978205067499E-3</v>
      </c>
      <c r="ED75">
        <v>108</v>
      </c>
      <c r="EE75">
        <v>0.84661443692913196</v>
      </c>
      <c r="EF75" s="28">
        <v>3.5791787179108702E-45</v>
      </c>
      <c r="EG75" s="49">
        <v>188103.48845221958</v>
      </c>
      <c r="EH75">
        <v>231</v>
      </c>
      <c r="EI75" s="58">
        <v>0.5</v>
      </c>
      <c r="EJ75" s="28">
        <v>2.75987569063635E-2</v>
      </c>
      <c r="EK75">
        <v>50</v>
      </c>
      <c r="EL75" s="20">
        <v>200</v>
      </c>
      <c r="EM75" s="49">
        <v>1.6644747894939901E-11</v>
      </c>
      <c r="EN75" s="53">
        <v>5.1879999999999998E-5</v>
      </c>
    </row>
    <row r="76" spans="1:144" s="34" customFormat="1" ht="15" thickBot="1" x14ac:dyDescent="0.35">
      <c r="A76" s="26"/>
      <c r="B76" s="34">
        <v>15.75</v>
      </c>
      <c r="C76" s="34" t="s">
        <v>160</v>
      </c>
      <c r="D76" t="s">
        <v>259</v>
      </c>
      <c r="E76" s="62" t="s">
        <v>255</v>
      </c>
      <c r="F76" s="26">
        <f>(0.11349-0.09199)/5*1000</f>
        <v>4.299999999999998</v>
      </c>
      <c r="G76" s="41">
        <f>(0.11272-0.09123)/5*1000</f>
        <v>4.2979999999999992</v>
      </c>
      <c r="H76" s="26">
        <v>50</v>
      </c>
      <c r="I76" s="34">
        <v>53.38</v>
      </c>
      <c r="J76" s="41">
        <v>2.528</v>
      </c>
      <c r="K76" s="26">
        <v>11</v>
      </c>
      <c r="O76" s="41"/>
      <c r="P76" s="26"/>
      <c r="Q76" s="41"/>
      <c r="R76" s="26">
        <f t="shared" si="1"/>
        <v>1110.9999999999998</v>
      </c>
      <c r="S76" s="34">
        <v>137000</v>
      </c>
      <c r="T76" s="34">
        <v>3.9740000000000002</v>
      </c>
      <c r="U76" s="34">
        <v>2.911</v>
      </c>
      <c r="V76" s="34">
        <v>3.222</v>
      </c>
      <c r="W76" s="34">
        <v>3.6379999999999999</v>
      </c>
      <c r="X76" s="34">
        <v>4.524</v>
      </c>
      <c r="Y76" s="41">
        <v>5.3959999999999999</v>
      </c>
      <c r="Z76" s="26"/>
      <c r="AA76" s="34">
        <v>0.15664427439263195</v>
      </c>
      <c r="AB76" s="41">
        <v>0.15598794523400505</v>
      </c>
      <c r="AC76" s="26">
        <f t="shared" si="0"/>
        <v>11</v>
      </c>
      <c r="AD76" s="34">
        <v>1</v>
      </c>
      <c r="AE76" s="34">
        <v>1</v>
      </c>
      <c r="AF76" s="34">
        <f>0.235-0.048</f>
        <v>0.187</v>
      </c>
      <c r="AG76" s="34">
        <f>0.132-0.048</f>
        <v>8.4000000000000005E-2</v>
      </c>
      <c r="AH76" s="41">
        <f>0.261-0.052</f>
        <v>0.20900000000000002</v>
      </c>
      <c r="AI76" s="44">
        <v>2762108.3668969511</v>
      </c>
      <c r="AJ76" s="26">
        <v>0</v>
      </c>
      <c r="AK76" s="34">
        <v>0</v>
      </c>
      <c r="AL76" s="34">
        <v>0</v>
      </c>
      <c r="AM76" s="34">
        <v>0</v>
      </c>
      <c r="AN76" s="34">
        <v>0</v>
      </c>
      <c r="AO76" s="34">
        <v>0</v>
      </c>
      <c r="AP76" s="34">
        <v>0</v>
      </c>
      <c r="AQ76" s="34">
        <v>0</v>
      </c>
      <c r="AR76" s="34">
        <v>1.4932418669882043E-4</v>
      </c>
      <c r="AS76" s="34">
        <v>2.0472715349520253E-4</v>
      </c>
      <c r="AT76" s="34">
        <v>7.7761274582781954E-4</v>
      </c>
      <c r="AU76" s="34">
        <v>7.4744724908154135E-4</v>
      </c>
      <c r="AV76" s="34">
        <v>2.6483912357904002E-4</v>
      </c>
      <c r="AW76" s="34">
        <v>3.2061044792644922E-4</v>
      </c>
      <c r="AX76" s="34">
        <v>2.4173613620299609E-3</v>
      </c>
      <c r="AY76" s="34">
        <v>3.0593189729849137E-3</v>
      </c>
      <c r="AZ76" s="34">
        <v>7.0435937122085104E-4</v>
      </c>
      <c r="BA76" s="34">
        <v>6.6826033122018946E-4</v>
      </c>
      <c r="BD76" s="34">
        <v>5.7475724691621454E-4</v>
      </c>
      <c r="BE76" s="34">
        <v>5.8714202511831674E-4</v>
      </c>
      <c r="BF76" s="34">
        <v>6.23724310403488E-2</v>
      </c>
      <c r="BG76" s="34">
        <v>6.0558678281529013E-2</v>
      </c>
      <c r="BH76" s="34">
        <v>2.9560554091396678E-2</v>
      </c>
      <c r="BI76" s="34">
        <v>2.9200658808433651E-2</v>
      </c>
      <c r="BJ76" s="34">
        <v>1.6901807471815543E-2</v>
      </c>
      <c r="BK76" s="34">
        <v>1.6961451528253478E-2</v>
      </c>
      <c r="BL76" s="34">
        <v>1.274608718161252E-2</v>
      </c>
      <c r="BM76" s="34">
        <v>1.2179334244724031E-2</v>
      </c>
      <c r="BN76" s="34">
        <v>0.25117455177735548</v>
      </c>
      <c r="BO76" s="34">
        <v>0.23352801493784842</v>
      </c>
      <c r="BP76" s="34">
        <v>0</v>
      </c>
      <c r="BQ76" s="34">
        <v>0</v>
      </c>
      <c r="BR76" s="34">
        <v>5.7250329692830781E-2</v>
      </c>
      <c r="BS76" s="34">
        <v>5.6226574458040905E-2</v>
      </c>
      <c r="BT76" s="34">
        <v>0</v>
      </c>
      <c r="BU76" s="34">
        <v>0</v>
      </c>
      <c r="BV76" s="34">
        <v>3.909476254024212E-2</v>
      </c>
      <c r="BW76" s="34">
        <v>3.9427359541991176E-2</v>
      </c>
      <c r="BX76" s="34">
        <v>0</v>
      </c>
      <c r="BY76" s="34">
        <v>0</v>
      </c>
      <c r="BZ76" s="34">
        <v>1.6200265538079575E-3</v>
      </c>
      <c r="CA76" s="34">
        <v>1.5624930865813099E-3</v>
      </c>
      <c r="CB76" s="34">
        <v>3.3809249818600852E-4</v>
      </c>
      <c r="CC76" s="34">
        <v>3.3992433033165701E-4</v>
      </c>
      <c r="CD76" s="34">
        <v>0</v>
      </c>
      <c r="CE76" s="34">
        <v>0</v>
      </c>
      <c r="CF76" s="34">
        <v>0</v>
      </c>
      <c r="CG76" s="34">
        <v>0</v>
      </c>
      <c r="CH76" s="34">
        <v>0</v>
      </c>
      <c r="CI76" s="34">
        <v>0</v>
      </c>
      <c r="CJ76" s="34">
        <v>0</v>
      </c>
      <c r="CK76" s="34">
        <v>0</v>
      </c>
      <c r="CL76" s="34">
        <v>2.7610887351857362E-4</v>
      </c>
      <c r="CM76" s="34">
        <v>4.01728754028322E-4</v>
      </c>
      <c r="CN76" s="34">
        <v>2.9301349842787407E-4</v>
      </c>
      <c r="CO76" s="34">
        <v>2.8198268311603364E-4</v>
      </c>
      <c r="CP76" s="34">
        <v>0</v>
      </c>
      <c r="CQ76" s="34">
        <v>0</v>
      </c>
      <c r="CR76" s="34">
        <v>0</v>
      </c>
      <c r="CS76" s="34">
        <v>0</v>
      </c>
      <c r="CT76" s="34">
        <v>0</v>
      </c>
      <c r="CU76" s="34">
        <v>0</v>
      </c>
      <c r="CV76" s="34">
        <v>0</v>
      </c>
      <c r="CW76" s="34">
        <v>0</v>
      </c>
      <c r="CX76" s="34">
        <v>0</v>
      </c>
      <c r="CY76" s="34">
        <v>0</v>
      </c>
      <c r="CZ76" s="34">
        <v>0</v>
      </c>
      <c r="DA76" s="34">
        <v>0</v>
      </c>
      <c r="DB76" s="34">
        <v>3.4090993567089192E-4</v>
      </c>
      <c r="DC76" s="34">
        <v>3.592382127368648E-4</v>
      </c>
      <c r="DD76" s="34">
        <v>0</v>
      </c>
      <c r="DE76" s="41">
        <v>0</v>
      </c>
      <c r="DF76" s="40">
        <v>0.47685692919148592</v>
      </c>
      <c r="DG76" s="59">
        <v>0.45661494504744149</v>
      </c>
      <c r="DH76" s="26">
        <v>11</v>
      </c>
      <c r="DI76" s="34">
        <f>0.645-0.076</f>
        <v>0.56900000000000006</v>
      </c>
      <c r="DJ76" s="34">
        <f>0.724-0.053</f>
        <v>0.67099999999999993</v>
      </c>
      <c r="DK76" s="34">
        <v>51.1907776571475</v>
      </c>
      <c r="DL76" s="34">
        <v>-5.8419334377577299E-3</v>
      </c>
      <c r="DM76" s="34">
        <v>1.8393744738918901E-3</v>
      </c>
      <c r="DN76" s="34">
        <v>141</v>
      </c>
      <c r="DO76" s="34">
        <v>6.0952579672696197E-2</v>
      </c>
      <c r="DP76" s="29">
        <v>1.8394024757245201E-3</v>
      </c>
      <c r="DQ76" s="34">
        <v>-2.8320827801307999E-2</v>
      </c>
      <c r="DR76" s="34">
        <v>2.84882862775713E-3</v>
      </c>
      <c r="DS76" s="34">
        <v>138</v>
      </c>
      <c r="DT76" s="34">
        <v>0.416593838167578</v>
      </c>
      <c r="DU76" s="29">
        <v>7.7224311782558898E-18</v>
      </c>
      <c r="DV76" s="34">
        <v>102.63036166156</v>
      </c>
      <c r="DW76" s="34">
        <v>2.7166425301809599E-2</v>
      </c>
      <c r="DX76" s="34">
        <v>1.3191442414942499E-3</v>
      </c>
      <c r="DY76" s="34">
        <v>184</v>
      </c>
      <c r="DZ76" s="34">
        <v>0.69807553424700997</v>
      </c>
      <c r="EA76" s="29">
        <v>2.00461009596996E-49</v>
      </c>
      <c r="EB76" s="34">
        <v>-3.1980690892389002E-2</v>
      </c>
      <c r="EC76" s="34">
        <v>9.9405572829667208E-4</v>
      </c>
      <c r="ED76" s="34">
        <v>138</v>
      </c>
      <c r="EE76" s="34">
        <v>0.88300928002185397</v>
      </c>
      <c r="EF76" s="29">
        <v>1.8998115750850701E-65</v>
      </c>
      <c r="EG76" s="50">
        <v>345263.54590364115</v>
      </c>
      <c r="EH76" s="34">
        <v>212</v>
      </c>
      <c r="EI76" s="59">
        <v>1</v>
      </c>
      <c r="EJ76" s="29">
        <v>2.75987569063635E-2</v>
      </c>
      <c r="EK76" s="34">
        <v>50</v>
      </c>
      <c r="EL76" s="41">
        <v>200</v>
      </c>
      <c r="EM76" s="50">
        <v>8.7878518589100004E-12</v>
      </c>
      <c r="EN76" s="54">
        <v>5.1879999999999998E-5</v>
      </c>
    </row>
    <row r="77" spans="1:144" x14ac:dyDescent="0.3">
      <c r="R77" s="19"/>
    </row>
  </sheetData>
  <mergeCells count="5">
    <mergeCell ref="F1:G1"/>
    <mergeCell ref="H1:J1"/>
    <mergeCell ref="K1:Q1"/>
    <mergeCell ref="R1:Y1"/>
    <mergeCell ref="A2:E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CHAMBONNIERE Paul 265104</dc:creator>
  <cp:lastModifiedBy>Paul CHAMBONNIERE</cp:lastModifiedBy>
  <dcterms:created xsi:type="dcterms:W3CDTF">2021-10-28T12:20:01Z</dcterms:created>
  <dcterms:modified xsi:type="dcterms:W3CDTF">2024-09-11T13:34:05Z</dcterms:modified>
</cp:coreProperties>
</file>