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DADE\Repositorio Praticas\M64-Bela-Adormecida-\2 - Requisitos\2.5 - Planilha_de_Contagem\"/>
    </mc:Choice>
  </mc:AlternateContent>
  <bookViews>
    <workbookView xWindow="0" yWindow="0" windowWidth="20490" windowHeight="7905" activeTab="1"/>
  </bookViews>
  <sheets>
    <sheet name="Contagem" sheetId="1" r:id="rId1"/>
    <sheet name="Funções" sheetId="2" r:id="rId2"/>
    <sheet name="Sumário" sheetId="3" r:id="rId3"/>
  </sheets>
  <definedNames>
    <definedName name="CF">Funções!$K$8:$K$99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62913"/>
</workbook>
</file>

<file path=xl/calcChain.xml><?xml version="1.0" encoding="utf-8"?>
<calcChain xmlns="http://schemas.openxmlformats.org/spreadsheetml/2006/main">
  <c r="M98" i="2" l="1"/>
  <c r="O50" i="2"/>
  <c r="N98" i="2"/>
  <c r="O98" i="2" s="1"/>
  <c r="L96" i="2" l="1"/>
  <c r="K96" i="2" s="1"/>
  <c r="L95" i="2"/>
  <c r="K95" i="2" s="1"/>
  <c r="L99" i="2"/>
  <c r="M99" i="2" s="1"/>
  <c r="L97" i="2"/>
  <c r="M97" i="2" s="1"/>
  <c r="K99" i="2" l="1"/>
  <c r="M95" i="2"/>
  <c r="N95" i="2"/>
  <c r="O95" i="2" s="1"/>
  <c r="M96" i="2"/>
  <c r="N96" i="2"/>
  <c r="O96" i="2" s="1"/>
  <c r="N99" i="2"/>
  <c r="O99" i="2" s="1"/>
  <c r="N97" i="2"/>
  <c r="O97" i="2" s="1"/>
  <c r="K97" i="2"/>
  <c r="L15" i="2"/>
  <c r="K15" i="2" s="1"/>
  <c r="L16" i="2"/>
  <c r="K16" i="2" s="1"/>
  <c r="L92" i="2"/>
  <c r="K92" i="2" s="1"/>
  <c r="L84" i="2"/>
  <c r="M84" i="2" s="1"/>
  <c r="L58" i="2"/>
  <c r="K58" i="2" s="1"/>
  <c r="L40" i="2"/>
  <c r="K40" i="2" s="1"/>
  <c r="M15" i="2" l="1"/>
  <c r="N15" i="2"/>
  <c r="O15" i="2" s="1"/>
  <c r="M16" i="2"/>
  <c r="N16" i="2"/>
  <c r="O16" i="2" s="1"/>
  <c r="M92" i="2"/>
  <c r="N92" i="2"/>
  <c r="O92" i="2" s="1"/>
  <c r="N84" i="2"/>
  <c r="O84" i="2" s="1"/>
  <c r="K84" i="2"/>
  <c r="M58" i="2"/>
  <c r="N58" i="2"/>
  <c r="O58" i="2" s="1"/>
  <c r="M40" i="2"/>
  <c r="N40" i="2"/>
  <c r="O40" i="2" s="1"/>
  <c r="L82" i="2"/>
  <c r="K82" i="2" s="1"/>
  <c r="M82" i="2" l="1"/>
  <c r="N82" i="2"/>
  <c r="O82" i="2" s="1"/>
  <c r="L48" i="2"/>
  <c r="K48" i="2" s="1"/>
  <c r="N93" i="2"/>
  <c r="O93" i="2" s="1"/>
  <c r="L93" i="2"/>
  <c r="M93" i="2" s="1"/>
  <c r="N85" i="2"/>
  <c r="O85" i="2" s="1"/>
  <c r="M85" i="2"/>
  <c r="L91" i="2"/>
  <c r="K91" i="2" s="1"/>
  <c r="L90" i="2"/>
  <c r="K90" i="2" s="1"/>
  <c r="L89" i="2"/>
  <c r="K89" i="2" s="1"/>
  <c r="L88" i="2"/>
  <c r="K88" i="2" s="1"/>
  <c r="L87" i="2"/>
  <c r="K87" i="2" s="1"/>
  <c r="L86" i="2"/>
  <c r="K86" i="2" s="1"/>
  <c r="K93" i="2" l="1"/>
  <c r="N86" i="2"/>
  <c r="O86" i="2" s="1"/>
  <c r="M48" i="2"/>
  <c r="M91" i="2"/>
  <c r="N48" i="2"/>
  <c r="O48" i="2" s="1"/>
  <c r="M86" i="2"/>
  <c r="M87" i="2"/>
  <c r="M89" i="2"/>
  <c r="M90" i="2"/>
  <c r="N89" i="2"/>
  <c r="O89" i="2" s="1"/>
  <c r="N90" i="2"/>
  <c r="O90" i="2" s="1"/>
  <c r="N87" i="2"/>
  <c r="O87" i="2" s="1"/>
  <c r="M88" i="2"/>
  <c r="N91" i="2"/>
  <c r="O91" i="2" s="1"/>
  <c r="N88" i="2"/>
  <c r="O88" i="2" s="1"/>
  <c r="L81" i="2"/>
  <c r="K81" i="2" s="1"/>
  <c r="L78" i="2"/>
  <c r="K78" i="2" s="1"/>
  <c r="L83" i="2"/>
  <c r="M83" i="2" s="1"/>
  <c r="L80" i="2"/>
  <c r="K80" i="2" s="1"/>
  <c r="L94" i="2"/>
  <c r="K94" i="2" s="1"/>
  <c r="L79" i="2"/>
  <c r="K79" i="2" s="1"/>
  <c r="L77" i="2"/>
  <c r="K77" i="2" s="1"/>
  <c r="L76" i="2"/>
  <c r="K76" i="2" s="1"/>
  <c r="N75" i="2"/>
  <c r="O75" i="2" s="1"/>
  <c r="L75" i="2"/>
  <c r="K75" i="2" s="1"/>
  <c r="L56" i="2"/>
  <c r="K56" i="2" s="1"/>
  <c r="L65" i="2"/>
  <c r="K65" i="2" s="1"/>
  <c r="L73" i="2"/>
  <c r="K73" i="2" s="1"/>
  <c r="L14" i="2"/>
  <c r="K14" i="2" s="1"/>
  <c r="L74" i="2"/>
  <c r="K74" i="2" s="1"/>
  <c r="L72" i="2"/>
  <c r="N72" i="2" s="1"/>
  <c r="O72" i="2" s="1"/>
  <c r="L71" i="2"/>
  <c r="K71" i="2" s="1"/>
  <c r="L70" i="2"/>
  <c r="N70" i="2" s="1"/>
  <c r="O70" i="2" s="1"/>
  <c r="L69" i="2"/>
  <c r="K69" i="2" s="1"/>
  <c r="L68" i="2"/>
  <c r="N68" i="2" s="1"/>
  <c r="O68" i="2" s="1"/>
  <c r="N94" i="2" l="1"/>
  <c r="O94" i="2" s="1"/>
  <c r="N83" i="2"/>
  <c r="O83" i="2" s="1"/>
  <c r="N81" i="2"/>
  <c r="O81" i="2" s="1"/>
  <c r="N80" i="2"/>
  <c r="O80" i="2" s="1"/>
  <c r="N79" i="2"/>
  <c r="O79" i="2" s="1"/>
  <c r="N78" i="2"/>
  <c r="O78" i="2" s="1"/>
  <c r="N77" i="2"/>
  <c r="O77" i="2" s="1"/>
  <c r="M81" i="2"/>
  <c r="M78" i="2"/>
  <c r="K83" i="2"/>
  <c r="N76" i="2"/>
  <c r="O76" i="2" s="1"/>
  <c r="M80" i="2"/>
  <c r="M94" i="2"/>
  <c r="M79" i="2"/>
  <c r="M77" i="2"/>
  <c r="M76" i="2"/>
  <c r="M75" i="2"/>
  <c r="M56" i="2"/>
  <c r="N56" i="2"/>
  <c r="O56" i="2" s="1"/>
  <c r="M65" i="2"/>
  <c r="N65" i="2"/>
  <c r="O65" i="2" s="1"/>
  <c r="M73" i="2"/>
  <c r="N73" i="2"/>
  <c r="O73" i="2" s="1"/>
  <c r="M14" i="2"/>
  <c r="N14" i="2"/>
  <c r="O14" i="2" s="1"/>
  <c r="M74" i="2"/>
  <c r="N74" i="2"/>
  <c r="O74" i="2" s="1"/>
  <c r="K72" i="2"/>
  <c r="M72" i="2"/>
  <c r="M71" i="2"/>
  <c r="N71" i="2"/>
  <c r="O71" i="2" s="1"/>
  <c r="K70" i="2"/>
  <c r="M70" i="2"/>
  <c r="M69" i="2"/>
  <c r="N69" i="2"/>
  <c r="O69" i="2" s="1"/>
  <c r="K68" i="2"/>
  <c r="M68" i="2"/>
  <c r="L8" i="2"/>
  <c r="K8" i="2" s="1"/>
  <c r="L9" i="2"/>
  <c r="N9" i="2" s="1"/>
  <c r="O9" i="2" s="1"/>
  <c r="L10" i="2"/>
  <c r="M10" i="2" s="1"/>
  <c r="L11" i="2"/>
  <c r="M11" i="2" s="1"/>
  <c r="L12" i="2"/>
  <c r="N12" i="2" s="1"/>
  <c r="O12" i="2" s="1"/>
  <c r="L13" i="2"/>
  <c r="K13" i="2" s="1"/>
  <c r="L17" i="2"/>
  <c r="N17" i="2" s="1"/>
  <c r="O17" i="2" s="1"/>
  <c r="L23" i="2"/>
  <c r="K23" i="2" s="1"/>
  <c r="L22" i="2"/>
  <c r="K22" i="2" s="1"/>
  <c r="L21" i="2"/>
  <c r="K21" i="2" s="1"/>
  <c r="L20" i="2"/>
  <c r="N20" i="2" s="1"/>
  <c r="O20" i="2" s="1"/>
  <c r="M17" i="2" l="1"/>
  <c r="K12" i="2"/>
  <c r="M9" i="2"/>
  <c r="M12" i="2"/>
  <c r="K17" i="2"/>
  <c r="K11" i="2"/>
  <c r="K9" i="2"/>
  <c r="N13" i="2"/>
  <c r="O13" i="2" s="1"/>
  <c r="N11" i="2"/>
  <c r="O11" i="2" s="1"/>
  <c r="N8" i="2"/>
  <c r="O8" i="2" s="1"/>
  <c r="M13" i="2"/>
  <c r="K10" i="2"/>
  <c r="M8" i="2"/>
  <c r="N10" i="2"/>
  <c r="O10" i="2" s="1"/>
  <c r="M22" i="2"/>
  <c r="K20" i="2"/>
  <c r="M21" i="2"/>
  <c r="N22" i="2"/>
  <c r="O22" i="2" s="1"/>
  <c r="N21" i="2"/>
  <c r="O21" i="2" s="1"/>
  <c r="M23" i="2"/>
  <c r="M20" i="2"/>
  <c r="N23" i="2"/>
  <c r="O23" i="2" s="1"/>
  <c r="F6" i="2"/>
  <c r="G5" i="2"/>
  <c r="F58" i="3" l="1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N67" i="2"/>
  <c r="O67" i="2" s="1"/>
  <c r="L67" i="2"/>
  <c r="K67" i="2" s="1"/>
  <c r="L66" i="2"/>
  <c r="N66" i="2" s="1"/>
  <c r="O66" i="2" s="1"/>
  <c r="L64" i="2"/>
  <c r="K64" i="2" s="1"/>
  <c r="L63" i="2"/>
  <c r="K63" i="2" s="1"/>
  <c r="L62" i="2"/>
  <c r="M62" i="2" s="1"/>
  <c r="L61" i="2"/>
  <c r="N61" i="2" s="1"/>
  <c r="O61" i="2" s="1"/>
  <c r="L60" i="2"/>
  <c r="K60" i="2" s="1"/>
  <c r="N59" i="2"/>
  <c r="O59" i="2" s="1"/>
  <c r="L59" i="2"/>
  <c r="K59" i="2" s="1"/>
  <c r="L57" i="2"/>
  <c r="M57" i="2" s="1"/>
  <c r="L55" i="2"/>
  <c r="N55" i="2" s="1"/>
  <c r="O55" i="2" s="1"/>
  <c r="L54" i="2"/>
  <c r="K54" i="2" s="1"/>
  <c r="L53" i="2"/>
  <c r="K53" i="2" s="1"/>
  <c r="L52" i="2"/>
  <c r="K52" i="2" s="1"/>
  <c r="L51" i="2"/>
  <c r="N51" i="2" s="1"/>
  <c r="O51" i="2" s="1"/>
  <c r="N50" i="2"/>
  <c r="L50" i="2"/>
  <c r="K50" i="2" s="1"/>
  <c r="L49" i="2"/>
  <c r="K49" i="2" s="1"/>
  <c r="L47" i="2"/>
  <c r="N47" i="2" s="1"/>
  <c r="O47" i="2" s="1"/>
  <c r="L46" i="2"/>
  <c r="K46" i="2" s="1"/>
  <c r="L45" i="2"/>
  <c r="K45" i="2" s="1"/>
  <c r="L44" i="2"/>
  <c r="M44" i="2" s="1"/>
  <c r="L43" i="2"/>
  <c r="N43" i="2" s="1"/>
  <c r="O43" i="2" s="1"/>
  <c r="N42" i="2"/>
  <c r="O42" i="2" s="1"/>
  <c r="L42" i="2"/>
  <c r="K42" i="2" s="1"/>
  <c r="L41" i="2"/>
  <c r="K41" i="2" s="1"/>
  <c r="L39" i="2"/>
  <c r="N39" i="2" s="1"/>
  <c r="O39" i="2" s="1"/>
  <c r="L38" i="2"/>
  <c r="K38" i="2" s="1"/>
  <c r="L37" i="2"/>
  <c r="K37" i="2" s="1"/>
  <c r="L36" i="2"/>
  <c r="M36" i="2" s="1"/>
  <c r="L35" i="2"/>
  <c r="N35" i="2" s="1"/>
  <c r="O35" i="2" s="1"/>
  <c r="N34" i="2"/>
  <c r="O34" i="2" s="1"/>
  <c r="L34" i="2"/>
  <c r="K34" i="2" s="1"/>
  <c r="L33" i="2"/>
  <c r="K33" i="2" s="1"/>
  <c r="L32" i="2"/>
  <c r="K32" i="2" s="1"/>
  <c r="L31" i="2"/>
  <c r="K31" i="2" s="1"/>
  <c r="L30" i="2"/>
  <c r="K30" i="2" s="1"/>
  <c r="L29" i="2"/>
  <c r="M29" i="2" s="1"/>
  <c r="L28" i="2"/>
  <c r="M28" i="2" s="1"/>
  <c r="L27" i="2"/>
  <c r="K27" i="2" s="1"/>
  <c r="N26" i="2"/>
  <c r="O26" i="2" s="1"/>
  <c r="L26" i="2"/>
  <c r="K26" i="2" s="1"/>
  <c r="L25" i="2"/>
  <c r="M25" i="2" s="1"/>
  <c r="L24" i="2"/>
  <c r="M24" i="2" s="1"/>
  <c r="L19" i="2"/>
  <c r="K19" i="2" s="1"/>
  <c r="N18" i="2"/>
  <c r="O18" i="2" s="1"/>
  <c r="L18" i="2"/>
  <c r="M18" i="2" s="1"/>
  <c r="A6" i="2"/>
  <c r="A5" i="2"/>
  <c r="G4" i="2"/>
  <c r="A4" i="2"/>
  <c r="A15" i="1"/>
  <c r="N64" i="2" l="1"/>
  <c r="O64" i="2" s="1"/>
  <c r="N38" i="2"/>
  <c r="O38" i="2" s="1"/>
  <c r="N49" i="2"/>
  <c r="O49" i="2" s="1"/>
  <c r="N28" i="2"/>
  <c r="O28" i="2" s="1"/>
  <c r="N30" i="2"/>
  <c r="O30" i="2" s="1"/>
  <c r="N36" i="2"/>
  <c r="O36" i="2" s="1"/>
  <c r="N45" i="2"/>
  <c r="O45" i="2" s="1"/>
  <c r="N54" i="2"/>
  <c r="O54" i="2" s="1"/>
  <c r="N57" i="2"/>
  <c r="O57" i="2" s="1"/>
  <c r="N60" i="2"/>
  <c r="O60" i="2" s="1"/>
  <c r="N62" i="2"/>
  <c r="O62" i="2" s="1"/>
  <c r="N27" i="2"/>
  <c r="O27" i="2" s="1"/>
  <c r="N29" i="2"/>
  <c r="O29" i="2" s="1"/>
  <c r="N31" i="2"/>
  <c r="O31" i="2" s="1"/>
  <c r="N32" i="2"/>
  <c r="O32" i="2" s="1"/>
  <c r="N44" i="2"/>
  <c r="O44" i="2" s="1"/>
  <c r="N46" i="2"/>
  <c r="O46" i="2" s="1"/>
  <c r="N53" i="2"/>
  <c r="O53" i="2" s="1"/>
  <c r="N63" i="2"/>
  <c r="O63" i="2" s="1"/>
  <c r="N52" i="2"/>
  <c r="O52" i="2" s="1"/>
  <c r="N41" i="2"/>
  <c r="O41" i="2" s="1"/>
  <c r="N37" i="2"/>
  <c r="O37" i="2" s="1"/>
  <c r="N33" i="2"/>
  <c r="O33" i="2" s="1"/>
  <c r="N25" i="2"/>
  <c r="O25" i="2" s="1"/>
  <c r="N24" i="2"/>
  <c r="O24" i="2" s="1"/>
  <c r="K36" i="2"/>
  <c r="K24" i="2"/>
  <c r="K25" i="2"/>
  <c r="K44" i="2"/>
  <c r="K62" i="2"/>
  <c r="M53" i="2"/>
  <c r="M50" i="2"/>
  <c r="N19" i="2"/>
  <c r="O19" i="2" s="1"/>
  <c r="M34" i="2"/>
  <c r="M52" i="2"/>
  <c r="K18" i="2"/>
  <c r="K29" i="2"/>
  <c r="M37" i="2"/>
  <c r="K28" i="2"/>
  <c r="K57" i="2"/>
  <c r="M19" i="2"/>
  <c r="M42" i="2"/>
  <c r="M45" i="2"/>
  <c r="M60" i="2"/>
  <c r="M63" i="2"/>
  <c r="M32" i="2"/>
  <c r="M33" i="2"/>
  <c r="M46" i="2"/>
  <c r="M49" i="2"/>
  <c r="M64" i="2"/>
  <c r="M67" i="2"/>
  <c r="M30" i="2"/>
  <c r="M26" i="2"/>
  <c r="M38" i="2"/>
  <c r="M41" i="2"/>
  <c r="M54" i="2"/>
  <c r="M59" i="2"/>
  <c r="G57" i="3"/>
  <c r="G56" i="3"/>
  <c r="G58" i="3"/>
  <c r="K61" i="2"/>
  <c r="M61" i="2"/>
  <c r="K39" i="2"/>
  <c r="M39" i="2"/>
  <c r="K55" i="2"/>
  <c r="M55" i="2"/>
  <c r="K35" i="2"/>
  <c r="M35" i="2"/>
  <c r="K51" i="2"/>
  <c r="M51" i="2"/>
  <c r="K43" i="2"/>
  <c r="M43" i="2"/>
  <c r="M27" i="2"/>
  <c r="M31" i="2"/>
  <c r="K47" i="2"/>
  <c r="M47" i="2"/>
  <c r="K66" i="2"/>
  <c r="M66" i="2"/>
  <c r="C40" i="3" l="1"/>
  <c r="G40" i="3" s="1"/>
  <c r="C18" i="3"/>
  <c r="G18" i="3" s="1"/>
  <c r="C11" i="3"/>
  <c r="G11" i="3" s="1"/>
  <c r="C12" i="3"/>
  <c r="G12" i="3" s="1"/>
  <c r="C17" i="3"/>
  <c r="C24" i="3"/>
  <c r="C31" i="3"/>
  <c r="C25" i="3"/>
  <c r="G25" i="3" s="1"/>
  <c r="E55" i="3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G46" i="3" l="1"/>
  <c r="C14" i="3"/>
  <c r="G10" i="3"/>
  <c r="G14" i="3" s="1"/>
  <c r="G55" i="3"/>
  <c r="S11" i="1"/>
  <c r="Y11" i="1" s="1"/>
  <c r="W5" i="1" s="1"/>
  <c r="C21" i="3"/>
  <c r="G17" i="3"/>
  <c r="G21" i="3" s="1"/>
  <c r="C28" i="3"/>
  <c r="G24" i="3"/>
  <c r="G28" i="3" s="1"/>
  <c r="C42" i="3"/>
  <c r="G38" i="3"/>
  <c r="G42" i="3" s="1"/>
  <c r="G31" i="3"/>
  <c r="G35" i="3" s="1"/>
  <c r="G47" i="3"/>
  <c r="C35" i="3"/>
  <c r="G45" i="3" l="1"/>
  <c r="K6" i="3"/>
  <c r="K56" i="3"/>
  <c r="N6" i="2"/>
  <c r="W4" i="1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<sst xmlns="http://schemas.openxmlformats.org/spreadsheetml/2006/main" count="347" uniqueCount="152">
  <si>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</si>
  <si>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</si>
  <si>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</si>
  <si>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</si>
  <si>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</si>
  <si>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</si>
  <si>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</si>
  <si>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</si>
  <si>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</si>
  <si>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</si>
  <si>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</si>
  <si>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</si>
  <si>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</si>
  <si>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</si>
  <si>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</si>
  <si>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</si>
  <si>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</si>
  <si>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</si>
  <si>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</si>
  <si>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</si>
  <si>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</si>
  <si>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</si>
  <si>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</si>
  <si>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</si>
  <si>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</si>
  <si>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</si>
  <si>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</si>
  <si>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</si>
  <si>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</si>
  <si>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</si>
  <si>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</si>
  <si>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</si>
  <si>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</si>
  <si>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</si>
  <si>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</si>
  <si>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</si>
  <si>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</si>
  <si>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</si>
  <si>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i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</si>
  <si>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</si>
  <si>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</si>
  <si>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</si>
  <si>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</si>
  <si>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</si>
  <si>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</si>
  <si>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</si>
  <si>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</si>
  <si>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</si>
  <si>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</si>
  <si>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</si>
  <si>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</si>
  <si>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</si>
  <si>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</si>
  <si>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</si>
  <si>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</si>
  <si>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</si>
  <si>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</si>
  <si>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</si>
  <si>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</si>
  <si>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</si>
  <si>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</si>
  <si>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</si>
  <si>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</si>
  <si>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</si>
  <si>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</si>
  <si>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</si>
  <si>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</si>
  <si>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</si>
  <si>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</si>
  <si>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Souza Car</t>
  </si>
  <si>
    <t>Paulo César</t>
  </si>
  <si>
    <t>Inserir Cliente</t>
  </si>
  <si>
    <t>Alterar Cliente</t>
  </si>
  <si>
    <t>Consultar cliente</t>
  </si>
  <si>
    <t>Visualizar detalhes cliente</t>
  </si>
  <si>
    <t>Relatório de clliente</t>
  </si>
  <si>
    <t>Venda</t>
  </si>
  <si>
    <t>Alterar venda</t>
  </si>
  <si>
    <t>Inserir venda</t>
  </si>
  <si>
    <t>Cancelar venda</t>
  </si>
  <si>
    <t>Consultar venda</t>
  </si>
  <si>
    <t>Visualizar detalhes de venda</t>
  </si>
  <si>
    <t>Relatório de venda</t>
  </si>
  <si>
    <t>Compra</t>
  </si>
  <si>
    <t>Inserir compra</t>
  </si>
  <si>
    <t>Alterar compra</t>
  </si>
  <si>
    <t>Cancelar compra</t>
  </si>
  <si>
    <t>Consultar compra</t>
  </si>
  <si>
    <t>Visualizar detalhes de compra</t>
  </si>
  <si>
    <t>Relatório de compra</t>
  </si>
  <si>
    <t>Fornecedor</t>
  </si>
  <si>
    <t>Inserir fornecedor</t>
  </si>
  <si>
    <t>Alterar fornecedor</t>
  </si>
  <si>
    <t>Consultar fornecedor</t>
  </si>
  <si>
    <t>Visualizar detalhes de fornecedor</t>
  </si>
  <si>
    <t>Ordem de Serviço</t>
  </si>
  <si>
    <t>Inserir ordem de serviço</t>
  </si>
  <si>
    <t>Alterar ordem de serviço</t>
  </si>
  <si>
    <t>Cancelar ordem de serviço</t>
  </si>
  <si>
    <t>Consultar ordem de serviço</t>
  </si>
  <si>
    <t>Visualizar detalhes de ordem de serviço</t>
  </si>
  <si>
    <t>Prestador de Serviço</t>
  </si>
  <si>
    <t>Inserir prestador de serviço</t>
  </si>
  <si>
    <t>Alterar prestador de serviço</t>
  </si>
  <si>
    <t>Desativar prestador de serviço</t>
  </si>
  <si>
    <t>Consultar prestador de serviço</t>
  </si>
  <si>
    <t>Visualizar detalhes de prestador de serviço</t>
  </si>
  <si>
    <t>Produto</t>
  </si>
  <si>
    <t>Inserir produto</t>
  </si>
  <si>
    <t>Alterar produto</t>
  </si>
  <si>
    <t>Consultar produto</t>
  </si>
  <si>
    <t>Visualizar detathes de produto</t>
  </si>
  <si>
    <t>Veículo</t>
  </si>
  <si>
    <t>Inserir veículo</t>
  </si>
  <si>
    <t>Alterar veículo</t>
  </si>
  <si>
    <t>Consultar veículo</t>
  </si>
  <si>
    <t>Visualizar detalhes de veículo</t>
  </si>
  <si>
    <t>Consultar CEP</t>
  </si>
  <si>
    <t>Relatório de veículo</t>
  </si>
  <si>
    <t>Relatório de produtos</t>
  </si>
  <si>
    <t>Inserir usuário</t>
  </si>
  <si>
    <t>Alterar usuário</t>
  </si>
  <si>
    <t>Autenticar usuário</t>
  </si>
  <si>
    <t>Usuário</t>
  </si>
  <si>
    <t>Consultar usuário</t>
  </si>
  <si>
    <t>Trocar senha de usuário</t>
  </si>
  <si>
    <t>Visualizar detalhes de usuário</t>
  </si>
  <si>
    <t>Orçamento</t>
  </si>
  <si>
    <t>Inserir orçamento</t>
  </si>
  <si>
    <t>Alterar orçamento</t>
  </si>
  <si>
    <t>Consultar orçamento</t>
  </si>
  <si>
    <t>Visualizar detalhes de orçamento</t>
  </si>
  <si>
    <t>Relatório de ordem de serviço</t>
  </si>
  <si>
    <t>Cliente</t>
  </si>
  <si>
    <t>Ativar/Desativar fornecedor</t>
  </si>
  <si>
    <t>Ativar/Desativar Cliente</t>
  </si>
  <si>
    <t>Relatório de fornecedor</t>
  </si>
  <si>
    <t>Relatório de prestador de serviço</t>
  </si>
  <si>
    <t>Ativar/Desativar produto</t>
  </si>
  <si>
    <t>Ativar/Desativar veículo</t>
  </si>
  <si>
    <t>Ativar/Desativar usuário</t>
  </si>
  <si>
    <t>Relatório de usuários</t>
  </si>
  <si>
    <t>Cancelar orçamento</t>
  </si>
  <si>
    <t>Relatório de orçamento</t>
  </si>
  <si>
    <t>Relatório de clliente ativos</t>
  </si>
  <si>
    <t>Relatório de clliente inativos</t>
  </si>
  <si>
    <t>Relatórios Gerenciais</t>
  </si>
  <si>
    <t>Relatório de Contas a pagar</t>
  </si>
  <si>
    <t>Relatório de Contas a receber</t>
  </si>
  <si>
    <t>Relatório de Vendas no mês</t>
  </si>
  <si>
    <t>Relatório de serviços realizados</t>
  </si>
  <si>
    <t>Cambio  do dólar/guarani/peso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</si>
</sst>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2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sz val="10"/>
      <name val="Arial"/>
      <family val="2"/>
    </font>
    <font>
      <u/>
      <sz val="8"/>
      <name val="Source Sans Pro"/>
    </font>
    <font>
      <sz val="10"/>
      <color rgb="FF000000"/>
      <name val="Arial"/>
      <family val="2"/>
    </font>
    <font>
      <i/>
      <u/>
      <sz val="8"/>
      <name val="Source Sans Pro"/>
    </font>
    <font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5" fillId="0" borderId="20" xfId="0" applyFont="1" applyBorder="1" applyAlignment="1">
      <alignment horizont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0" xfId="0" applyFont="1" applyBorder="1"/>
    <xf numFmtId="0" fontId="5" fillId="0" borderId="2" xfId="0" applyFont="1" applyBorder="1"/>
    <xf numFmtId="0" fontId="5" fillId="0" borderId="31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6" xfId="0" applyFont="1" applyBorder="1"/>
    <xf numFmtId="10" fontId="5" fillId="0" borderId="26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7" xfId="0" applyFont="1" applyBorder="1"/>
    <xf numFmtId="0" fontId="5" fillId="0" borderId="28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2" xfId="0" applyFont="1" applyBorder="1"/>
    <xf numFmtId="0" fontId="7" fillId="0" borderId="33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3" xfId="0" applyFont="1" applyBorder="1"/>
    <xf numFmtId="2" fontId="5" fillId="0" borderId="33" xfId="0" applyNumberFormat="1" applyFont="1" applyBorder="1" applyAlignment="1">
      <alignment horizontal="center"/>
    </xf>
    <xf numFmtId="2" fontId="5" fillId="0" borderId="33" xfId="0" applyNumberFormat="1" applyFont="1" applyBorder="1"/>
    <xf numFmtId="2" fontId="7" fillId="0" borderId="33" xfId="0" applyNumberFormat="1" applyFont="1" applyBorder="1"/>
    <xf numFmtId="0" fontId="5" fillId="0" borderId="34" xfId="0" applyFont="1" applyBorder="1"/>
    <xf numFmtId="0" fontId="14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8" fillId="0" borderId="20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18" fillId="0" borderId="17" xfId="0" applyFont="1" applyBorder="1" applyAlignment="1">
      <alignment horizontal="left" vertical="center"/>
    </xf>
    <xf numFmtId="0" fontId="21" fillId="0" borderId="18" xfId="0" applyFont="1" applyBorder="1"/>
    <xf numFmtId="0" fontId="21" fillId="0" borderId="19" xfId="0" applyFont="1" applyBorder="1"/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 applyAlignment="1"/>
    <xf numFmtId="0" fontId="4" fillId="0" borderId="9" xfId="0" applyFont="1" applyBorder="1" applyAlignment="1">
      <alignment horizontal="right"/>
    </xf>
    <xf numFmtId="0" fontId="2" fillId="0" borderId="11" xfId="0" applyFont="1" applyBorder="1"/>
    <xf numFmtId="0" fontId="4" fillId="0" borderId="9" xfId="0" applyFont="1" applyBorder="1" applyAlignment="1">
      <alignment horizontal="center"/>
    </xf>
    <xf numFmtId="0" fontId="2" fillId="0" borderId="10" xfId="0" applyFont="1" applyBorder="1"/>
    <xf numFmtId="165" fontId="5" fillId="2" borderId="9" xfId="0" applyNumberFormat="1" applyFont="1" applyFill="1" applyBorder="1"/>
    <xf numFmtId="2" fontId="5" fillId="0" borderId="9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right"/>
    </xf>
    <xf numFmtId="0" fontId="5" fillId="0" borderId="9" xfId="0" applyFont="1" applyBorder="1"/>
    <xf numFmtId="0" fontId="3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9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4" fillId="0" borderId="10" xfId="0" applyFont="1" applyBorder="1"/>
    <xf numFmtId="0" fontId="1" fillId="0" borderId="1" xfId="0" applyFont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9" fillId="0" borderId="0" xfId="0" applyFont="1" applyAlignment="1"/>
    <xf numFmtId="0" fontId="17" fillId="0" borderId="13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17" fillId="0" borderId="10" xfId="0" applyFont="1" applyBorder="1"/>
    <xf numFmtId="0" fontId="17" fillId="0" borderId="11" xfId="0" applyFont="1" applyBorder="1"/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8" fillId="0" borderId="14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35" xfId="0" applyFont="1" applyBorder="1" applyAlignment="1">
      <alignment horizontal="left" vertical="center"/>
    </xf>
    <xf numFmtId="0" fontId="16" fillId="3" borderId="30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6" fillId="3" borderId="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/>
    </xf>
    <xf numFmtId="0" fontId="1" fillId="0" borderId="23" xfId="0" applyFont="1" applyBorder="1" applyAlignment="1">
      <alignment horizontal="center" vertical="center"/>
    </xf>
    <xf numFmtId="0" fontId="2" fillId="0" borderId="24" xfId="0" applyFont="1" applyBorder="1"/>
    <xf numFmtId="0" fontId="2" fillId="0" borderId="25" xfId="0" applyFont="1" applyBorder="1"/>
    <xf numFmtId="0" fontId="2" fillId="0" borderId="13" xfId="0" applyFont="1" applyBorder="1"/>
    <xf numFmtId="0" fontId="2" fillId="0" borderId="26" xfId="0" applyFont="1" applyBorder="1"/>
    <xf numFmtId="0" fontId="2" fillId="0" borderId="28" xfId="0" applyFont="1" applyBorder="1"/>
    <xf numFmtId="0" fontId="16" fillId="3" borderId="2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5" fillId="2" borderId="9" xfId="0" applyFont="1" applyFill="1" applyBorder="1" applyAlignment="1">
      <alignment horizontal="left" vertical="center"/>
    </xf>
    <xf numFmtId="0" fontId="2" fillId="0" borderId="29" xfId="0" applyFont="1" applyBorder="1"/>
    <xf numFmtId="0" fontId="7" fillId="4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162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17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C14" sqref="AC14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103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2"/>
      <c r="AD1" s="1"/>
      <c r="AE1" s="1"/>
      <c r="AF1" s="1"/>
      <c r="AG1" s="1"/>
      <c r="AH1" s="1"/>
      <c r="AI1" s="1"/>
    </row>
    <row r="2" spans="1:35" ht="12" customHeight="1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5"/>
      <c r="AC2" s="1"/>
      <c r="AD2" s="1"/>
      <c r="AE2" s="1"/>
      <c r="AF2" s="1"/>
      <c r="AG2" s="1"/>
      <c r="AH2" s="1"/>
      <c r="AI2" s="1"/>
    </row>
    <row r="3" spans="1:35" ht="12" customHeight="1">
      <c r="A3" s="96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8"/>
      <c r="AC3" s="1"/>
      <c r="AD3" s="1"/>
      <c r="AE3" s="1"/>
      <c r="AF3" s="1"/>
      <c r="AG3" s="1"/>
      <c r="AH3" s="1"/>
      <c r="AI3" s="1"/>
    </row>
    <row r="4" spans="1:35" ht="12" customHeight="1">
      <c r="A4" s="99" t="s">
        <v>1</v>
      </c>
      <c r="B4" s="85"/>
      <c r="C4" s="85"/>
      <c r="D4" s="85"/>
      <c r="E4" s="85"/>
      <c r="F4" s="105" t="s">
        <v>69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3"/>
      <c r="R4" s="84" t="s">
        <v>2</v>
      </c>
      <c r="S4" s="83"/>
      <c r="T4" s="2">
        <v>500</v>
      </c>
      <c r="U4" s="84" t="s">
        <v>3</v>
      </c>
      <c r="V4" s="83"/>
      <c r="W4" s="104">
        <f>W5*T4</f>
        <v>191500</v>
      </c>
      <c r="X4" s="85"/>
      <c r="Y4" s="85"/>
      <c r="Z4" s="85"/>
      <c r="AA4" s="85"/>
      <c r="AB4" s="83"/>
      <c r="AC4" s="1"/>
      <c r="AD4" s="1"/>
      <c r="AE4" s="1"/>
      <c r="AF4" s="1"/>
      <c r="AG4" s="1"/>
      <c r="AH4" s="1"/>
      <c r="AI4" s="1"/>
    </row>
    <row r="5" spans="1:35" ht="12" customHeight="1">
      <c r="A5" s="99" t="s">
        <v>4</v>
      </c>
      <c r="B5" s="85"/>
      <c r="C5" s="85"/>
      <c r="D5" s="85"/>
      <c r="E5" s="85"/>
      <c r="F5" s="89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3"/>
      <c r="U5" s="84" t="s">
        <v>5</v>
      </c>
      <c r="V5" s="83"/>
      <c r="W5" s="86">
        <f>SUM(Y11:Y14)</f>
        <v>383</v>
      </c>
      <c r="X5" s="85"/>
      <c r="Y5" s="85"/>
      <c r="Z5" s="85"/>
      <c r="AA5" s="85"/>
      <c r="AB5" s="83"/>
      <c r="AC5" s="1"/>
      <c r="AD5" s="1"/>
      <c r="AE5" s="1"/>
      <c r="AF5" s="1"/>
      <c r="AG5" s="1"/>
      <c r="AH5" s="1"/>
      <c r="AI5" s="1"/>
    </row>
    <row r="6" spans="1:35" ht="12" customHeight="1">
      <c r="A6" s="99" t="s">
        <v>6</v>
      </c>
      <c r="B6" s="85"/>
      <c r="C6" s="85"/>
      <c r="D6" s="85"/>
      <c r="E6" s="85"/>
      <c r="F6" s="89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3"/>
      <c r="AC6" s="1"/>
      <c r="AD6" s="1"/>
      <c r="AE6" s="1"/>
      <c r="AF6" s="1"/>
      <c r="AG6" s="1"/>
      <c r="AH6" s="1"/>
      <c r="AI6" s="1"/>
    </row>
    <row r="7" spans="1:35" ht="12" customHeight="1">
      <c r="A7" s="99" t="s">
        <v>7</v>
      </c>
      <c r="B7" s="85"/>
      <c r="C7" s="85"/>
      <c r="D7" s="85"/>
      <c r="E7" s="85"/>
      <c r="F7" s="89" t="s">
        <v>70</v>
      </c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3"/>
      <c r="U7" s="82" t="s">
        <v>8</v>
      </c>
      <c r="V7" s="85"/>
      <c r="W7" s="83"/>
      <c r="X7" s="88"/>
      <c r="Y7" s="85"/>
      <c r="Z7" s="85"/>
      <c r="AA7" s="85"/>
      <c r="AB7" s="83"/>
      <c r="AC7" s="1"/>
      <c r="AD7" s="1"/>
      <c r="AE7" s="1"/>
      <c r="AF7" s="1"/>
      <c r="AG7" s="1"/>
      <c r="AH7" s="1"/>
      <c r="AI7" s="1"/>
    </row>
    <row r="8" spans="1:35" ht="12" customHeight="1">
      <c r="A8" s="99" t="s">
        <v>9</v>
      </c>
      <c r="B8" s="85"/>
      <c r="C8" s="85"/>
      <c r="D8" s="85"/>
      <c r="E8" s="85"/>
      <c r="F8" s="89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3"/>
      <c r="U8" s="82" t="s">
        <v>10</v>
      </c>
      <c r="V8" s="85"/>
      <c r="W8" s="83"/>
      <c r="X8" s="88"/>
      <c r="Y8" s="85"/>
      <c r="Z8" s="85"/>
      <c r="AA8" s="85"/>
      <c r="AB8" s="83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00" t="s">
        <v>11</v>
      </c>
      <c r="B10" s="92"/>
      <c r="C10" s="102" t="s">
        <v>12</v>
      </c>
      <c r="D10" s="85"/>
      <c r="E10" s="85"/>
      <c r="F10" s="85"/>
      <c r="G10" s="85"/>
      <c r="H10" s="85"/>
      <c r="I10" s="85"/>
      <c r="J10" s="85"/>
      <c r="K10" s="83"/>
      <c r="L10" s="3"/>
      <c r="M10" s="4"/>
      <c r="N10" s="4"/>
      <c r="O10" s="100" t="s">
        <v>13</v>
      </c>
      <c r="P10" s="91"/>
      <c r="Q10" s="84" t="s">
        <v>14</v>
      </c>
      <c r="R10" s="85"/>
      <c r="S10" s="85"/>
      <c r="T10" s="83"/>
      <c r="U10" s="84" t="s">
        <v>15</v>
      </c>
      <c r="V10" s="85"/>
      <c r="W10" s="85"/>
      <c r="X10" s="83"/>
      <c r="Y10" s="84" t="s">
        <v>16</v>
      </c>
      <c r="Z10" s="85"/>
      <c r="AA10" s="85"/>
      <c r="AB10" s="83"/>
      <c r="AC10" s="5"/>
      <c r="AD10" s="1"/>
      <c r="AE10" s="1"/>
      <c r="AF10" s="1"/>
      <c r="AG10" s="1"/>
      <c r="AH10" s="1"/>
      <c r="AI10" s="1"/>
    </row>
    <row r="11" spans="1:35" ht="12" customHeight="1">
      <c r="A11" s="93"/>
      <c r="B11" s="95"/>
      <c r="C11" s="102" t="s">
        <v>17</v>
      </c>
      <c r="D11" s="85"/>
      <c r="E11" s="85"/>
      <c r="F11" s="85"/>
      <c r="G11" s="85"/>
      <c r="H11" s="85"/>
      <c r="I11" s="85"/>
      <c r="J11" s="85"/>
      <c r="K11" s="83"/>
      <c r="L11" s="3"/>
      <c r="M11" s="4"/>
      <c r="N11" s="4"/>
      <c r="O11" s="93"/>
      <c r="P11" s="94"/>
      <c r="Q11" s="82" t="s">
        <v>18</v>
      </c>
      <c r="R11" s="83"/>
      <c r="S11" s="86">
        <f>Sumário!E55</f>
        <v>383</v>
      </c>
      <c r="T11" s="83"/>
      <c r="U11" s="87">
        <v>1</v>
      </c>
      <c r="V11" s="85"/>
      <c r="W11" s="85"/>
      <c r="X11" s="83"/>
      <c r="Y11" s="86">
        <f t="shared" ref="Y11:Y14" si="0">S11*U11</f>
        <v>383</v>
      </c>
      <c r="Z11" s="85"/>
      <c r="AA11" s="85"/>
      <c r="AB11" s="83"/>
      <c r="AC11" s="1"/>
      <c r="AD11" s="1"/>
      <c r="AE11" s="1"/>
      <c r="AF11" s="1"/>
      <c r="AG11" s="1"/>
      <c r="AH11" s="1"/>
      <c r="AI11" s="1"/>
    </row>
    <row r="12" spans="1:35" ht="12" customHeight="1">
      <c r="A12" s="93"/>
      <c r="B12" s="95"/>
      <c r="C12" s="102" t="s">
        <v>19</v>
      </c>
      <c r="D12" s="85"/>
      <c r="E12" s="85"/>
      <c r="F12" s="85"/>
      <c r="G12" s="85"/>
      <c r="H12" s="85"/>
      <c r="I12" s="85"/>
      <c r="J12" s="85"/>
      <c r="K12" s="83"/>
      <c r="L12" s="3"/>
      <c r="M12" s="4"/>
      <c r="N12" s="4"/>
      <c r="O12" s="93"/>
      <c r="P12" s="94"/>
      <c r="Q12" s="82" t="s">
        <v>20</v>
      </c>
      <c r="R12" s="85"/>
      <c r="S12" s="86">
        <f>Sumário!E56</f>
        <v>0</v>
      </c>
      <c r="T12" s="83"/>
      <c r="U12" s="87">
        <v>1</v>
      </c>
      <c r="V12" s="85"/>
      <c r="W12" s="85"/>
      <c r="X12" s="83"/>
      <c r="Y12" s="86">
        <f t="shared" si="0"/>
        <v>0</v>
      </c>
      <c r="Z12" s="85"/>
      <c r="AA12" s="85"/>
      <c r="AB12" s="83"/>
      <c r="AC12" s="1"/>
      <c r="AD12" s="1"/>
      <c r="AE12" s="1"/>
      <c r="AF12" s="1"/>
      <c r="AG12" s="1"/>
      <c r="AH12" s="1"/>
      <c r="AI12" s="1"/>
    </row>
    <row r="13" spans="1:35" ht="12" customHeight="1">
      <c r="A13" s="93"/>
      <c r="B13" s="95"/>
      <c r="C13" s="102" t="s">
        <v>21</v>
      </c>
      <c r="D13" s="85"/>
      <c r="E13" s="85"/>
      <c r="F13" s="85"/>
      <c r="G13" s="85"/>
      <c r="H13" s="85"/>
      <c r="I13" s="85"/>
      <c r="J13" s="85"/>
      <c r="K13" s="83"/>
      <c r="L13" s="3"/>
      <c r="M13" s="4"/>
      <c r="N13" s="4"/>
      <c r="O13" s="93"/>
      <c r="P13" s="94"/>
      <c r="Q13" s="82" t="s">
        <v>22</v>
      </c>
      <c r="R13" s="85"/>
      <c r="S13" s="86">
        <f>Sumário!E57</f>
        <v>0</v>
      </c>
      <c r="T13" s="83"/>
      <c r="U13" s="87">
        <v>1</v>
      </c>
      <c r="V13" s="85"/>
      <c r="W13" s="85"/>
      <c r="X13" s="83"/>
      <c r="Y13" s="86">
        <f t="shared" si="0"/>
        <v>0</v>
      </c>
      <c r="Z13" s="85"/>
      <c r="AA13" s="85"/>
      <c r="AB13" s="83"/>
      <c r="AC13" s="1"/>
      <c r="AD13" s="1"/>
      <c r="AE13" s="1"/>
      <c r="AF13" s="1"/>
      <c r="AG13" s="1"/>
      <c r="AH13" s="1"/>
      <c r="AI13" s="1"/>
    </row>
    <row r="14" spans="1:35" ht="12" customHeight="1">
      <c r="A14" s="96"/>
      <c r="B14" s="98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96"/>
      <c r="P14" s="97"/>
      <c r="Q14" s="82"/>
      <c r="R14" s="85"/>
      <c r="S14" s="86">
        <f>Sumário!E58</f>
        <v>0</v>
      </c>
      <c r="T14" s="83"/>
      <c r="U14" s="87"/>
      <c r="V14" s="85"/>
      <c r="W14" s="85"/>
      <c r="X14" s="83"/>
      <c r="Y14" s="86">
        <f t="shared" si="0"/>
        <v>0</v>
      </c>
      <c r="Z14" s="85"/>
      <c r="AA14" s="85"/>
      <c r="AB14" s="83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101" t="s">
        <v>23</v>
      </c>
      <c r="L16" s="97"/>
      <c r="M16" s="97"/>
      <c r="N16" s="97"/>
      <c r="O16" s="97"/>
      <c r="P16" s="97"/>
      <c r="Q16" s="97"/>
      <c r="R16" s="97"/>
      <c r="S16" s="97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90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2"/>
      <c r="AC17" s="1"/>
      <c r="AD17" s="1"/>
      <c r="AE17" s="1"/>
      <c r="AF17" s="1"/>
      <c r="AG17" s="1"/>
      <c r="AH17" s="1"/>
      <c r="AI17" s="1"/>
    </row>
    <row r="18" spans="1:35" ht="12" customHeight="1">
      <c r="A18" s="93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5"/>
      <c r="AC18" s="1"/>
      <c r="AD18" s="1"/>
      <c r="AE18" s="1"/>
      <c r="AF18" s="1"/>
      <c r="AG18" s="1"/>
      <c r="AH18" s="1"/>
      <c r="AI18" s="1"/>
    </row>
    <row r="19" spans="1:35" ht="12" customHeight="1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5"/>
      <c r="AC19" s="1"/>
      <c r="AD19" s="1"/>
      <c r="AE19" s="1"/>
      <c r="AF19" s="1"/>
      <c r="AG19" s="1"/>
      <c r="AH19" s="1"/>
      <c r="AI19" s="1"/>
    </row>
    <row r="20" spans="1:35" ht="12" customHeight="1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5"/>
      <c r="AC20" s="1"/>
      <c r="AD20" s="1"/>
      <c r="AE20" s="1"/>
      <c r="AF20" s="1"/>
      <c r="AG20" s="1"/>
      <c r="AH20" s="1"/>
      <c r="AI20" s="1"/>
    </row>
    <row r="21" spans="1:35" ht="12" customHeight="1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5"/>
      <c r="AC21" s="1"/>
      <c r="AD21" s="1"/>
      <c r="AE21" s="1"/>
      <c r="AF21" s="1"/>
      <c r="AG21" s="1"/>
      <c r="AH21" s="1"/>
      <c r="AI21" s="1"/>
    </row>
    <row r="22" spans="1:35" ht="12" customHeight="1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5"/>
      <c r="AC22" s="1"/>
      <c r="AD22" s="1"/>
      <c r="AE22" s="1"/>
      <c r="AF22" s="1"/>
      <c r="AG22" s="1"/>
      <c r="AH22" s="1"/>
      <c r="AI22" s="1"/>
    </row>
    <row r="23" spans="1:35" ht="12" customHeight="1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"/>
      <c r="AD23" s="1"/>
      <c r="AE23" s="1"/>
      <c r="AF23" s="1"/>
      <c r="AG23" s="1"/>
      <c r="AH23" s="1"/>
      <c r="AI23" s="1"/>
    </row>
    <row r="24" spans="1:35" ht="12" customHeight="1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5"/>
      <c r="AC24" s="1"/>
      <c r="AD24" s="1"/>
      <c r="AE24" s="1"/>
      <c r="AF24" s="1"/>
      <c r="AG24" s="1"/>
      <c r="AH24" s="1"/>
      <c r="AI24" s="1"/>
    </row>
    <row r="25" spans="1:35" ht="12" customHeight="1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5"/>
      <c r="AC25" s="1"/>
      <c r="AD25" s="1"/>
      <c r="AE25" s="1"/>
      <c r="AF25" s="1"/>
      <c r="AG25" s="1"/>
      <c r="AH25" s="1"/>
      <c r="AI25" s="1"/>
    </row>
    <row r="26" spans="1:35" ht="12" customHeight="1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5"/>
      <c r="AC26" s="1"/>
      <c r="AD26" s="1"/>
      <c r="AE26" s="1"/>
      <c r="AF26" s="1"/>
      <c r="AG26" s="1"/>
      <c r="AH26" s="1"/>
      <c r="AI26" s="1"/>
    </row>
    <row r="27" spans="1:35" ht="12" customHeight="1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5"/>
      <c r="AC27" s="1"/>
      <c r="AD27" s="1"/>
      <c r="AE27" s="1"/>
      <c r="AF27" s="1"/>
      <c r="AG27" s="1"/>
      <c r="AH27" s="1"/>
      <c r="AI27" s="1"/>
    </row>
    <row r="28" spans="1:35" ht="12" customHeight="1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5"/>
      <c r="AC28" s="1"/>
      <c r="AD28" s="1"/>
      <c r="AE28" s="1"/>
      <c r="AF28" s="1"/>
      <c r="AG28" s="1"/>
      <c r="AH28" s="1"/>
      <c r="AI28" s="1"/>
    </row>
    <row r="29" spans="1:35" ht="12" customHeight="1">
      <c r="A29" s="93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5"/>
      <c r="AC29" s="1"/>
      <c r="AD29" s="1"/>
      <c r="AE29" s="1"/>
      <c r="AF29" s="1"/>
      <c r="AG29" s="1"/>
      <c r="AH29" s="1"/>
      <c r="AI29" s="1"/>
    </row>
    <row r="30" spans="1:35" ht="12" customHeight="1">
      <c r="A30" s="93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5"/>
      <c r="AC30" s="1"/>
      <c r="AD30" s="1"/>
      <c r="AE30" s="1"/>
      <c r="AF30" s="1"/>
      <c r="AG30" s="1"/>
      <c r="AH30" s="1"/>
      <c r="AI30" s="1"/>
    </row>
    <row r="31" spans="1:35" ht="12" customHeight="1">
      <c r="A31" s="93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5"/>
      <c r="AC31" s="1"/>
      <c r="AD31" s="1"/>
      <c r="AE31" s="1"/>
      <c r="AF31" s="1"/>
      <c r="AG31" s="1"/>
      <c r="AH31" s="1"/>
      <c r="AI31" s="1"/>
    </row>
    <row r="32" spans="1:35" ht="12" customHeight="1">
      <c r="A32" s="93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5"/>
      <c r="AC32" s="1"/>
      <c r="AD32" s="1"/>
      <c r="AE32" s="1"/>
      <c r="AF32" s="1"/>
      <c r="AG32" s="1"/>
      <c r="AH32" s="1"/>
      <c r="AI32" s="1"/>
    </row>
    <row r="33" spans="1:35" ht="12" customHeight="1">
      <c r="A33" s="93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5"/>
      <c r="AC33" s="1"/>
      <c r="AD33" s="1"/>
      <c r="AE33" s="1"/>
      <c r="AF33" s="1"/>
      <c r="AG33" s="1"/>
      <c r="AH33" s="1"/>
      <c r="AI33" s="1"/>
    </row>
    <row r="34" spans="1:35" ht="12" customHeight="1">
      <c r="A34" s="93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5"/>
      <c r="AC34" s="1"/>
      <c r="AD34" s="1"/>
      <c r="AE34" s="1"/>
      <c r="AF34" s="1"/>
      <c r="AG34" s="1"/>
      <c r="AH34" s="1"/>
      <c r="AI34" s="1"/>
    </row>
    <row r="35" spans="1:35" ht="12" customHeight="1">
      <c r="A35" s="93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5"/>
      <c r="AC35" s="1"/>
      <c r="AD35" s="1"/>
      <c r="AE35" s="1"/>
      <c r="AF35" s="1"/>
      <c r="AG35" s="1"/>
      <c r="AH35" s="1"/>
      <c r="AI35" s="1"/>
    </row>
    <row r="36" spans="1:35" ht="12" customHeight="1">
      <c r="A36" s="93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5"/>
      <c r="AC36" s="1"/>
      <c r="AD36" s="1"/>
      <c r="AE36" s="1"/>
      <c r="AF36" s="1"/>
      <c r="AG36" s="1"/>
      <c r="AH36" s="1"/>
      <c r="AI36" s="1"/>
    </row>
    <row r="37" spans="1:35" ht="12" customHeight="1">
      <c r="A37" s="93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5"/>
      <c r="AC37" s="1"/>
      <c r="AD37" s="1"/>
      <c r="AE37" s="1"/>
      <c r="AF37" s="1"/>
      <c r="AG37" s="1"/>
      <c r="AH37" s="1"/>
      <c r="AI37" s="1"/>
    </row>
    <row r="38" spans="1:35" ht="12" customHeight="1">
      <c r="A38" s="96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8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01" t="s">
        <v>24</v>
      </c>
      <c r="L40" s="97"/>
      <c r="M40" s="97"/>
      <c r="N40" s="97"/>
      <c r="O40" s="97"/>
      <c r="P40" s="97"/>
      <c r="Q40" s="97"/>
      <c r="R40" s="97"/>
      <c r="S40" s="97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90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2"/>
      <c r="AC41" s="1"/>
      <c r="AD41" s="1"/>
      <c r="AE41" s="1"/>
      <c r="AF41" s="1"/>
      <c r="AG41" s="1"/>
      <c r="AH41" s="1"/>
      <c r="AI41" s="1"/>
    </row>
    <row r="42" spans="1:35" ht="12" customHeight="1">
      <c r="A42" s="93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5"/>
      <c r="AC42" s="1"/>
      <c r="AD42" s="1"/>
      <c r="AE42" s="1"/>
      <c r="AF42" s="1"/>
      <c r="AG42" s="1"/>
      <c r="AH42" s="1"/>
      <c r="AI42" s="1"/>
    </row>
    <row r="43" spans="1:35" ht="12" customHeight="1">
      <c r="A43" s="93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5"/>
      <c r="AC43" s="1"/>
      <c r="AD43" s="1"/>
      <c r="AE43" s="1"/>
      <c r="AF43" s="1"/>
      <c r="AG43" s="1"/>
      <c r="AH43" s="1"/>
      <c r="AI43" s="1"/>
    </row>
    <row r="44" spans="1:35" ht="12" customHeight="1">
      <c r="A44" s="93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5"/>
      <c r="AC44" s="1"/>
      <c r="AD44" s="1"/>
      <c r="AE44" s="1"/>
      <c r="AF44" s="1"/>
      <c r="AG44" s="1"/>
      <c r="AH44" s="1"/>
      <c r="AI44" s="1"/>
    </row>
    <row r="45" spans="1:35" ht="12" customHeight="1">
      <c r="A45" s="93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5"/>
      <c r="AC45" s="1"/>
      <c r="AD45" s="1"/>
      <c r="AE45" s="1"/>
      <c r="AF45" s="1"/>
      <c r="AG45" s="1"/>
      <c r="AH45" s="1"/>
      <c r="AI45" s="1"/>
    </row>
    <row r="46" spans="1:35" ht="12" customHeight="1">
      <c r="A46" s="93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5"/>
      <c r="AC46" s="1"/>
      <c r="AD46" s="1"/>
      <c r="AE46" s="1"/>
      <c r="AF46" s="1"/>
      <c r="AG46" s="1"/>
      <c r="AH46" s="1"/>
      <c r="AI46" s="1"/>
    </row>
    <row r="47" spans="1:35" ht="12" customHeight="1">
      <c r="A47" s="93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5"/>
      <c r="AC47" s="1"/>
      <c r="AD47" s="1"/>
      <c r="AE47" s="1"/>
      <c r="AF47" s="1"/>
      <c r="AG47" s="1"/>
      <c r="AH47" s="1"/>
      <c r="AI47" s="1"/>
    </row>
    <row r="48" spans="1:35" ht="12" customHeight="1">
      <c r="A48" s="93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5"/>
      <c r="AC48" s="1"/>
      <c r="AD48" s="1"/>
      <c r="AE48" s="1"/>
      <c r="AF48" s="1"/>
      <c r="AG48" s="1"/>
      <c r="AH48" s="1"/>
      <c r="AI48" s="1"/>
    </row>
    <row r="49" spans="1:35" ht="12" customHeight="1">
      <c r="A49" s="93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5"/>
      <c r="AC49" s="1"/>
      <c r="AD49" s="1"/>
      <c r="AE49" s="1"/>
      <c r="AF49" s="1"/>
      <c r="AG49" s="1"/>
      <c r="AH49" s="1"/>
      <c r="AI49" s="1"/>
    </row>
    <row r="50" spans="1:35" ht="12" customHeight="1">
      <c r="A50" s="93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5"/>
      <c r="AC50" s="1"/>
      <c r="AD50" s="1"/>
      <c r="AE50" s="1"/>
      <c r="AF50" s="1"/>
      <c r="AG50" s="1"/>
      <c r="AH50" s="1"/>
      <c r="AI50" s="1"/>
    </row>
    <row r="51" spans="1:35" ht="12" customHeight="1">
      <c r="A51" s="93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5"/>
      <c r="AC51" s="1"/>
      <c r="AD51" s="1"/>
      <c r="AE51" s="1"/>
      <c r="AF51" s="1"/>
      <c r="AG51" s="1"/>
      <c r="AH51" s="1"/>
      <c r="AI51" s="1"/>
    </row>
    <row r="52" spans="1:35" ht="12" customHeight="1">
      <c r="A52" s="93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5"/>
      <c r="AC52" s="1"/>
      <c r="AD52" s="1"/>
      <c r="AE52" s="1"/>
      <c r="AF52" s="1"/>
      <c r="AG52" s="1"/>
      <c r="AH52" s="1"/>
      <c r="AI52" s="1"/>
    </row>
    <row r="53" spans="1:35" ht="12" customHeight="1">
      <c r="A53" s="93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5"/>
      <c r="AC53" s="1"/>
      <c r="AD53" s="1"/>
      <c r="AE53" s="1"/>
      <c r="AF53" s="1"/>
      <c r="AG53" s="1"/>
      <c r="AH53" s="1"/>
      <c r="AI53" s="1"/>
    </row>
    <row r="54" spans="1:35" ht="12" customHeight="1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5"/>
      <c r="AC54" s="1"/>
      <c r="AD54" s="1"/>
      <c r="AE54" s="1"/>
      <c r="AF54" s="1"/>
      <c r="AG54" s="1"/>
      <c r="AH54" s="1"/>
      <c r="AI54" s="1"/>
    </row>
    <row r="55" spans="1:35" ht="12" customHeight="1">
      <c r="A55" s="93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5"/>
      <c r="AC55" s="1"/>
      <c r="AD55" s="1"/>
      <c r="AE55" s="1"/>
      <c r="AF55" s="1"/>
      <c r="AG55" s="1"/>
      <c r="AH55" s="1"/>
      <c r="AI55" s="1"/>
    </row>
    <row r="56" spans="1:35" ht="12" customHeight="1">
      <c r="A56" s="93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5"/>
      <c r="AC56" s="1"/>
      <c r="AD56" s="1"/>
      <c r="AE56" s="1"/>
      <c r="AF56" s="1"/>
      <c r="AG56" s="1"/>
      <c r="AH56" s="1"/>
      <c r="AI56" s="1"/>
    </row>
    <row r="57" spans="1:35" ht="12" customHeight="1">
      <c r="A57" s="93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5"/>
      <c r="AC57" s="1"/>
      <c r="AD57" s="1"/>
      <c r="AE57" s="1"/>
      <c r="AF57" s="1"/>
      <c r="AG57" s="1"/>
      <c r="AH57" s="1"/>
      <c r="AI57" s="1"/>
    </row>
    <row r="58" spans="1:35" ht="12" customHeight="1">
      <c r="A58" s="93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5"/>
      <c r="AC58" s="1"/>
      <c r="AD58" s="1"/>
      <c r="AE58" s="1"/>
      <c r="AF58" s="1"/>
      <c r="AG58" s="1"/>
      <c r="AH58" s="1"/>
      <c r="AI58" s="1"/>
    </row>
    <row r="59" spans="1:35" ht="12" customHeight="1">
      <c r="A59" s="93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5"/>
      <c r="AC59" s="1"/>
      <c r="AD59" s="1"/>
      <c r="AE59" s="1"/>
      <c r="AF59" s="1"/>
      <c r="AG59" s="1"/>
      <c r="AH59" s="1"/>
      <c r="AI59" s="1"/>
    </row>
    <row r="60" spans="1:35" ht="12" customHeight="1">
      <c r="A60" s="96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8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A1:AB3"/>
    <mergeCell ref="F5:T5"/>
    <mergeCell ref="U5:V5"/>
    <mergeCell ref="A4:E4"/>
    <mergeCell ref="U4:V4"/>
    <mergeCell ref="W4:AB4"/>
    <mergeCell ref="A5:E5"/>
    <mergeCell ref="F4:Q4"/>
    <mergeCell ref="R4:S4"/>
    <mergeCell ref="W5:AB5"/>
    <mergeCell ref="A41:AB60"/>
    <mergeCell ref="K40:S40"/>
    <mergeCell ref="K16:S16"/>
    <mergeCell ref="A7:E7"/>
    <mergeCell ref="A10:B14"/>
    <mergeCell ref="A8:E8"/>
    <mergeCell ref="U11:X11"/>
    <mergeCell ref="U10:X10"/>
    <mergeCell ref="C11:K11"/>
    <mergeCell ref="C12:K12"/>
    <mergeCell ref="C10:K10"/>
    <mergeCell ref="U7:W7"/>
    <mergeCell ref="C13:K13"/>
    <mergeCell ref="Q12:R12"/>
    <mergeCell ref="Q14:R14"/>
    <mergeCell ref="F7:T7"/>
    <mergeCell ref="X7:AB7"/>
    <mergeCell ref="X8:AB8"/>
    <mergeCell ref="F6:AB6"/>
    <mergeCell ref="A17:AB38"/>
    <mergeCell ref="A6:E6"/>
    <mergeCell ref="O10:P14"/>
    <mergeCell ref="Y14:AB14"/>
    <mergeCell ref="S11:T11"/>
    <mergeCell ref="U8:W8"/>
    <mergeCell ref="F8:T8"/>
    <mergeCell ref="Y12:AB12"/>
    <mergeCell ref="Y13:AB13"/>
    <mergeCell ref="U13:X13"/>
    <mergeCell ref="S12:T12"/>
    <mergeCell ref="Y10:AB10"/>
    <mergeCell ref="Y11:AB11"/>
    <mergeCell ref="Q11:R11"/>
    <mergeCell ref="Q10:T10"/>
    <mergeCell ref="S14:T14"/>
    <mergeCell ref="U14:X14"/>
    <mergeCell ref="S13:T13"/>
    <mergeCell ref="Q13:R13"/>
    <mergeCell ref="U12:X12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9"/>
  <sheetViews>
    <sheetView showGridLines="0" tabSelected="1" workbookViewId="0">
      <pane ySplit="7" topLeftCell="A86" activePane="bottomLeft" state="frozen"/>
      <selection pane="bottomLeft" activeCell="F104" sqref="F104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14" t="s">
        <v>25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9"/>
      <c r="Q1" s="9"/>
      <c r="R1" s="9"/>
      <c r="S1" s="9"/>
      <c r="T1" s="9"/>
    </row>
    <row r="2" spans="1:20" ht="15" customHeight="1">
      <c r="A2" s="116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9"/>
      <c r="Q2" s="9"/>
      <c r="R2" s="9"/>
      <c r="S2" s="9"/>
      <c r="T2" s="9"/>
    </row>
    <row r="3" spans="1:20" ht="15" customHeight="1">
      <c r="A3" s="116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9"/>
      <c r="Q3" s="9"/>
      <c r="R3" s="9"/>
      <c r="S3" s="9"/>
      <c r="T3" s="9"/>
    </row>
    <row r="4" spans="1:20" ht="15" customHeight="1">
      <c r="A4" s="113" t="str">
        <f>Contagem!A5&amp;" : "&amp;Contagem!F5</f>
        <v xml:space="preserve">Aplicação : </v>
      </c>
      <c r="B4" s="85"/>
      <c r="C4" s="85"/>
      <c r="D4" s="85"/>
      <c r="E4" s="85"/>
      <c r="F4" s="85"/>
      <c r="G4" s="111" t="str">
        <f>Contagem!A6&amp;" : "&amp;Contagem!F6</f>
        <v xml:space="preserve">Projeto : </v>
      </c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3"/>
    </row>
    <row r="5" spans="1:20" ht="15" customHeight="1">
      <c r="A5" s="120" t="str">
        <f>Contagem!A7&amp;" : "&amp;Contagem!F7</f>
        <v>Responsável : Paulo César</v>
      </c>
      <c r="B5" s="85"/>
      <c r="C5" s="85"/>
      <c r="D5" s="85"/>
      <c r="E5" s="85"/>
      <c r="F5" s="85"/>
      <c r="G5" s="111" t="str">
        <f>Contagem!A8&amp;" : "&amp;Contagem!F8</f>
        <v xml:space="preserve">Revisor : 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3"/>
    </row>
    <row r="6" spans="1:20" ht="15" customHeight="1">
      <c r="A6" s="120" t="str">
        <f>Contagem!A4&amp;" : "&amp;Contagem!F4</f>
        <v>Empresa : Souza Car</v>
      </c>
      <c r="B6" s="124"/>
      <c r="C6" s="124"/>
      <c r="D6" s="124"/>
      <c r="E6" s="125"/>
      <c r="F6" s="111" t="str">
        <f>Contagem!R4&amp;" = "&amp;VALUE(Contagem!T4)</f>
        <v>R$/PF = 500</v>
      </c>
      <c r="G6" s="83"/>
      <c r="H6" s="123" t="str">
        <f>" Custo= "&amp;DOLLAR(Contagem!W4)</f>
        <v xml:space="preserve"> Custo= R$ 191.500,00</v>
      </c>
      <c r="I6" s="97"/>
      <c r="J6" s="97"/>
      <c r="K6" s="97"/>
      <c r="L6" s="97"/>
      <c r="M6" s="98"/>
      <c r="N6" s="117" t="str">
        <f>"PF  = "&amp;VALUE(Contagem!W5)</f>
        <v>PF  = 383</v>
      </c>
      <c r="O6" s="118"/>
      <c r="P6" s="10"/>
      <c r="Q6" s="10"/>
      <c r="R6" s="10"/>
      <c r="S6" s="10"/>
      <c r="T6" s="11"/>
    </row>
    <row r="7" spans="1:20" ht="15" customHeight="1">
      <c r="A7" s="119" t="s">
        <v>26</v>
      </c>
      <c r="B7" s="85"/>
      <c r="C7" s="85"/>
      <c r="D7" s="85"/>
      <c r="E7" s="85"/>
      <c r="F7" s="83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26" t="s">
        <v>34</v>
      </c>
      <c r="Q7" s="127"/>
      <c r="R7" s="127"/>
      <c r="S7" s="127"/>
      <c r="T7" s="127"/>
    </row>
    <row r="8" spans="1:20" ht="18" customHeight="1">
      <c r="A8" s="112" t="s">
        <v>133</v>
      </c>
      <c r="B8" s="121"/>
      <c r="C8" s="121"/>
      <c r="D8" s="121"/>
      <c r="E8" s="121"/>
      <c r="F8" s="122"/>
      <c r="G8" s="16" t="s">
        <v>35</v>
      </c>
      <c r="H8" s="17" t="s">
        <v>36</v>
      </c>
      <c r="I8" s="16">
        <v>25</v>
      </c>
      <c r="J8" s="18">
        <v>1</v>
      </c>
      <c r="K8" s="18" t="str">
        <f t="shared" ref="K8:K67" si="0">CONCATENATE(G8,L8)</f>
        <v>ALIL</v>
      </c>
      <c r="L8" s="19" t="str">
        <f t="shared" ref="L8:L67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0" t="str">
        <f t="shared" ref="M8:M67" si="2">IF(L8="L","Baixa",IF(L8="A","Média",IF(L8="","","Alta")))</f>
        <v>Baixa</v>
      </c>
      <c r="N8" s="21">
        <f t="shared" ref="N8:N67" si="3">IF(ISBLANK(G8),"",IF(G8="ALI",IF(L8="L",7,IF(L8="A",10,15)),IF(G8="AIE",IF(L8="L",5,IF(L8="A",7,10)),IF(G8="SE",IF(L8="L",4,IF(L8="A",5,7)),IF(OR(G8="EE",G8="CE"),IF(L8="L",3,IF(L8="A",4,6)))))))</f>
        <v>7</v>
      </c>
      <c r="O8" s="22">
        <f>IF(H8="I",N8*Contagem!$U$11,IF(H8="E",N8*Contagem!$U$13,IF(H8="A",N8*Contagem!$U$12,IF(H8="T",N8*Contagem!$U$14,""))))</f>
        <v>7</v>
      </c>
      <c r="P8" s="106"/>
      <c r="Q8" s="107"/>
      <c r="R8" s="107"/>
      <c r="S8" s="107"/>
      <c r="T8" s="107"/>
    </row>
    <row r="9" spans="1:20" ht="18" customHeight="1">
      <c r="A9" s="108" t="s">
        <v>71</v>
      </c>
      <c r="B9" s="109"/>
      <c r="C9" s="109"/>
      <c r="D9" s="109"/>
      <c r="E9" s="109"/>
      <c r="F9" s="110"/>
      <c r="G9" s="16" t="s">
        <v>37</v>
      </c>
      <c r="H9" s="25" t="s">
        <v>38</v>
      </c>
      <c r="I9" s="18">
        <v>12</v>
      </c>
      <c r="J9" s="18"/>
      <c r="K9" s="18" t="str">
        <f t="shared" si="0"/>
        <v>EEA</v>
      </c>
      <c r="L9" s="19" t="str">
        <f t="shared" si="1"/>
        <v>A</v>
      </c>
      <c r="M9" s="20" t="str">
        <f t="shared" si="2"/>
        <v>Média</v>
      </c>
      <c r="N9" s="21">
        <f t="shared" si="3"/>
        <v>4</v>
      </c>
      <c r="O9" s="22">
        <f>IF(H9="I",N9*Contagem!$U$11,IF(H9="E",N9*Contagem!$U$13,IF(H9="A",N9*Contagem!$U$12,IF(H9="T",N9*Contagem!$U$14,""))))</f>
        <v>4</v>
      </c>
      <c r="P9" s="106"/>
      <c r="Q9" s="107"/>
      <c r="R9" s="107"/>
      <c r="S9" s="107"/>
      <c r="T9" s="107"/>
    </row>
    <row r="10" spans="1:20" ht="18" customHeight="1">
      <c r="A10" s="108" t="s">
        <v>72</v>
      </c>
      <c r="B10" s="109"/>
      <c r="C10" s="109"/>
      <c r="D10" s="109"/>
      <c r="E10" s="109"/>
      <c r="F10" s="110"/>
      <c r="G10" s="16" t="s">
        <v>37</v>
      </c>
      <c r="H10" s="25" t="s">
        <v>38</v>
      </c>
      <c r="I10" s="16">
        <v>12</v>
      </c>
      <c r="J10" s="18"/>
      <c r="K10" s="18" t="str">
        <f t="shared" si="0"/>
        <v>EEA</v>
      </c>
      <c r="L10" s="19" t="str">
        <f t="shared" si="1"/>
        <v>A</v>
      </c>
      <c r="M10" s="20" t="str">
        <f t="shared" si="2"/>
        <v>Média</v>
      </c>
      <c r="N10" s="21">
        <f t="shared" si="3"/>
        <v>4</v>
      </c>
      <c r="O10" s="22">
        <f>IF(H10="I",N10*Contagem!$U$11,IF(H10="E",N10*Contagem!$U$13,IF(H10="A",N10*Contagem!$U$12,IF(H10="T",N10*Contagem!$U$14,""))))</f>
        <v>4</v>
      </c>
      <c r="P10" s="106"/>
      <c r="Q10" s="107"/>
      <c r="R10" s="107"/>
      <c r="S10" s="107"/>
      <c r="T10" s="107"/>
    </row>
    <row r="11" spans="1:20" ht="18" customHeight="1">
      <c r="A11" s="108" t="s">
        <v>135</v>
      </c>
      <c r="B11" s="109"/>
      <c r="C11" s="109"/>
      <c r="D11" s="109"/>
      <c r="E11" s="109"/>
      <c r="F11" s="110"/>
      <c r="G11" s="16" t="s">
        <v>37</v>
      </c>
      <c r="H11" s="25" t="s">
        <v>38</v>
      </c>
      <c r="I11" s="16">
        <v>1</v>
      </c>
      <c r="J11" s="18"/>
      <c r="K11" s="18" t="str">
        <f t="shared" si="0"/>
        <v>EEA</v>
      </c>
      <c r="L11" s="19" t="str">
        <f t="shared" si="1"/>
        <v>A</v>
      </c>
      <c r="M11" s="20" t="str">
        <f t="shared" si="2"/>
        <v>Média</v>
      </c>
      <c r="N11" s="21">
        <f t="shared" si="3"/>
        <v>4</v>
      </c>
      <c r="O11" s="22">
        <f>IF(H11="I",N11*Contagem!$U$11,IF(H11="E",N11*Contagem!$U$13,IF(H11="A",N11*Contagem!$U$12,IF(H11="T",N11*Contagem!$U$14,""))))</f>
        <v>4</v>
      </c>
      <c r="P11" s="106"/>
      <c r="Q11" s="107"/>
      <c r="R11" s="107"/>
      <c r="S11" s="107"/>
      <c r="T11" s="107"/>
    </row>
    <row r="12" spans="1:20" ht="18" customHeight="1">
      <c r="A12" s="108" t="s">
        <v>73</v>
      </c>
      <c r="B12" s="109"/>
      <c r="C12" s="109"/>
      <c r="D12" s="109"/>
      <c r="E12" s="109"/>
      <c r="F12" s="110"/>
      <c r="G12" s="16" t="s">
        <v>39</v>
      </c>
      <c r="H12" s="25" t="s">
        <v>38</v>
      </c>
      <c r="I12" s="16">
        <v>1</v>
      </c>
      <c r="J12" s="18"/>
      <c r="K12" s="18" t="str">
        <f t="shared" si="0"/>
        <v>CEA</v>
      </c>
      <c r="L12" s="19" t="str">
        <f t="shared" si="1"/>
        <v>A</v>
      </c>
      <c r="M12" s="20" t="str">
        <f t="shared" si="2"/>
        <v>Média</v>
      </c>
      <c r="N12" s="21">
        <f t="shared" si="3"/>
        <v>4</v>
      </c>
      <c r="O12" s="22">
        <f>IF(H12="I",N12*Contagem!$U$11,IF(H12="E",N12*Contagem!$U$13,IF(H12="A",N12*Contagem!$U$12,IF(H12="T",N12*Contagem!$U$14,""))))</f>
        <v>4</v>
      </c>
      <c r="P12" s="106"/>
      <c r="Q12" s="107"/>
      <c r="R12" s="107"/>
      <c r="S12" s="107"/>
      <c r="T12" s="107"/>
    </row>
    <row r="13" spans="1:20" ht="18" customHeight="1">
      <c r="A13" s="108" t="s">
        <v>74</v>
      </c>
      <c r="B13" s="109"/>
      <c r="C13" s="109"/>
      <c r="D13" s="109"/>
      <c r="E13" s="109"/>
      <c r="F13" s="110"/>
      <c r="G13" s="18" t="s">
        <v>39</v>
      </c>
      <c r="H13" s="25" t="s">
        <v>38</v>
      </c>
      <c r="I13" s="16">
        <v>1</v>
      </c>
      <c r="J13" s="18"/>
      <c r="K13" s="18" t="str">
        <f t="shared" si="0"/>
        <v>CEA</v>
      </c>
      <c r="L13" s="19" t="str">
        <f t="shared" si="1"/>
        <v>A</v>
      </c>
      <c r="M13" s="20" t="str">
        <f t="shared" si="2"/>
        <v>Média</v>
      </c>
      <c r="N13" s="21">
        <f t="shared" si="3"/>
        <v>4</v>
      </c>
      <c r="O13" s="22">
        <f>IF(H13="I",N13*Contagem!$U$11,IF(H13="E",N13*Contagem!$U$13,IF(H13="A",N13*Contagem!$U$12,IF(H13="T",N13*Contagem!$U$14,""))))</f>
        <v>4</v>
      </c>
      <c r="P13" s="106"/>
      <c r="Q13" s="107"/>
      <c r="R13" s="107"/>
      <c r="S13" s="107"/>
      <c r="T13" s="107"/>
    </row>
    <row r="14" spans="1:20" ht="18" customHeight="1">
      <c r="A14" s="108" t="s">
        <v>117</v>
      </c>
      <c r="B14" s="109"/>
      <c r="C14" s="109"/>
      <c r="D14" s="109"/>
      <c r="E14" s="109"/>
      <c r="F14" s="110"/>
      <c r="G14" s="18" t="s">
        <v>57</v>
      </c>
      <c r="H14" s="25" t="s">
        <v>38</v>
      </c>
      <c r="I14" s="18">
        <v>1</v>
      </c>
      <c r="J14" s="18">
        <v>1</v>
      </c>
      <c r="K14" s="18" t="str">
        <f t="shared" ref="K14:K15" si="4">CONCATENATE(G14,L14)</f>
        <v>AIEL</v>
      </c>
      <c r="L14" s="19" t="str">
        <f t="shared" ref="L14:L15" si="5">IF(OR(ISBLANK(I14),ISBLANK(J14)),IF(OR(G14="ALI",G14="AIE"),"L",IF(ISBLANK(G14),"","A")),IF(G14="EE",IF(J14&gt;=3,IF(I14&gt;=5,"H","A"),IF(J14&gt;=2,IF(I14&gt;=16,"H",IF(I14&lt;=4,"L","A")),IF(I14&lt;=15,"L","A"))),IF(OR(G14="SE",G14="CE"),IF(J14&gt;=4,IF(I14&gt;=6,"H","A"),IF(J14&gt;=2,IF(I14&gt;=20,"H",IF(I14&lt;=5,"L","A")),IF(I14&lt;=19,"L","A"))),IF(OR(G14="ALI",G14="AIE"),IF(J14&gt;=6,IF(I14&gt;=20,"H","A"),IF(J14&gt;=2,IF(I14&gt;=51,"H",IF(I14&lt;=19,"L","A")),IF(I14&lt;=50,"L","A")))))))</f>
        <v>L</v>
      </c>
      <c r="M14" s="20" t="str">
        <f t="shared" ref="M14:M15" si="6">IF(L14="L","Baixa",IF(L14="A","Média",IF(L14="","","Alta")))</f>
        <v>Baixa</v>
      </c>
      <c r="N14" s="21">
        <f t="shared" ref="N14:N15" si="7">IF(ISBLANK(G14),"",IF(G14="ALI",IF(L14="L",7,IF(L14="A",10,15)),IF(G14="AIE",IF(L14="L",5,IF(L14="A",7,10)),IF(G14="SE",IF(L14="L",4,IF(L14="A",5,7)),IF(OR(G14="EE",G14="CE"),IF(L14="L",3,IF(L14="A",4,6)))))))</f>
        <v>5</v>
      </c>
      <c r="O14" s="22">
        <f>IF(H14="I",N14*Contagem!$U$11,IF(H14="E",N14*Contagem!$U$13,IF(H14="A",N14*Contagem!$U$12,IF(H14="T",N14*Contagem!$U$14,""))))</f>
        <v>5</v>
      </c>
      <c r="P14" s="23"/>
      <c r="Q14" s="24"/>
      <c r="R14" s="24"/>
      <c r="S14" s="24"/>
      <c r="T14" s="24"/>
    </row>
    <row r="15" spans="1:20" s="78" customFormat="1" ht="18" customHeight="1">
      <c r="A15" s="108" t="s">
        <v>75</v>
      </c>
      <c r="B15" s="109"/>
      <c r="C15" s="109"/>
      <c r="D15" s="109"/>
      <c r="E15" s="109"/>
      <c r="F15" s="110"/>
      <c r="G15" s="18" t="s">
        <v>52</v>
      </c>
      <c r="H15" s="25" t="s">
        <v>38</v>
      </c>
      <c r="I15" s="18">
        <v>1</v>
      </c>
      <c r="J15" s="18"/>
      <c r="K15" s="18" t="str">
        <f t="shared" si="4"/>
        <v>SEA</v>
      </c>
      <c r="L15" s="19" t="str">
        <f t="shared" si="5"/>
        <v>A</v>
      </c>
      <c r="M15" s="20" t="str">
        <f t="shared" si="6"/>
        <v>Média</v>
      </c>
      <c r="N15" s="21">
        <f t="shared" si="7"/>
        <v>5</v>
      </c>
      <c r="O15" s="22">
        <f>IF(H15="I",N15*Contagem!$U$11,IF(H15="E",N15*Contagem!$U$13,IF(H15="A",N15*Contagem!$U$12,IF(H15="T",N15*Contagem!$U$14,""))))</f>
        <v>5</v>
      </c>
      <c r="P15" s="79"/>
      <c r="Q15" s="24"/>
      <c r="R15" s="24"/>
      <c r="S15" s="24"/>
      <c r="T15" s="24"/>
    </row>
    <row r="16" spans="1:20" s="78" customFormat="1" ht="18" customHeight="1">
      <c r="A16" s="108" t="s">
        <v>144</v>
      </c>
      <c r="B16" s="109"/>
      <c r="C16" s="109"/>
      <c r="D16" s="109"/>
      <c r="E16" s="109"/>
      <c r="F16" s="110"/>
      <c r="G16" s="18" t="s">
        <v>52</v>
      </c>
      <c r="H16" s="25" t="s">
        <v>38</v>
      </c>
      <c r="I16" s="18">
        <v>1</v>
      </c>
      <c r="J16" s="18"/>
      <c r="K16" s="18" t="str">
        <f t="shared" ref="K16" si="8">CONCATENATE(G16,L16)</f>
        <v>SEA</v>
      </c>
      <c r="L16" s="19" t="str">
        <f t="shared" ref="L16" si="9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A</v>
      </c>
      <c r="M16" s="20" t="str">
        <f t="shared" ref="M16" si="10">IF(L16="L","Baixa",IF(L16="A","Média",IF(L16="","","Alta")))</f>
        <v>Média</v>
      </c>
      <c r="N16" s="21">
        <f t="shared" ref="N16" si="11">IF(ISBLANK(G16),"",IF(G16="ALI",IF(L16="L",7,IF(L16="A",10,15)),IF(G16="AIE",IF(L16="L",5,IF(L16="A",7,10)),IF(G16="SE",IF(L16="L",4,IF(L16="A",5,7)),IF(OR(G16="EE",G16="CE"),IF(L16="L",3,IF(L16="A",4,6)))))))</f>
        <v>5</v>
      </c>
      <c r="O16" s="22">
        <f>IF(H16="I",N16*Contagem!$U$11,IF(H16="E",N16*Contagem!$U$13,IF(H16="A",N16*Contagem!$U$12,IF(H16="T",N16*Contagem!$U$14,""))))</f>
        <v>5</v>
      </c>
      <c r="P16" s="79"/>
      <c r="Q16" s="24"/>
      <c r="R16" s="24"/>
      <c r="S16" s="24"/>
      <c r="T16" s="24"/>
    </row>
    <row r="17" spans="1:20" ht="18" customHeight="1">
      <c r="A17" s="108" t="s">
        <v>145</v>
      </c>
      <c r="B17" s="109"/>
      <c r="C17" s="109"/>
      <c r="D17" s="109"/>
      <c r="E17" s="109"/>
      <c r="F17" s="110"/>
      <c r="G17" s="18" t="s">
        <v>52</v>
      </c>
      <c r="H17" s="25" t="s">
        <v>38</v>
      </c>
      <c r="I17" s="18">
        <v>1</v>
      </c>
      <c r="J17" s="18"/>
      <c r="K17" s="18" t="str">
        <f t="shared" si="0"/>
        <v>SEA</v>
      </c>
      <c r="L17" s="19" t="str">
        <f t="shared" si="1"/>
        <v>A</v>
      </c>
      <c r="M17" s="20" t="str">
        <f t="shared" si="2"/>
        <v>Média</v>
      </c>
      <c r="N17" s="21">
        <f t="shared" si="3"/>
        <v>5</v>
      </c>
      <c r="O17" s="22">
        <f>IF(H17="I",N17*Contagem!$U$11,IF(H17="E",N17*Contagem!$U$13,IF(H17="A",N17*Contagem!$U$12,IF(H17="T",N17*Contagem!$U$14,""))))</f>
        <v>5</v>
      </c>
      <c r="P17" s="106"/>
      <c r="Q17" s="107"/>
      <c r="R17" s="107"/>
      <c r="S17" s="107"/>
      <c r="T17" s="107"/>
    </row>
    <row r="18" spans="1:20" ht="18" customHeight="1">
      <c r="A18" s="68"/>
      <c r="B18" s="69"/>
      <c r="C18" s="69"/>
      <c r="D18" s="69"/>
      <c r="E18" s="69"/>
      <c r="F18" s="70"/>
      <c r="G18" s="18"/>
      <c r="H18" s="25"/>
      <c r="I18" s="18"/>
      <c r="J18" s="18"/>
      <c r="K18" s="18" t="str">
        <f t="shared" si="0"/>
        <v/>
      </c>
      <c r="L18" s="19" t="str">
        <f t="shared" si="1"/>
        <v/>
      </c>
      <c r="M18" s="20" t="str">
        <f t="shared" si="2"/>
        <v/>
      </c>
      <c r="N18" s="21" t="str">
        <f t="shared" si="3"/>
        <v/>
      </c>
      <c r="O18" s="22" t="str">
        <f>IF(H18="I",N18*Contagem!$U$11,IF(H18="E",N18*Contagem!$U$13,IF(H18="A",N18*Contagem!$U$12,IF(H18="T",N18*Contagem!$U$14,""))))</f>
        <v/>
      </c>
      <c r="P18" s="106"/>
      <c r="Q18" s="107"/>
      <c r="R18" s="107"/>
      <c r="S18" s="107"/>
      <c r="T18" s="107"/>
    </row>
    <row r="19" spans="1:20" ht="18" customHeight="1">
      <c r="A19" s="112" t="s">
        <v>76</v>
      </c>
      <c r="B19" s="121"/>
      <c r="C19" s="121"/>
      <c r="D19" s="121"/>
      <c r="E19" s="121"/>
      <c r="F19" s="122"/>
      <c r="G19" s="18" t="s">
        <v>35</v>
      </c>
      <c r="H19" s="67" t="s">
        <v>36</v>
      </c>
      <c r="I19" s="18"/>
      <c r="J19" s="18"/>
      <c r="K19" s="18" t="str">
        <f t="shared" si="0"/>
        <v>ALIL</v>
      </c>
      <c r="L19" s="19" t="str">
        <f t="shared" si="1"/>
        <v>L</v>
      </c>
      <c r="M19" s="20" t="str">
        <f t="shared" si="2"/>
        <v>Baixa</v>
      </c>
      <c r="N19" s="21">
        <f t="shared" si="3"/>
        <v>7</v>
      </c>
      <c r="O19" s="22">
        <f>IF(H19="I",N19*Contagem!$U$11,IF(H19="E",N19*Contagem!$U$13,IF(H19="A",N19*Contagem!$U$12,IF(H19="T",N19*Contagem!$U$14,""))))</f>
        <v>7</v>
      </c>
      <c r="P19" s="106"/>
      <c r="Q19" s="107"/>
      <c r="R19" s="107"/>
      <c r="S19" s="107"/>
      <c r="T19" s="107"/>
    </row>
    <row r="20" spans="1:20" ht="18" customHeight="1">
      <c r="A20" s="60" t="s">
        <v>78</v>
      </c>
      <c r="B20" s="61"/>
      <c r="C20" s="61"/>
      <c r="D20" s="61"/>
      <c r="E20" s="61"/>
      <c r="F20" s="62"/>
      <c r="G20" s="18" t="s">
        <v>37</v>
      </c>
      <c r="H20" s="67" t="s">
        <v>38</v>
      </c>
      <c r="I20" s="18"/>
      <c r="J20" s="66"/>
      <c r="K20" s="18" t="str">
        <f t="shared" si="0"/>
        <v>EEA</v>
      </c>
      <c r="L20" s="19" t="str">
        <f t="shared" si="1"/>
        <v>A</v>
      </c>
      <c r="M20" s="20" t="str">
        <f t="shared" ref="M20:M23" si="12">IF(L20="L","Baixa",IF(L20="A","Média",IF(L20="","","Alta")))</f>
        <v>Média</v>
      </c>
      <c r="N20" s="21">
        <f t="shared" ref="N20:N23" si="13">IF(ISBLANK(G20),"",IF(G20="ALI",IF(L20="L",7,IF(L20="A",10,15)),IF(G20="AIE",IF(L20="L",5,IF(L20="A",7,10)),IF(G20="SE",IF(L20="L",4,IF(L20="A",5,7)),IF(OR(G20="EE",G20="CE"),IF(L20="L",3,IF(L20="A",4,6)))))))</f>
        <v>4</v>
      </c>
      <c r="O20" s="22">
        <f>IF(H20="I",N20*Contagem!$U$11,IF(H20="E",N20*Contagem!$U$13,IF(H20="A",N20*Contagem!$U$12,IF(H20="T",N20*Contagem!$U$14,""))))</f>
        <v>4</v>
      </c>
      <c r="P20" s="106"/>
      <c r="Q20" s="107"/>
      <c r="R20" s="107"/>
      <c r="S20" s="107"/>
      <c r="T20" s="107"/>
    </row>
    <row r="21" spans="1:20" ht="18" customHeight="1">
      <c r="A21" s="60" t="s">
        <v>77</v>
      </c>
      <c r="B21" s="61"/>
      <c r="C21" s="61"/>
      <c r="D21" s="61"/>
      <c r="E21" s="61"/>
      <c r="F21" s="62"/>
      <c r="G21" s="18" t="s">
        <v>37</v>
      </c>
      <c r="H21" s="67" t="s">
        <v>38</v>
      </c>
      <c r="I21" s="18"/>
      <c r="J21" s="66"/>
      <c r="K21" s="18" t="str">
        <f t="shared" si="0"/>
        <v>EEA</v>
      </c>
      <c r="L21" s="19" t="str">
        <f t="shared" si="1"/>
        <v>A</v>
      </c>
      <c r="M21" s="20" t="str">
        <f t="shared" si="12"/>
        <v>Média</v>
      </c>
      <c r="N21" s="21">
        <f t="shared" si="13"/>
        <v>4</v>
      </c>
      <c r="O21" s="22">
        <f>IF(H21="I",N21*Contagem!$U$11,IF(H21="E",N21*Contagem!$U$13,IF(H21="A",N21*Contagem!$U$12,IF(H21="T",N21*Contagem!$U$14,""))))</f>
        <v>4</v>
      </c>
      <c r="P21" s="106"/>
      <c r="Q21" s="107"/>
      <c r="R21" s="107"/>
      <c r="S21" s="107"/>
      <c r="T21" s="107"/>
    </row>
    <row r="22" spans="1:20" ht="18" customHeight="1">
      <c r="A22" s="60" t="s">
        <v>79</v>
      </c>
      <c r="B22" s="61"/>
      <c r="C22" s="61"/>
      <c r="D22" s="61"/>
      <c r="E22" s="61"/>
      <c r="F22" s="62"/>
      <c r="G22" s="18" t="s">
        <v>37</v>
      </c>
      <c r="H22" s="67" t="s">
        <v>38</v>
      </c>
      <c r="I22" s="18"/>
      <c r="J22" s="66"/>
      <c r="K22" s="18" t="str">
        <f t="shared" si="0"/>
        <v>EEA</v>
      </c>
      <c r="L22" s="19" t="str">
        <f t="shared" si="1"/>
        <v>A</v>
      </c>
      <c r="M22" s="20" t="str">
        <f t="shared" si="12"/>
        <v>Média</v>
      </c>
      <c r="N22" s="21">
        <f t="shared" si="13"/>
        <v>4</v>
      </c>
      <c r="O22" s="22">
        <f>IF(H22="I",N22*Contagem!$U$11,IF(H22="E",N22*Contagem!$U$13,IF(H22="A",N22*Contagem!$U$12,IF(H22="T",N22*Contagem!$U$14,""))))</f>
        <v>4</v>
      </c>
      <c r="P22" s="106"/>
      <c r="Q22" s="107"/>
      <c r="R22" s="107"/>
      <c r="S22" s="107"/>
      <c r="T22" s="107"/>
    </row>
    <row r="23" spans="1:20" ht="18" customHeight="1">
      <c r="A23" s="60" t="s">
        <v>80</v>
      </c>
      <c r="B23" s="61"/>
      <c r="C23" s="61"/>
      <c r="D23" s="61"/>
      <c r="E23" s="61"/>
      <c r="F23" s="62"/>
      <c r="G23" s="18" t="s">
        <v>39</v>
      </c>
      <c r="H23" s="67" t="s">
        <v>38</v>
      </c>
      <c r="I23" s="18"/>
      <c r="J23" s="66"/>
      <c r="K23" s="18" t="str">
        <f t="shared" si="0"/>
        <v>CEA</v>
      </c>
      <c r="L23" s="19" t="str">
        <f t="shared" si="1"/>
        <v>A</v>
      </c>
      <c r="M23" s="20" t="str">
        <f t="shared" si="12"/>
        <v>Média</v>
      </c>
      <c r="N23" s="21">
        <f t="shared" si="13"/>
        <v>4</v>
      </c>
      <c r="O23" s="22">
        <f>IF(H23="I",N23*Contagem!$U$11,IF(H23="E",N23*Contagem!$U$13,IF(H23="A",N23*Contagem!$U$12,IF(H23="T",N23*Contagem!$U$14,""))))</f>
        <v>4</v>
      </c>
      <c r="P23" s="106"/>
      <c r="Q23" s="107"/>
      <c r="R23" s="107"/>
      <c r="S23" s="107"/>
      <c r="T23" s="107"/>
    </row>
    <row r="24" spans="1:20" ht="18" customHeight="1">
      <c r="A24" s="108" t="s">
        <v>81</v>
      </c>
      <c r="B24" s="109"/>
      <c r="C24" s="109"/>
      <c r="D24" s="109"/>
      <c r="E24" s="109"/>
      <c r="F24" s="110"/>
      <c r="G24" s="18" t="s">
        <v>39</v>
      </c>
      <c r="H24" s="25" t="s">
        <v>38</v>
      </c>
      <c r="I24" s="18"/>
      <c r="J24" s="18"/>
      <c r="K24" s="18" t="str">
        <f t="shared" si="0"/>
        <v>CEA</v>
      </c>
      <c r="L24" s="19" t="str">
        <f t="shared" si="1"/>
        <v>A</v>
      </c>
      <c r="M24" s="20" t="str">
        <f t="shared" si="2"/>
        <v>Média</v>
      </c>
      <c r="N24" s="21">
        <f t="shared" si="3"/>
        <v>4</v>
      </c>
      <c r="O24" s="22">
        <f>IF(H24="I",N24*Contagem!$U$11,IF(H24="E",N24*Contagem!$U$13,IF(H24="A",N24*Contagem!$U$12,IF(H24="T",N24*Contagem!$U$14,""))))</f>
        <v>4</v>
      </c>
      <c r="P24" s="106"/>
      <c r="Q24" s="107"/>
      <c r="R24" s="107"/>
      <c r="S24" s="107"/>
      <c r="T24" s="107"/>
    </row>
    <row r="25" spans="1:20" ht="18" customHeight="1">
      <c r="A25" s="63" t="s">
        <v>82</v>
      </c>
      <c r="B25" s="64"/>
      <c r="C25" s="64"/>
      <c r="D25" s="64"/>
      <c r="E25" s="64"/>
      <c r="F25" s="65"/>
      <c r="G25" s="18" t="s">
        <v>52</v>
      </c>
      <c r="H25" s="25" t="s">
        <v>38</v>
      </c>
      <c r="I25" s="18"/>
      <c r="J25" s="18"/>
      <c r="K25" s="18" t="str">
        <f t="shared" si="0"/>
        <v>SEA</v>
      </c>
      <c r="L25" s="19" t="str">
        <f t="shared" si="1"/>
        <v>A</v>
      </c>
      <c r="M25" s="20" t="str">
        <f t="shared" si="2"/>
        <v>Média</v>
      </c>
      <c r="N25" s="21">
        <f t="shared" si="3"/>
        <v>5</v>
      </c>
      <c r="O25" s="22">
        <f>IF(H25="I",N25*Contagem!$U$11,IF(H25="E",N25*Contagem!$U$13,IF(H25="A",N25*Contagem!$U$12,IF(H25="T",N25*Contagem!$U$14,""))))</f>
        <v>5</v>
      </c>
      <c r="P25" s="106"/>
      <c r="Q25" s="107"/>
      <c r="R25" s="107"/>
      <c r="S25" s="107"/>
      <c r="T25" s="107"/>
    </row>
    <row r="26" spans="1:20" ht="18" customHeight="1">
      <c r="A26" s="128"/>
      <c r="B26" s="129"/>
      <c r="C26" s="129"/>
      <c r="D26" s="129"/>
      <c r="E26" s="129"/>
      <c r="F26" s="130"/>
      <c r="G26" s="18"/>
      <c r="H26" s="25"/>
      <c r="I26" s="18"/>
      <c r="J26" s="18"/>
      <c r="K26" s="18" t="str">
        <f t="shared" si="0"/>
        <v/>
      </c>
      <c r="L26" s="19" t="str">
        <f t="shared" si="1"/>
        <v/>
      </c>
      <c r="M26" s="20" t="str">
        <f t="shared" si="2"/>
        <v/>
      </c>
      <c r="N26" s="21" t="str">
        <f t="shared" si="3"/>
        <v/>
      </c>
      <c r="O26" s="22" t="str">
        <f>IF(H26="I",N26*Contagem!$U$11,IF(H26="E",N26*Contagem!$U$13,IF(H26="A",N26*Contagem!$U$12,IF(H26="T",N26*Contagem!$U$14,""))))</f>
        <v/>
      </c>
      <c r="P26" s="106"/>
      <c r="Q26" s="107"/>
      <c r="R26" s="107"/>
      <c r="S26" s="107"/>
      <c r="T26" s="107"/>
    </row>
    <row r="27" spans="1:20" ht="18" customHeight="1">
      <c r="A27" s="112" t="s">
        <v>83</v>
      </c>
      <c r="B27" s="121"/>
      <c r="C27" s="121"/>
      <c r="D27" s="121"/>
      <c r="E27" s="121"/>
      <c r="F27" s="122"/>
      <c r="G27" s="18" t="s">
        <v>35</v>
      </c>
      <c r="H27" s="25" t="s">
        <v>38</v>
      </c>
      <c r="I27" s="18"/>
      <c r="J27" s="18"/>
      <c r="K27" s="18" t="str">
        <f t="shared" si="0"/>
        <v>ALIL</v>
      </c>
      <c r="L27" s="19" t="str">
        <f t="shared" si="1"/>
        <v>L</v>
      </c>
      <c r="M27" s="20" t="str">
        <f t="shared" si="2"/>
        <v>Baixa</v>
      </c>
      <c r="N27" s="21">
        <f t="shared" si="3"/>
        <v>7</v>
      </c>
      <c r="O27" s="22">
        <f>IF(H27="I",N27*Contagem!$U$11,IF(H27="E",N27*Contagem!$U$13,IF(H27="A",N27*Contagem!$U$12,IF(H27="T",N27*Contagem!$U$14,""))))</f>
        <v>7</v>
      </c>
      <c r="P27" s="106"/>
      <c r="Q27" s="107"/>
      <c r="R27" s="107"/>
      <c r="S27" s="107"/>
      <c r="T27" s="107"/>
    </row>
    <row r="28" spans="1:20" ht="18" customHeight="1">
      <c r="A28" s="108" t="s">
        <v>84</v>
      </c>
      <c r="B28" s="109"/>
      <c r="C28" s="109"/>
      <c r="D28" s="109"/>
      <c r="E28" s="109"/>
      <c r="F28" s="110"/>
      <c r="G28" s="18" t="s">
        <v>37</v>
      </c>
      <c r="H28" s="25" t="s">
        <v>38</v>
      </c>
      <c r="I28" s="18"/>
      <c r="J28" s="18"/>
      <c r="K28" s="18" t="str">
        <f t="shared" si="0"/>
        <v>EEA</v>
      </c>
      <c r="L28" s="19" t="str">
        <f t="shared" si="1"/>
        <v>A</v>
      </c>
      <c r="M28" s="20" t="str">
        <f t="shared" si="2"/>
        <v>Média</v>
      </c>
      <c r="N28" s="21">
        <f t="shared" si="3"/>
        <v>4</v>
      </c>
      <c r="O28" s="22">
        <f>IF(H28="I",N28*Contagem!$U$11,IF(H28="E",N28*Contagem!$U$13,IF(H28="A",N28*Contagem!$U$12,IF(H28="T",N28*Contagem!$U$14,""))))</f>
        <v>4</v>
      </c>
      <c r="P28" s="106"/>
      <c r="Q28" s="107"/>
      <c r="R28" s="107"/>
      <c r="S28" s="107"/>
      <c r="T28" s="107"/>
    </row>
    <row r="29" spans="1:20" ht="18" customHeight="1">
      <c r="A29" s="108" t="s">
        <v>85</v>
      </c>
      <c r="B29" s="109"/>
      <c r="C29" s="109"/>
      <c r="D29" s="109"/>
      <c r="E29" s="109"/>
      <c r="F29" s="110"/>
      <c r="G29" s="18" t="s">
        <v>37</v>
      </c>
      <c r="H29" s="25" t="s">
        <v>38</v>
      </c>
      <c r="I29" s="18"/>
      <c r="J29" s="18"/>
      <c r="K29" s="18" t="str">
        <f t="shared" si="0"/>
        <v>EEA</v>
      </c>
      <c r="L29" s="19" t="str">
        <f t="shared" si="1"/>
        <v>A</v>
      </c>
      <c r="M29" s="20" t="str">
        <f t="shared" si="2"/>
        <v>Média</v>
      </c>
      <c r="N29" s="21">
        <f t="shared" si="3"/>
        <v>4</v>
      </c>
      <c r="O29" s="22">
        <f>IF(H29="I",N29*Contagem!$U$11,IF(H29="E",N29*Contagem!$U$13,IF(H29="A",N29*Contagem!$U$12,IF(H29="T",N29*Contagem!$U$14,""))))</f>
        <v>4</v>
      </c>
      <c r="P29" s="106"/>
      <c r="Q29" s="107"/>
      <c r="R29" s="107"/>
      <c r="S29" s="107"/>
      <c r="T29" s="107"/>
    </row>
    <row r="30" spans="1:20" ht="18" customHeight="1">
      <c r="A30" s="108" t="s">
        <v>86</v>
      </c>
      <c r="B30" s="109"/>
      <c r="C30" s="109"/>
      <c r="D30" s="109"/>
      <c r="E30" s="109"/>
      <c r="F30" s="110"/>
      <c r="G30" s="18" t="s">
        <v>37</v>
      </c>
      <c r="H30" s="25" t="s">
        <v>38</v>
      </c>
      <c r="I30" s="18"/>
      <c r="J30" s="18"/>
      <c r="K30" s="18" t="str">
        <f t="shared" si="0"/>
        <v>EEA</v>
      </c>
      <c r="L30" s="19" t="str">
        <f t="shared" si="1"/>
        <v>A</v>
      </c>
      <c r="M30" s="20" t="str">
        <f t="shared" si="2"/>
        <v>Média</v>
      </c>
      <c r="N30" s="21">
        <f t="shared" si="3"/>
        <v>4</v>
      </c>
      <c r="O30" s="22">
        <f>IF(H30="I",N30*Contagem!$U$11,IF(H30="E",N30*Contagem!$U$13,IF(H30="A",N30*Contagem!$U$12,IF(H30="T",N30*Contagem!$U$14,""))))</f>
        <v>4</v>
      </c>
      <c r="P30" s="106"/>
      <c r="Q30" s="107"/>
      <c r="R30" s="107"/>
      <c r="S30" s="107"/>
      <c r="T30" s="107"/>
    </row>
    <row r="31" spans="1:20" ht="18" customHeight="1">
      <c r="A31" s="108" t="s">
        <v>87</v>
      </c>
      <c r="B31" s="109"/>
      <c r="C31" s="109"/>
      <c r="D31" s="109"/>
      <c r="E31" s="109"/>
      <c r="F31" s="110"/>
      <c r="G31" s="18" t="s">
        <v>39</v>
      </c>
      <c r="H31" s="25" t="s">
        <v>38</v>
      </c>
      <c r="I31" s="18"/>
      <c r="J31" s="18"/>
      <c r="K31" s="18" t="str">
        <f t="shared" si="0"/>
        <v>CEA</v>
      </c>
      <c r="L31" s="19" t="str">
        <f t="shared" si="1"/>
        <v>A</v>
      </c>
      <c r="M31" s="20" t="str">
        <f t="shared" si="2"/>
        <v>Média</v>
      </c>
      <c r="N31" s="21">
        <f t="shared" si="3"/>
        <v>4</v>
      </c>
      <c r="O31" s="22">
        <f>IF(H31="I",N31*Contagem!$U$11,IF(H31="E",N31*Contagem!$U$13,IF(H31="A",N31*Contagem!$U$12,IF(H31="T",N31*Contagem!$U$14,""))))</f>
        <v>4</v>
      </c>
      <c r="P31" s="106"/>
      <c r="Q31" s="107"/>
      <c r="R31" s="107"/>
      <c r="S31" s="107"/>
      <c r="T31" s="107"/>
    </row>
    <row r="32" spans="1:20" ht="18" customHeight="1">
      <c r="A32" s="108" t="s">
        <v>88</v>
      </c>
      <c r="B32" s="109"/>
      <c r="C32" s="109"/>
      <c r="D32" s="109"/>
      <c r="E32" s="109"/>
      <c r="F32" s="110"/>
      <c r="G32" s="18" t="s">
        <v>37</v>
      </c>
      <c r="H32" s="25" t="s">
        <v>38</v>
      </c>
      <c r="I32" s="18"/>
      <c r="J32" s="18"/>
      <c r="K32" s="18" t="str">
        <f t="shared" si="0"/>
        <v>EEA</v>
      </c>
      <c r="L32" s="19" t="str">
        <f t="shared" si="1"/>
        <v>A</v>
      </c>
      <c r="M32" s="20" t="str">
        <f t="shared" si="2"/>
        <v>Média</v>
      </c>
      <c r="N32" s="21">
        <f t="shared" si="3"/>
        <v>4</v>
      </c>
      <c r="O32" s="22">
        <f>IF(H32="I",N32*Contagem!$U$11,IF(H32="E",N32*Contagem!$U$13,IF(H32="A",N32*Contagem!$U$12,IF(H32="T",N32*Contagem!$U$14,""))))</f>
        <v>4</v>
      </c>
      <c r="P32" s="106"/>
      <c r="Q32" s="107"/>
      <c r="R32" s="107"/>
      <c r="S32" s="107"/>
      <c r="T32" s="107"/>
    </row>
    <row r="33" spans="1:20" ht="18" customHeight="1">
      <c r="A33" s="108" t="s">
        <v>89</v>
      </c>
      <c r="B33" s="109"/>
      <c r="C33" s="109"/>
      <c r="D33" s="109"/>
      <c r="E33" s="109"/>
      <c r="F33" s="110"/>
      <c r="G33" s="18" t="s">
        <v>52</v>
      </c>
      <c r="H33" s="25" t="s">
        <v>38</v>
      </c>
      <c r="I33" s="18"/>
      <c r="J33" s="18"/>
      <c r="K33" s="18" t="str">
        <f t="shared" si="0"/>
        <v>SEA</v>
      </c>
      <c r="L33" s="19" t="str">
        <f t="shared" si="1"/>
        <v>A</v>
      </c>
      <c r="M33" s="20" t="str">
        <f t="shared" si="2"/>
        <v>Média</v>
      </c>
      <c r="N33" s="21">
        <f t="shared" si="3"/>
        <v>5</v>
      </c>
      <c r="O33" s="22">
        <f>IF(H33="I",N33*Contagem!$U$11,IF(H33="E",N33*Contagem!$U$13,IF(H33="A",N33*Contagem!$U$12,IF(H33="T",N33*Contagem!$U$14,""))))</f>
        <v>5</v>
      </c>
      <c r="P33" s="106"/>
      <c r="Q33" s="107"/>
      <c r="R33" s="107"/>
      <c r="S33" s="107"/>
      <c r="T33" s="107"/>
    </row>
    <row r="34" spans="1:20" ht="18" customHeight="1">
      <c r="A34" s="108"/>
      <c r="B34" s="109"/>
      <c r="C34" s="109"/>
      <c r="D34" s="109"/>
      <c r="E34" s="109"/>
      <c r="F34" s="110"/>
      <c r="G34" s="18"/>
      <c r="H34" s="25"/>
      <c r="I34" s="18"/>
      <c r="J34" s="18"/>
      <c r="K34" s="18" t="str">
        <f t="shared" si="0"/>
        <v/>
      </c>
      <c r="L34" s="19" t="str">
        <f t="shared" si="1"/>
        <v/>
      </c>
      <c r="M34" s="20" t="str">
        <f t="shared" si="2"/>
        <v/>
      </c>
      <c r="N34" s="21" t="str">
        <f t="shared" si="3"/>
        <v/>
      </c>
      <c r="O34" s="22" t="str">
        <f>IF(H34="I",N34*Contagem!$U$11,IF(H34="E",N34*Contagem!$U$13,IF(H34="A",N34*Contagem!$U$12,IF(H34="T",N34*Contagem!$U$14,""))))</f>
        <v/>
      </c>
      <c r="P34" s="106"/>
      <c r="Q34" s="107"/>
      <c r="R34" s="107"/>
      <c r="S34" s="107"/>
      <c r="T34" s="107"/>
    </row>
    <row r="35" spans="1:20" ht="18" customHeight="1">
      <c r="A35" s="112" t="s">
        <v>90</v>
      </c>
      <c r="B35" s="109"/>
      <c r="C35" s="109"/>
      <c r="D35" s="109"/>
      <c r="E35" s="109"/>
      <c r="F35" s="110"/>
      <c r="G35" s="18" t="s">
        <v>35</v>
      </c>
      <c r="H35" s="25" t="s">
        <v>38</v>
      </c>
      <c r="I35" s="18"/>
      <c r="J35" s="18"/>
      <c r="K35" s="18" t="str">
        <f t="shared" si="0"/>
        <v>ALIL</v>
      </c>
      <c r="L35" s="19" t="str">
        <f t="shared" si="1"/>
        <v>L</v>
      </c>
      <c r="M35" s="20" t="str">
        <f t="shared" si="2"/>
        <v>Baixa</v>
      </c>
      <c r="N35" s="21">
        <f t="shared" si="3"/>
        <v>7</v>
      </c>
      <c r="O35" s="22">
        <f>IF(H35="I",N35*Contagem!$U$11,IF(H35="E",N35*Contagem!$U$13,IF(H35="A",N35*Contagem!$U$12,IF(H35="T",N35*Contagem!$U$14,""))))</f>
        <v>7</v>
      </c>
      <c r="P35" s="106"/>
      <c r="Q35" s="107"/>
      <c r="R35" s="107"/>
      <c r="S35" s="107"/>
      <c r="T35" s="107"/>
    </row>
    <row r="36" spans="1:20" ht="18" customHeight="1">
      <c r="A36" s="108" t="s">
        <v>91</v>
      </c>
      <c r="B36" s="109"/>
      <c r="C36" s="109"/>
      <c r="D36" s="109"/>
      <c r="E36" s="109"/>
      <c r="F36" s="110"/>
      <c r="G36" s="18" t="s">
        <v>37</v>
      </c>
      <c r="H36" s="25" t="s">
        <v>38</v>
      </c>
      <c r="I36" s="18"/>
      <c r="J36" s="18"/>
      <c r="K36" s="18" t="str">
        <f t="shared" si="0"/>
        <v>EEA</v>
      </c>
      <c r="L36" s="19" t="str">
        <f t="shared" si="1"/>
        <v>A</v>
      </c>
      <c r="M36" s="20" t="str">
        <f t="shared" si="2"/>
        <v>Média</v>
      </c>
      <c r="N36" s="21">
        <f t="shared" si="3"/>
        <v>4</v>
      </c>
      <c r="O36" s="22">
        <f>IF(H36="I",N36*Contagem!$U$11,IF(H36="E",N36*Contagem!$U$13,IF(H36="A",N36*Contagem!$U$12,IF(H36="T",N36*Contagem!$U$14,""))))</f>
        <v>4</v>
      </c>
      <c r="P36" s="106"/>
      <c r="Q36" s="107"/>
      <c r="R36" s="107"/>
      <c r="S36" s="107"/>
      <c r="T36" s="107"/>
    </row>
    <row r="37" spans="1:20" ht="18" customHeight="1">
      <c r="A37" s="108" t="s">
        <v>92</v>
      </c>
      <c r="B37" s="109"/>
      <c r="C37" s="109"/>
      <c r="D37" s="109"/>
      <c r="E37" s="109"/>
      <c r="F37" s="110"/>
      <c r="G37" s="18" t="s">
        <v>37</v>
      </c>
      <c r="H37" s="25" t="s">
        <v>38</v>
      </c>
      <c r="I37" s="18"/>
      <c r="J37" s="18"/>
      <c r="K37" s="18" t="str">
        <f t="shared" si="0"/>
        <v>EEA</v>
      </c>
      <c r="L37" s="19" t="str">
        <f t="shared" si="1"/>
        <v>A</v>
      </c>
      <c r="M37" s="20" t="str">
        <f t="shared" si="2"/>
        <v>Média</v>
      </c>
      <c r="N37" s="21">
        <f t="shared" si="3"/>
        <v>4</v>
      </c>
      <c r="O37" s="22">
        <f>IF(H37="I",N37*Contagem!$U$11,IF(H37="E",N37*Contagem!$U$13,IF(H37="A",N37*Contagem!$U$12,IF(H37="T",N37*Contagem!$U$14,""))))</f>
        <v>4</v>
      </c>
      <c r="P37" s="106"/>
      <c r="Q37" s="107"/>
      <c r="R37" s="107"/>
      <c r="S37" s="107"/>
      <c r="T37" s="107"/>
    </row>
    <row r="38" spans="1:20" ht="18" customHeight="1">
      <c r="A38" s="108" t="s">
        <v>134</v>
      </c>
      <c r="B38" s="109"/>
      <c r="C38" s="109"/>
      <c r="D38" s="109"/>
      <c r="E38" s="109"/>
      <c r="F38" s="110"/>
      <c r="G38" s="18" t="s">
        <v>37</v>
      </c>
      <c r="H38" s="25" t="s">
        <v>38</v>
      </c>
      <c r="I38" s="18"/>
      <c r="J38" s="18"/>
      <c r="K38" s="18" t="str">
        <f t="shared" si="0"/>
        <v>EEA</v>
      </c>
      <c r="L38" s="19" t="str">
        <f t="shared" si="1"/>
        <v>A</v>
      </c>
      <c r="M38" s="20" t="str">
        <f t="shared" si="2"/>
        <v>Média</v>
      </c>
      <c r="N38" s="21">
        <f t="shared" si="3"/>
        <v>4</v>
      </c>
      <c r="O38" s="22">
        <f>IF(H38="I",N38*Contagem!$U$11,IF(H38="E",N38*Contagem!$U$13,IF(H38="A",N38*Contagem!$U$12,IF(H38="T",N38*Contagem!$U$14,""))))</f>
        <v>4</v>
      </c>
      <c r="P38" s="106"/>
      <c r="Q38" s="107"/>
      <c r="R38" s="107"/>
      <c r="S38" s="107"/>
      <c r="T38" s="107"/>
    </row>
    <row r="39" spans="1:20" ht="18" customHeight="1">
      <c r="A39" s="108" t="s">
        <v>93</v>
      </c>
      <c r="B39" s="109"/>
      <c r="C39" s="109"/>
      <c r="D39" s="109"/>
      <c r="E39" s="109"/>
      <c r="F39" s="110"/>
      <c r="G39" s="18" t="s">
        <v>39</v>
      </c>
      <c r="H39" s="25" t="s">
        <v>38</v>
      </c>
      <c r="I39" s="18"/>
      <c r="J39" s="18"/>
      <c r="K39" s="18" t="str">
        <f t="shared" si="0"/>
        <v>CEA</v>
      </c>
      <c r="L39" s="19" t="str">
        <f t="shared" si="1"/>
        <v>A</v>
      </c>
      <c r="M39" s="20" t="str">
        <f t="shared" si="2"/>
        <v>Média</v>
      </c>
      <c r="N39" s="21">
        <f t="shared" si="3"/>
        <v>4</v>
      </c>
      <c r="O39" s="22">
        <f>IF(H39="I",N39*Contagem!$U$11,IF(H39="E",N39*Contagem!$U$13,IF(H39="A",N39*Contagem!$U$12,IF(H39="T",N39*Contagem!$U$14,""))))</f>
        <v>4</v>
      </c>
      <c r="P39" s="106"/>
      <c r="Q39" s="107"/>
      <c r="R39" s="107"/>
      <c r="S39" s="107"/>
      <c r="T39" s="107"/>
    </row>
    <row r="40" spans="1:20" ht="18" customHeight="1">
      <c r="A40" s="108" t="s">
        <v>136</v>
      </c>
      <c r="B40" s="109"/>
      <c r="C40" s="109"/>
      <c r="D40" s="109"/>
      <c r="E40" s="109"/>
      <c r="F40" s="110"/>
      <c r="G40" s="18" t="s">
        <v>52</v>
      </c>
      <c r="H40" s="25" t="s">
        <v>38</v>
      </c>
      <c r="I40" s="18"/>
      <c r="J40" s="18"/>
      <c r="K40" s="18" t="str">
        <f t="shared" ref="K40" si="14">CONCATENATE(G40,L40)</f>
        <v>SEA</v>
      </c>
      <c r="L40" s="19" t="str">
        <f t="shared" ref="L40" si="15">IF(OR(ISBLANK(I40),ISBLANK(J40)),IF(OR(G40="ALI",G40="AIE"),"L",IF(ISBLANK(G40),"","A")),IF(G40="EE",IF(J40&gt;=3,IF(I40&gt;=5,"H","A"),IF(J40&gt;=2,IF(I40&gt;=16,"H",IF(I40&lt;=4,"L","A")),IF(I40&lt;=15,"L","A"))),IF(OR(G40="SE",G40="CE"),IF(J40&gt;=4,IF(I40&gt;=6,"H","A"),IF(J40&gt;=2,IF(I40&gt;=20,"H",IF(I40&lt;=5,"L","A")),IF(I40&lt;=19,"L","A"))),IF(OR(G40="ALI",G40="AIE"),IF(J40&gt;=6,IF(I40&gt;=20,"H","A"),IF(J40&gt;=2,IF(I40&gt;=51,"H",IF(I40&lt;=19,"L","A")),IF(I40&lt;=50,"L","A")))))))</f>
        <v>A</v>
      </c>
      <c r="M40" s="20" t="str">
        <f t="shared" ref="M40" si="16">IF(L40="L","Baixa",IF(L40="A","Média",IF(L40="","","Alta")))</f>
        <v>Média</v>
      </c>
      <c r="N40" s="21">
        <f t="shared" ref="N40" si="17">IF(ISBLANK(G40),"",IF(G40="ALI",IF(L40="L",7,IF(L40="A",10,15)),IF(G40="AIE",IF(L40="L",5,IF(L40="A",7,10)),IF(G40="SE",IF(L40="L",4,IF(L40="A",5,7)),IF(OR(G40="EE",G40="CE"),IF(L40="L",3,IF(L40="A",4,6)))))))</f>
        <v>5</v>
      </c>
      <c r="O40" s="22">
        <f>IF(H40="I",N40*Contagem!$U$11,IF(H40="E",N40*Contagem!$U$13,IF(H40="A",N40*Contagem!$U$12,IF(H40="T",N40*Contagem!$U$14,""))))</f>
        <v>5</v>
      </c>
      <c r="P40" s="106"/>
      <c r="Q40" s="107"/>
      <c r="R40" s="107"/>
      <c r="S40" s="107"/>
      <c r="T40" s="107"/>
    </row>
    <row r="41" spans="1:20" ht="18" customHeight="1">
      <c r="A41" s="108" t="s">
        <v>94</v>
      </c>
      <c r="B41" s="109"/>
      <c r="C41" s="109"/>
      <c r="D41" s="109"/>
      <c r="E41" s="109"/>
      <c r="F41" s="110"/>
      <c r="G41" s="18" t="s">
        <v>37</v>
      </c>
      <c r="H41" s="25" t="s">
        <v>38</v>
      </c>
      <c r="I41" s="18"/>
      <c r="J41" s="18"/>
      <c r="K41" s="18" t="str">
        <f t="shared" si="0"/>
        <v>EEA</v>
      </c>
      <c r="L41" s="19" t="str">
        <f t="shared" si="1"/>
        <v>A</v>
      </c>
      <c r="M41" s="20" t="str">
        <f t="shared" si="2"/>
        <v>Média</v>
      </c>
      <c r="N41" s="21">
        <f t="shared" si="3"/>
        <v>4</v>
      </c>
      <c r="O41" s="22">
        <f>IF(H41="I",N41*Contagem!$U$11,IF(H41="E",N41*Contagem!$U$13,IF(H41="A",N41*Contagem!$U$12,IF(H41="T",N41*Contagem!$U$14,""))))</f>
        <v>4</v>
      </c>
      <c r="P41" s="106"/>
      <c r="Q41" s="107"/>
      <c r="R41" s="107"/>
      <c r="S41" s="107"/>
      <c r="T41" s="107"/>
    </row>
    <row r="42" spans="1:20" ht="18" customHeight="1">
      <c r="A42" s="108"/>
      <c r="B42" s="109"/>
      <c r="C42" s="109"/>
      <c r="D42" s="109"/>
      <c r="E42" s="109"/>
      <c r="F42" s="110"/>
      <c r="G42" s="18"/>
      <c r="H42" s="25"/>
      <c r="I42" s="18"/>
      <c r="J42" s="18"/>
      <c r="K42" s="18" t="str">
        <f t="shared" si="0"/>
        <v/>
      </c>
      <c r="L42" s="19" t="str">
        <f t="shared" si="1"/>
        <v/>
      </c>
      <c r="M42" s="20" t="str">
        <f t="shared" si="2"/>
        <v/>
      </c>
      <c r="N42" s="21" t="str">
        <f t="shared" si="3"/>
        <v/>
      </c>
      <c r="O42" s="22" t="str">
        <f>IF(H42="I",N42*Contagem!$U$11,IF(H42="E",N42*Contagem!$U$13,IF(H42="A",N42*Contagem!$U$12,IF(H42="T",N42*Contagem!$U$14,""))))</f>
        <v/>
      </c>
      <c r="P42" s="106"/>
      <c r="Q42" s="107"/>
      <c r="R42" s="107"/>
      <c r="S42" s="107"/>
      <c r="T42" s="107"/>
    </row>
    <row r="43" spans="1:20" ht="18" customHeight="1">
      <c r="A43" s="112" t="s">
        <v>95</v>
      </c>
      <c r="B43" s="109"/>
      <c r="C43" s="109"/>
      <c r="D43" s="109"/>
      <c r="E43" s="109"/>
      <c r="F43" s="110"/>
      <c r="G43" s="18" t="s">
        <v>35</v>
      </c>
      <c r="H43" s="25" t="s">
        <v>36</v>
      </c>
      <c r="I43" s="18"/>
      <c r="J43" s="18"/>
      <c r="K43" s="18" t="str">
        <f t="shared" si="0"/>
        <v>ALIL</v>
      </c>
      <c r="L43" s="19" t="str">
        <f t="shared" si="1"/>
        <v>L</v>
      </c>
      <c r="M43" s="20" t="str">
        <f t="shared" si="2"/>
        <v>Baixa</v>
      </c>
      <c r="N43" s="21">
        <f t="shared" si="3"/>
        <v>7</v>
      </c>
      <c r="O43" s="22">
        <f>IF(H43="I",N43*Contagem!$U$11,IF(H43="E",N43*Contagem!$U$13,IF(H43="A",N43*Contagem!$U$12,IF(H43="T",N43*Contagem!$U$14,""))))</f>
        <v>7</v>
      </c>
      <c r="P43" s="106"/>
      <c r="Q43" s="107"/>
      <c r="R43" s="107"/>
      <c r="S43" s="107"/>
      <c r="T43" s="107"/>
    </row>
    <row r="44" spans="1:20" ht="18" customHeight="1">
      <c r="A44" s="108" t="s">
        <v>96</v>
      </c>
      <c r="B44" s="109"/>
      <c r="C44" s="109"/>
      <c r="D44" s="109"/>
      <c r="E44" s="109"/>
      <c r="F44" s="110"/>
      <c r="G44" s="18" t="s">
        <v>37</v>
      </c>
      <c r="H44" s="25" t="s">
        <v>38</v>
      </c>
      <c r="I44" s="18"/>
      <c r="J44" s="18"/>
      <c r="K44" s="18" t="str">
        <f t="shared" si="0"/>
        <v>EEA</v>
      </c>
      <c r="L44" s="19" t="str">
        <f t="shared" si="1"/>
        <v>A</v>
      </c>
      <c r="M44" s="20" t="str">
        <f t="shared" si="2"/>
        <v>Média</v>
      </c>
      <c r="N44" s="21">
        <f t="shared" si="3"/>
        <v>4</v>
      </c>
      <c r="O44" s="22">
        <f>IF(H44="I",N44*Contagem!$U$11,IF(H44="E",N44*Contagem!$U$13,IF(H44="A",N44*Contagem!$U$12,IF(H44="T",N44*Contagem!$U$14,""))))</f>
        <v>4</v>
      </c>
      <c r="P44" s="106"/>
      <c r="Q44" s="107"/>
      <c r="R44" s="107"/>
      <c r="S44" s="107"/>
      <c r="T44" s="107"/>
    </row>
    <row r="45" spans="1:20" ht="18" customHeight="1">
      <c r="A45" s="108" t="s">
        <v>97</v>
      </c>
      <c r="B45" s="109"/>
      <c r="C45" s="109"/>
      <c r="D45" s="109"/>
      <c r="E45" s="109"/>
      <c r="F45" s="110"/>
      <c r="G45" s="18" t="s">
        <v>37</v>
      </c>
      <c r="H45" s="25" t="s">
        <v>38</v>
      </c>
      <c r="I45" s="18"/>
      <c r="J45" s="18"/>
      <c r="K45" s="18" t="str">
        <f t="shared" si="0"/>
        <v>EEA</v>
      </c>
      <c r="L45" s="19" t="str">
        <f t="shared" si="1"/>
        <v>A</v>
      </c>
      <c r="M45" s="20" t="str">
        <f t="shared" si="2"/>
        <v>Média</v>
      </c>
      <c r="N45" s="21">
        <f t="shared" si="3"/>
        <v>4</v>
      </c>
      <c r="O45" s="22">
        <f>IF(H45="I",N45*Contagem!$U$11,IF(H45="E",N45*Contagem!$U$13,IF(H45="A",N45*Contagem!$U$12,IF(H45="T",N45*Contagem!$U$14,""))))</f>
        <v>4</v>
      </c>
      <c r="P45" s="106"/>
      <c r="Q45" s="107"/>
      <c r="R45" s="107"/>
      <c r="S45" s="107"/>
      <c r="T45" s="107"/>
    </row>
    <row r="46" spans="1:20" ht="18" customHeight="1">
      <c r="A46" s="108" t="s">
        <v>98</v>
      </c>
      <c r="B46" s="109"/>
      <c r="C46" s="109"/>
      <c r="D46" s="109"/>
      <c r="E46" s="109"/>
      <c r="F46" s="110"/>
      <c r="G46" s="18" t="s">
        <v>37</v>
      </c>
      <c r="H46" s="25" t="s">
        <v>38</v>
      </c>
      <c r="I46" s="18"/>
      <c r="J46" s="18"/>
      <c r="K46" s="18" t="str">
        <f t="shared" si="0"/>
        <v>EEA</v>
      </c>
      <c r="L46" s="19" t="str">
        <f t="shared" si="1"/>
        <v>A</v>
      </c>
      <c r="M46" s="20" t="str">
        <f t="shared" si="2"/>
        <v>Média</v>
      </c>
      <c r="N46" s="21">
        <f t="shared" si="3"/>
        <v>4</v>
      </c>
      <c r="O46" s="22">
        <f>IF(H46="I",N46*Contagem!$U$11,IF(H46="E",N46*Contagem!$U$13,IF(H46="A",N46*Contagem!$U$12,IF(H46="T",N46*Contagem!$U$14,""))))</f>
        <v>4</v>
      </c>
      <c r="P46" s="106"/>
      <c r="Q46" s="107"/>
      <c r="R46" s="107"/>
      <c r="S46" s="107"/>
      <c r="T46" s="107"/>
    </row>
    <row r="47" spans="1:20" ht="18" customHeight="1">
      <c r="A47" s="108" t="s">
        <v>99</v>
      </c>
      <c r="B47" s="109"/>
      <c r="C47" s="109"/>
      <c r="D47" s="109"/>
      <c r="E47" s="109"/>
      <c r="F47" s="110"/>
      <c r="G47" s="18" t="s">
        <v>39</v>
      </c>
      <c r="H47" s="25" t="s">
        <v>38</v>
      </c>
      <c r="I47" s="18"/>
      <c r="J47" s="18"/>
      <c r="K47" s="18" t="str">
        <f t="shared" si="0"/>
        <v>CEA</v>
      </c>
      <c r="L47" s="19" t="str">
        <f t="shared" si="1"/>
        <v>A</v>
      </c>
      <c r="M47" s="20" t="str">
        <f t="shared" si="2"/>
        <v>Média</v>
      </c>
      <c r="N47" s="21">
        <f t="shared" si="3"/>
        <v>4</v>
      </c>
      <c r="O47" s="22">
        <f>IF(H47="I",N47*Contagem!$U$11,IF(H47="E",N47*Contagem!$U$13,IF(H47="A",N47*Contagem!$U$12,IF(H47="T",N47*Contagem!$U$14,""))))</f>
        <v>4</v>
      </c>
      <c r="P47" s="106"/>
      <c r="Q47" s="107"/>
      <c r="R47" s="107"/>
      <c r="S47" s="107"/>
      <c r="T47" s="107"/>
    </row>
    <row r="48" spans="1:20" ht="18" customHeight="1">
      <c r="A48" s="108" t="s">
        <v>132</v>
      </c>
      <c r="B48" s="109"/>
      <c r="C48" s="109"/>
      <c r="D48" s="109"/>
      <c r="E48" s="109"/>
      <c r="F48" s="110"/>
      <c r="G48" s="18" t="s">
        <v>52</v>
      </c>
      <c r="H48" s="25" t="s">
        <v>38</v>
      </c>
      <c r="I48" s="18"/>
      <c r="J48" s="18"/>
      <c r="K48" s="18" t="str">
        <f t="shared" ref="K48" si="18">CONCATENATE(G48,L48)</f>
        <v>SEA</v>
      </c>
      <c r="L48" s="19" t="str">
        <f t="shared" ref="L48" si="19">IF(OR(ISBLANK(I48),ISBLANK(J48)),IF(OR(G48="ALI",G48="AIE"),"L",IF(ISBLANK(G48),"","A")),IF(G48="EE",IF(J48&gt;=3,IF(I48&gt;=5,"H","A"),IF(J48&gt;=2,IF(I48&gt;=16,"H",IF(I48&lt;=4,"L","A")),IF(I48&lt;=15,"L","A"))),IF(OR(G48="SE",G48="CE"),IF(J48&gt;=4,IF(I48&gt;=6,"H","A"),IF(J48&gt;=2,IF(I48&gt;=20,"H",IF(I48&lt;=5,"L","A")),IF(I48&lt;=19,"L","A"))),IF(OR(G48="ALI",G48="AIE"),IF(J48&gt;=6,IF(I48&gt;=20,"H","A"),IF(J48&gt;=2,IF(I48&gt;=51,"H",IF(I48&lt;=19,"L","A")),IF(I48&lt;=50,"L","A")))))))</f>
        <v>A</v>
      </c>
      <c r="M48" s="20" t="str">
        <f t="shared" ref="M48" si="20">IF(L48="L","Baixa",IF(L48="A","Média",IF(L48="","","Alta")))</f>
        <v>Média</v>
      </c>
      <c r="N48" s="21">
        <f t="shared" ref="N48" si="21">IF(ISBLANK(G48),"",IF(G48="ALI",IF(L48="L",7,IF(L48="A",10,15)),IF(G48="AIE",IF(L48="L",5,IF(L48="A",7,10)),IF(G48="SE",IF(L48="L",4,IF(L48="A",5,7)),IF(OR(G48="EE",G48="CE"),IF(L48="L",3,IF(L48="A",4,6)))))))</f>
        <v>5</v>
      </c>
      <c r="O48" s="22">
        <f>IF(H48="I",N48*Contagem!$U$11,IF(H48="E",N48*Contagem!$U$13,IF(H48="A",N48*Contagem!$U$12,IF(H48="T",N48*Contagem!$U$14,""))))</f>
        <v>5</v>
      </c>
      <c r="P48" s="106"/>
      <c r="Q48" s="107"/>
      <c r="R48" s="107"/>
      <c r="S48" s="107"/>
      <c r="T48" s="107"/>
    </row>
    <row r="49" spans="1:20" ht="18" customHeight="1">
      <c r="A49" s="108" t="s">
        <v>100</v>
      </c>
      <c r="B49" s="109"/>
      <c r="C49" s="109"/>
      <c r="D49" s="109"/>
      <c r="E49" s="109"/>
      <c r="F49" s="110"/>
      <c r="G49" s="18" t="s">
        <v>37</v>
      </c>
      <c r="H49" s="25" t="s">
        <v>38</v>
      </c>
      <c r="I49" s="18"/>
      <c r="J49" s="18"/>
      <c r="K49" s="18" t="str">
        <f t="shared" si="0"/>
        <v>EEA</v>
      </c>
      <c r="L49" s="19" t="str">
        <f t="shared" si="1"/>
        <v>A</v>
      </c>
      <c r="M49" s="20" t="str">
        <f t="shared" si="2"/>
        <v>Média</v>
      </c>
      <c r="N49" s="21">
        <f t="shared" si="3"/>
        <v>4</v>
      </c>
      <c r="O49" s="22">
        <f>IF(H49="I",N49*Contagem!$U$11,IF(H49="E",N49*Contagem!$U$13,IF(H49="A",N49*Contagem!$U$12,IF(H49="T",N49*Contagem!$U$14,""))))</f>
        <v>4</v>
      </c>
      <c r="P49" s="106"/>
      <c r="Q49" s="107"/>
      <c r="R49" s="107"/>
      <c r="S49" s="107"/>
      <c r="T49" s="107"/>
    </row>
    <row r="50" spans="1:20" ht="18" customHeight="1">
      <c r="A50" s="108"/>
      <c r="B50" s="109"/>
      <c r="C50" s="109"/>
      <c r="D50" s="109"/>
      <c r="E50" s="109"/>
      <c r="F50" s="110"/>
      <c r="G50" s="18"/>
      <c r="H50" s="25"/>
      <c r="I50" s="18"/>
      <c r="J50" s="18"/>
      <c r="K50" s="18" t="str">
        <f t="shared" si="0"/>
        <v/>
      </c>
      <c r="L50" s="19" t="str">
        <f t="shared" si="1"/>
        <v/>
      </c>
      <c r="M50" s="20" t="str">
        <f t="shared" si="2"/>
        <v/>
      </c>
      <c r="N50" s="21" t="str">
        <f t="shared" si="3"/>
        <v/>
      </c>
      <c r="O50" s="22" t="str">
        <f>IF(H50="I",N50*Contagem!$U$11,IF(H50="E",N50*Contagem!$U$13,IF(H50="A",N50*Contagem!$U$12,IF(H50="T",N50*Contagem!$U$14,""))))</f>
        <v/>
      </c>
      <c r="P50" s="106"/>
      <c r="Q50" s="107"/>
      <c r="R50" s="107"/>
      <c r="S50" s="107"/>
      <c r="T50" s="107"/>
    </row>
    <row r="51" spans="1:20" ht="18" customHeight="1">
      <c r="A51" s="112" t="s">
        <v>101</v>
      </c>
      <c r="B51" s="121"/>
      <c r="C51" s="121"/>
      <c r="D51" s="121"/>
      <c r="E51" s="121"/>
      <c r="F51" s="122"/>
      <c r="G51" s="18" t="s">
        <v>35</v>
      </c>
      <c r="H51" s="25" t="s">
        <v>36</v>
      </c>
      <c r="I51" s="18"/>
      <c r="J51" s="18"/>
      <c r="K51" s="18" t="str">
        <f t="shared" si="0"/>
        <v>ALIL</v>
      </c>
      <c r="L51" s="19" t="str">
        <f t="shared" si="1"/>
        <v>L</v>
      </c>
      <c r="M51" s="20" t="str">
        <f t="shared" si="2"/>
        <v>Baixa</v>
      </c>
      <c r="N51" s="21">
        <f t="shared" si="3"/>
        <v>7</v>
      </c>
      <c r="O51" s="22">
        <f>IF(H51="I",N51*Contagem!$U$11,IF(H51="E",N51*Contagem!$U$13,IF(H51="A",N51*Contagem!$U$12,IF(H51="T",N51*Contagem!$U$14,""))))</f>
        <v>7</v>
      </c>
      <c r="P51" s="106"/>
      <c r="Q51" s="107"/>
      <c r="R51" s="107"/>
      <c r="S51" s="107"/>
      <c r="T51" s="107"/>
    </row>
    <row r="52" spans="1:20" ht="18" customHeight="1">
      <c r="A52" s="108" t="s">
        <v>102</v>
      </c>
      <c r="B52" s="109"/>
      <c r="C52" s="109"/>
      <c r="D52" s="109"/>
      <c r="E52" s="109"/>
      <c r="F52" s="110"/>
      <c r="G52" s="18" t="s">
        <v>37</v>
      </c>
      <c r="H52" s="25" t="s">
        <v>38</v>
      </c>
      <c r="I52" s="18"/>
      <c r="J52" s="18"/>
      <c r="K52" s="18" t="str">
        <f t="shared" si="0"/>
        <v>EEA</v>
      </c>
      <c r="L52" s="19" t="str">
        <f t="shared" si="1"/>
        <v>A</v>
      </c>
      <c r="M52" s="20" t="str">
        <f t="shared" si="2"/>
        <v>Média</v>
      </c>
      <c r="N52" s="21">
        <f t="shared" si="3"/>
        <v>4</v>
      </c>
      <c r="O52" s="22">
        <f>IF(H52="I",N52*Contagem!$U$11,IF(H52="E",N52*Contagem!$U$13,IF(H52="A",N52*Contagem!$U$12,IF(H52="T",N52*Contagem!$U$14,""))))</f>
        <v>4</v>
      </c>
      <c r="P52" s="106"/>
      <c r="Q52" s="107"/>
      <c r="R52" s="107"/>
      <c r="S52" s="107"/>
      <c r="T52" s="107"/>
    </row>
    <row r="53" spans="1:20" ht="18" customHeight="1">
      <c r="A53" s="108" t="s">
        <v>103</v>
      </c>
      <c r="B53" s="109"/>
      <c r="C53" s="109"/>
      <c r="D53" s="109"/>
      <c r="E53" s="109"/>
      <c r="F53" s="110"/>
      <c r="G53" s="18" t="s">
        <v>37</v>
      </c>
      <c r="H53" s="25" t="s">
        <v>38</v>
      </c>
      <c r="I53" s="18"/>
      <c r="J53" s="18"/>
      <c r="K53" s="18" t="str">
        <f t="shared" si="0"/>
        <v>EEA</v>
      </c>
      <c r="L53" s="19" t="str">
        <f t="shared" si="1"/>
        <v>A</v>
      </c>
      <c r="M53" s="20" t="str">
        <f t="shared" si="2"/>
        <v>Média</v>
      </c>
      <c r="N53" s="21">
        <f t="shared" si="3"/>
        <v>4</v>
      </c>
      <c r="O53" s="22">
        <f>IF(H53="I",N53*Contagem!$U$11,IF(H53="E",N53*Contagem!$U$13,IF(H53="A",N53*Contagem!$U$12,IF(H53="T",N53*Contagem!$U$14,""))))</f>
        <v>4</v>
      </c>
      <c r="P53" s="106"/>
      <c r="Q53" s="107"/>
      <c r="R53" s="107"/>
      <c r="S53" s="107"/>
      <c r="T53" s="107"/>
    </row>
    <row r="54" spans="1:20" ht="18" customHeight="1">
      <c r="A54" s="108" t="s">
        <v>104</v>
      </c>
      <c r="B54" s="109"/>
      <c r="C54" s="109"/>
      <c r="D54" s="109"/>
      <c r="E54" s="109"/>
      <c r="F54" s="110"/>
      <c r="G54" s="18" t="s">
        <v>37</v>
      </c>
      <c r="H54" s="25" t="s">
        <v>38</v>
      </c>
      <c r="I54" s="18"/>
      <c r="J54" s="18"/>
      <c r="K54" s="18" t="str">
        <f t="shared" si="0"/>
        <v>EEA</v>
      </c>
      <c r="L54" s="19" t="str">
        <f t="shared" si="1"/>
        <v>A</v>
      </c>
      <c r="M54" s="20" t="str">
        <f t="shared" si="2"/>
        <v>Média</v>
      </c>
      <c r="N54" s="21">
        <f t="shared" si="3"/>
        <v>4</v>
      </c>
      <c r="O54" s="22">
        <f>IF(H54="I",N54*Contagem!$U$11,IF(H54="E",N54*Contagem!$U$13,IF(H54="A",N54*Contagem!$U$12,IF(H54="T",N54*Contagem!$U$14,""))))</f>
        <v>4</v>
      </c>
      <c r="P54" s="106"/>
      <c r="Q54" s="107"/>
      <c r="R54" s="107"/>
      <c r="S54" s="107"/>
      <c r="T54" s="107"/>
    </row>
    <row r="55" spans="1:20" ht="18" customHeight="1">
      <c r="A55" s="108" t="s">
        <v>105</v>
      </c>
      <c r="B55" s="109"/>
      <c r="C55" s="109"/>
      <c r="D55" s="109"/>
      <c r="E55" s="109"/>
      <c r="F55" s="110"/>
      <c r="G55" s="18" t="s">
        <v>39</v>
      </c>
      <c r="H55" s="25" t="s">
        <v>38</v>
      </c>
      <c r="I55" s="18"/>
      <c r="J55" s="18"/>
      <c r="K55" s="18" t="str">
        <f t="shared" si="0"/>
        <v>CEA</v>
      </c>
      <c r="L55" s="19" t="str">
        <f t="shared" si="1"/>
        <v>A</v>
      </c>
      <c r="M55" s="20" t="str">
        <f t="shared" si="2"/>
        <v>Média</v>
      </c>
      <c r="N55" s="21">
        <f t="shared" si="3"/>
        <v>4</v>
      </c>
      <c r="O55" s="22">
        <f>IF(H55="I",N55*Contagem!$U$11,IF(H55="E",N55*Contagem!$U$13,IF(H55="A",N55*Contagem!$U$12,IF(H55="T",N55*Contagem!$U$14,""))))</f>
        <v>4</v>
      </c>
      <c r="P55" s="106"/>
      <c r="Q55" s="107"/>
      <c r="R55" s="107"/>
      <c r="S55" s="107"/>
      <c r="T55" s="107"/>
    </row>
    <row r="56" spans="1:20" ht="18" customHeight="1">
      <c r="A56" s="108" t="s">
        <v>117</v>
      </c>
      <c r="B56" s="109"/>
      <c r="C56" s="109"/>
      <c r="D56" s="109"/>
      <c r="E56" s="109"/>
      <c r="F56" s="110"/>
      <c r="G56" s="18" t="s">
        <v>57</v>
      </c>
      <c r="H56" s="18" t="s">
        <v>38</v>
      </c>
      <c r="I56" s="18"/>
      <c r="J56" s="18"/>
      <c r="K56" s="18" t="str">
        <f t="shared" ref="K56" si="22">CONCATENATE(G56,L56)</f>
        <v>AIEL</v>
      </c>
      <c r="L56" s="19" t="str">
        <f t="shared" ref="L56" si="23">IF(OR(ISBLANK(I56),ISBLANK(J56)),IF(OR(G56="ALI",G56="AIE"),"L",IF(ISBLANK(G56),"","A")),IF(G56="EE",IF(J56&gt;=3,IF(I56&gt;=5,"H","A"),IF(J56&gt;=2,IF(I56&gt;=16,"H",IF(I56&lt;=4,"L","A")),IF(I56&lt;=15,"L","A"))),IF(OR(G56="SE",G56="CE"),IF(J56&gt;=4,IF(I56&gt;=6,"H","A"),IF(J56&gt;=2,IF(I56&gt;=20,"H",IF(I56&lt;=5,"L","A")),IF(I56&lt;=19,"L","A"))),IF(OR(G56="ALI",G56="AIE"),IF(J56&gt;=6,IF(I56&gt;=20,"H","A"),IF(J56&gt;=2,IF(I56&gt;=51,"H",IF(I56&lt;=19,"L","A")),IF(I56&lt;=50,"L","A")))))))</f>
        <v>L</v>
      </c>
      <c r="M56" s="20" t="str">
        <f t="shared" ref="M56" si="24">IF(L56="L","Baixa",IF(L56="A","Média",IF(L56="","","Alta")))</f>
        <v>Baixa</v>
      </c>
      <c r="N56" s="21">
        <f t="shared" ref="N56" si="25">IF(ISBLANK(G56),"",IF(G56="ALI",IF(L56="L",7,IF(L56="A",10,15)),IF(G56="AIE",IF(L56="L",5,IF(L56="A",7,10)),IF(G56="SE",IF(L56="L",4,IF(L56="A",5,7)),IF(OR(G56="EE",G56="CE"),IF(L56="L",3,IF(L56="A",4,6)))))))</f>
        <v>5</v>
      </c>
      <c r="O56" s="22">
        <f>IF(H56="I",N56*Contagem!$U$11,IF(H56="E",N56*Contagem!$U$13,IF(H56="A",N56*Contagem!$U$12,IF(H56="T",N56*Contagem!$U$14,""))))</f>
        <v>5</v>
      </c>
      <c r="P56" s="106"/>
      <c r="Q56" s="107"/>
      <c r="R56" s="107"/>
      <c r="S56" s="107"/>
      <c r="T56" s="107"/>
    </row>
    <row r="57" spans="1:20" ht="18" customHeight="1">
      <c r="A57" s="108" t="s">
        <v>106</v>
      </c>
      <c r="B57" s="109"/>
      <c r="C57" s="109"/>
      <c r="D57" s="109"/>
      <c r="E57" s="109"/>
      <c r="F57" s="110"/>
      <c r="G57" s="18" t="s">
        <v>37</v>
      </c>
      <c r="H57" s="25" t="s">
        <v>38</v>
      </c>
      <c r="I57" s="18"/>
      <c r="J57" s="18"/>
      <c r="K57" s="18" t="str">
        <f t="shared" si="0"/>
        <v>EEA</v>
      </c>
      <c r="L57" s="19" t="str">
        <f t="shared" si="1"/>
        <v>A</v>
      </c>
      <c r="M57" s="20" t="str">
        <f t="shared" si="2"/>
        <v>Média</v>
      </c>
      <c r="N57" s="21">
        <f t="shared" si="3"/>
        <v>4</v>
      </c>
      <c r="O57" s="22">
        <f>IF(H57="I",N57*Contagem!$U$11,IF(H57="E",N57*Contagem!$U$13,IF(H57="A",N57*Contagem!$U$12,IF(H57="T",N57*Contagem!$U$14,""))))</f>
        <v>4</v>
      </c>
      <c r="P57" s="106"/>
      <c r="Q57" s="107"/>
      <c r="R57" s="107"/>
      <c r="S57" s="107"/>
      <c r="T57" s="107"/>
    </row>
    <row r="58" spans="1:20" ht="18" customHeight="1">
      <c r="A58" s="108" t="s">
        <v>137</v>
      </c>
      <c r="B58" s="109"/>
      <c r="C58" s="109"/>
      <c r="D58" s="109"/>
      <c r="E58" s="109"/>
      <c r="F58" s="110"/>
      <c r="G58" s="18" t="s">
        <v>52</v>
      </c>
      <c r="H58" s="25" t="s">
        <v>38</v>
      </c>
      <c r="I58" s="18"/>
      <c r="J58" s="18"/>
      <c r="K58" s="18" t="str">
        <f t="shared" si="0"/>
        <v>SEA</v>
      </c>
      <c r="L58" s="19" t="str">
        <f t="shared" si="1"/>
        <v>A</v>
      </c>
      <c r="M58" s="20" t="str">
        <f t="shared" si="2"/>
        <v>Média</v>
      </c>
      <c r="N58" s="21">
        <f t="shared" si="3"/>
        <v>5</v>
      </c>
      <c r="O58" s="22">
        <f>IF(H58="I",N58*Contagem!$U$11,IF(H58="E",N58*Contagem!$U$13,IF(H58="A",N58*Contagem!$U$12,IF(H58="T",N58*Contagem!$U$14,""))))</f>
        <v>5</v>
      </c>
      <c r="P58" s="106"/>
      <c r="Q58" s="107"/>
      <c r="R58" s="107"/>
      <c r="S58" s="107"/>
      <c r="T58" s="107"/>
    </row>
    <row r="59" spans="1:20" ht="18" customHeight="1">
      <c r="A59" s="108"/>
      <c r="B59" s="109"/>
      <c r="C59" s="109"/>
      <c r="D59" s="109"/>
      <c r="E59" s="109"/>
      <c r="F59" s="110"/>
      <c r="G59" s="18"/>
      <c r="H59" s="25"/>
      <c r="I59" s="18"/>
      <c r="J59" s="18"/>
      <c r="K59" s="18" t="str">
        <f t="shared" si="0"/>
        <v/>
      </c>
      <c r="L59" s="19" t="str">
        <f t="shared" si="1"/>
        <v/>
      </c>
      <c r="M59" s="20" t="str">
        <f t="shared" si="2"/>
        <v/>
      </c>
      <c r="N59" s="21" t="str">
        <f t="shared" si="3"/>
        <v/>
      </c>
      <c r="O59" s="22" t="str">
        <f>IF(H59="I",N59*Contagem!$U$11,IF(H59="E",N59*Contagem!$U$13,IF(H59="A",N59*Contagem!$U$12,IF(H59="T",N59*Contagem!$U$14,""))))</f>
        <v/>
      </c>
      <c r="P59" s="106"/>
      <c r="Q59" s="107"/>
      <c r="R59" s="107"/>
      <c r="S59" s="107"/>
      <c r="T59" s="107"/>
    </row>
    <row r="60" spans="1:20" ht="18" customHeight="1">
      <c r="A60" s="112" t="s">
        <v>107</v>
      </c>
      <c r="B60" s="121"/>
      <c r="C60" s="121"/>
      <c r="D60" s="121"/>
      <c r="E60" s="121"/>
      <c r="F60" s="122"/>
      <c r="G60" s="18" t="s">
        <v>35</v>
      </c>
      <c r="H60" s="25" t="s">
        <v>36</v>
      </c>
      <c r="I60" s="18"/>
      <c r="J60" s="18"/>
      <c r="K60" s="18" t="str">
        <f t="shared" si="0"/>
        <v>ALIL</v>
      </c>
      <c r="L60" s="19" t="str">
        <f t="shared" si="1"/>
        <v>L</v>
      </c>
      <c r="M60" s="20" t="str">
        <f t="shared" si="2"/>
        <v>Baixa</v>
      </c>
      <c r="N60" s="21">
        <f t="shared" si="3"/>
        <v>7</v>
      </c>
      <c r="O60" s="22">
        <f>IF(H60="I",N60*Contagem!$U$11,IF(H60="E",N60*Contagem!$U$13,IF(H60="A",N60*Contagem!$U$12,IF(H60="T",N60*Contagem!$U$14,""))))</f>
        <v>7</v>
      </c>
      <c r="P60" s="106"/>
      <c r="Q60" s="107"/>
      <c r="R60" s="107"/>
      <c r="S60" s="107"/>
      <c r="T60" s="107"/>
    </row>
    <row r="61" spans="1:20" ht="18" customHeight="1">
      <c r="A61" s="108" t="s">
        <v>108</v>
      </c>
      <c r="B61" s="109"/>
      <c r="C61" s="109"/>
      <c r="D61" s="109"/>
      <c r="E61" s="109"/>
      <c r="F61" s="110"/>
      <c r="G61" s="18" t="s">
        <v>37</v>
      </c>
      <c r="H61" s="25" t="s">
        <v>38</v>
      </c>
      <c r="I61" s="18"/>
      <c r="J61" s="18"/>
      <c r="K61" s="18" t="str">
        <f t="shared" si="0"/>
        <v>EEA</v>
      </c>
      <c r="L61" s="19" t="str">
        <f t="shared" si="1"/>
        <v>A</v>
      </c>
      <c r="M61" s="20" t="str">
        <f t="shared" si="2"/>
        <v>Média</v>
      </c>
      <c r="N61" s="21">
        <f t="shared" si="3"/>
        <v>4</v>
      </c>
      <c r="O61" s="22">
        <f>IF(H61="I",N61*Contagem!$U$11,IF(H61="E",N61*Contagem!$U$13,IF(H61="A",N61*Contagem!$U$12,IF(H61="T",N61*Contagem!$U$14,""))))</f>
        <v>4</v>
      </c>
      <c r="P61" s="106"/>
      <c r="Q61" s="107"/>
      <c r="R61" s="107"/>
      <c r="S61" s="107"/>
      <c r="T61" s="107"/>
    </row>
    <row r="62" spans="1:20" ht="18" customHeight="1">
      <c r="A62" s="108" t="s">
        <v>109</v>
      </c>
      <c r="B62" s="109"/>
      <c r="C62" s="109"/>
      <c r="D62" s="109"/>
      <c r="E62" s="109"/>
      <c r="F62" s="110"/>
      <c r="G62" s="18" t="s">
        <v>37</v>
      </c>
      <c r="H62" s="25" t="s">
        <v>38</v>
      </c>
      <c r="I62" s="18"/>
      <c r="J62" s="18"/>
      <c r="K62" s="18" t="str">
        <f t="shared" si="0"/>
        <v>EEA</v>
      </c>
      <c r="L62" s="19" t="str">
        <f t="shared" si="1"/>
        <v>A</v>
      </c>
      <c r="M62" s="20" t="str">
        <f t="shared" si="2"/>
        <v>Média</v>
      </c>
      <c r="N62" s="21">
        <f t="shared" si="3"/>
        <v>4</v>
      </c>
      <c r="O62" s="22">
        <f>IF(H62="I",N62*Contagem!$U$11,IF(H62="E",N62*Contagem!$U$13,IF(H62="A",N62*Contagem!$U$12,IF(H62="T",N62*Contagem!$U$14,""))))</f>
        <v>4</v>
      </c>
      <c r="P62" s="106"/>
      <c r="Q62" s="107"/>
      <c r="R62" s="107"/>
      <c r="S62" s="107"/>
      <c r="T62" s="107"/>
    </row>
    <row r="63" spans="1:20" ht="18" customHeight="1">
      <c r="A63" s="108" t="s">
        <v>138</v>
      </c>
      <c r="B63" s="109"/>
      <c r="C63" s="109"/>
      <c r="D63" s="109"/>
      <c r="E63" s="109"/>
      <c r="F63" s="110"/>
      <c r="G63" s="18" t="s">
        <v>37</v>
      </c>
      <c r="H63" s="25" t="s">
        <v>38</v>
      </c>
      <c r="I63" s="18"/>
      <c r="J63" s="18"/>
      <c r="K63" s="18" t="str">
        <f t="shared" si="0"/>
        <v>EEA</v>
      </c>
      <c r="L63" s="19" t="str">
        <f t="shared" si="1"/>
        <v>A</v>
      </c>
      <c r="M63" s="20" t="str">
        <f t="shared" si="2"/>
        <v>Média</v>
      </c>
      <c r="N63" s="21">
        <f t="shared" si="3"/>
        <v>4</v>
      </c>
      <c r="O63" s="22">
        <f>IF(H63="I",N63*Contagem!$U$11,IF(H63="E",N63*Contagem!$U$13,IF(H63="A",N63*Contagem!$U$12,IF(H63="T",N63*Contagem!$U$14,""))))</f>
        <v>4</v>
      </c>
      <c r="P63" s="106"/>
      <c r="Q63" s="107"/>
      <c r="R63" s="107"/>
      <c r="S63" s="107"/>
      <c r="T63" s="107"/>
    </row>
    <row r="64" spans="1:20" ht="18" customHeight="1">
      <c r="A64" s="108" t="s">
        <v>110</v>
      </c>
      <c r="B64" s="109"/>
      <c r="C64" s="109"/>
      <c r="D64" s="109"/>
      <c r="E64" s="109"/>
      <c r="F64" s="110"/>
      <c r="G64" s="18" t="s">
        <v>39</v>
      </c>
      <c r="H64" s="25" t="s">
        <v>38</v>
      </c>
      <c r="I64" s="18"/>
      <c r="J64" s="18"/>
      <c r="K64" s="18" t="str">
        <f t="shared" si="0"/>
        <v>CEA</v>
      </c>
      <c r="L64" s="19" t="str">
        <f t="shared" si="1"/>
        <v>A</v>
      </c>
      <c r="M64" s="20" t="str">
        <f t="shared" si="2"/>
        <v>Média</v>
      </c>
      <c r="N64" s="21">
        <f t="shared" si="3"/>
        <v>4</v>
      </c>
      <c r="O64" s="22">
        <f>IF(H64="I",N64*Contagem!$U$11,IF(H64="E",N64*Contagem!$U$13,IF(H64="A",N64*Contagem!$U$12,IF(H64="T",N64*Contagem!$U$14,""))))</f>
        <v>4</v>
      </c>
      <c r="P64" s="106"/>
      <c r="Q64" s="107"/>
      <c r="R64" s="107"/>
      <c r="S64" s="107"/>
      <c r="T64" s="107"/>
    </row>
    <row r="65" spans="1:20" ht="18" customHeight="1">
      <c r="A65" s="108" t="s">
        <v>111</v>
      </c>
      <c r="B65" s="109"/>
      <c r="C65" s="109"/>
      <c r="D65" s="109"/>
      <c r="E65" s="109"/>
      <c r="F65" s="110"/>
      <c r="G65" s="18" t="s">
        <v>39</v>
      </c>
      <c r="H65" s="25" t="s">
        <v>38</v>
      </c>
      <c r="I65" s="18"/>
      <c r="J65" s="18"/>
      <c r="K65" s="18" t="str">
        <f t="shared" ref="K65" si="26">CONCATENATE(G65,L65)</f>
        <v>CEA</v>
      </c>
      <c r="L65" s="19" t="str">
        <f t="shared" ref="L65" si="27">IF(OR(ISBLANK(I65),ISBLANK(J65)),IF(OR(G65="ALI",G65="AIE"),"L",IF(ISBLANK(G65),"","A")),IF(G65="EE",IF(J65&gt;=3,IF(I65&gt;=5,"H","A"),IF(J65&gt;=2,IF(I65&gt;=16,"H",IF(I65&lt;=4,"L","A")),IF(I65&lt;=15,"L","A"))),IF(OR(G65="SE",G65="CE"),IF(J65&gt;=4,IF(I65&gt;=6,"H","A"),IF(J65&gt;=2,IF(I65&gt;=20,"H",IF(I65&lt;=5,"L","A")),IF(I65&lt;=19,"L","A"))),IF(OR(G65="ALI",G65="AIE"),IF(J65&gt;=6,IF(I65&gt;=20,"H","A"),IF(J65&gt;=2,IF(I65&gt;=51,"H",IF(I65&lt;=19,"L","A")),IF(I65&lt;=50,"L","A")))))))</f>
        <v>A</v>
      </c>
      <c r="M65" s="20" t="str">
        <f t="shared" ref="M65" si="28">IF(L65="L","Baixa",IF(L65="A","Média",IF(L65="","","Alta")))</f>
        <v>Média</v>
      </c>
      <c r="N65" s="21">
        <f t="shared" ref="N65" si="29">IF(ISBLANK(G65),"",IF(G65="ALI",IF(L65="L",7,IF(L65="A",10,15)),IF(G65="AIE",IF(L65="L",5,IF(L65="A",7,10)),IF(G65="SE",IF(L65="L",4,IF(L65="A",5,7)),IF(OR(G65="EE",G65="CE"),IF(L65="L",3,IF(L65="A",4,6)))))))</f>
        <v>4</v>
      </c>
      <c r="O65" s="22">
        <f>IF(H65="I",N65*Contagem!$U$11,IF(H65="E",N65*Contagem!$U$13,IF(H65="A",N65*Contagem!$U$12,IF(H65="T",N65*Contagem!$U$14,""))))</f>
        <v>4</v>
      </c>
      <c r="P65" s="106"/>
      <c r="Q65" s="107"/>
      <c r="R65" s="107"/>
      <c r="S65" s="107"/>
      <c r="T65" s="107"/>
    </row>
    <row r="66" spans="1:20" s="71" customFormat="1" ht="18" customHeight="1">
      <c r="A66" s="108" t="s">
        <v>119</v>
      </c>
      <c r="B66" s="109"/>
      <c r="C66" s="109"/>
      <c r="D66" s="109"/>
      <c r="E66" s="109"/>
      <c r="F66" s="110"/>
      <c r="G66" s="18" t="s">
        <v>52</v>
      </c>
      <c r="H66" s="25" t="s">
        <v>38</v>
      </c>
      <c r="I66" s="18"/>
      <c r="J66" s="18"/>
      <c r="K66" s="18" t="str">
        <f t="shared" si="0"/>
        <v>SEA</v>
      </c>
      <c r="L66" s="19" t="str">
        <f t="shared" si="1"/>
        <v>A</v>
      </c>
      <c r="M66" s="20" t="str">
        <f t="shared" si="2"/>
        <v>Média</v>
      </c>
      <c r="N66" s="21">
        <f t="shared" si="3"/>
        <v>5</v>
      </c>
      <c r="O66" s="22">
        <f>IF(H66="I",N66*Contagem!$U$11,IF(H66="E",N66*Contagem!$U$13,IF(H66="A",N66*Contagem!$U$12,IF(H66="T",N66*Contagem!$U$14,""))))</f>
        <v>5</v>
      </c>
      <c r="P66" s="72"/>
      <c r="Q66" s="73"/>
      <c r="R66" s="73"/>
      <c r="S66" s="73"/>
      <c r="T66" s="73"/>
    </row>
    <row r="67" spans="1:20" s="71" customFormat="1" ht="18" customHeight="1">
      <c r="A67" s="108"/>
      <c r="B67" s="109"/>
      <c r="C67" s="109"/>
      <c r="D67" s="109"/>
      <c r="E67" s="109"/>
      <c r="F67" s="110"/>
      <c r="G67" s="18"/>
      <c r="H67" s="25"/>
      <c r="I67" s="18"/>
      <c r="J67" s="18"/>
      <c r="K67" s="18" t="str">
        <f t="shared" si="0"/>
        <v/>
      </c>
      <c r="L67" s="19" t="str">
        <f t="shared" si="1"/>
        <v/>
      </c>
      <c r="M67" s="20" t="str">
        <f t="shared" si="2"/>
        <v/>
      </c>
      <c r="N67" s="21" t="str">
        <f t="shared" si="3"/>
        <v/>
      </c>
      <c r="O67" s="22" t="str">
        <f>IF(H67="I",N67*Contagem!$U$11,IF(H67="E",N67*Contagem!$U$13,IF(H67="A",N67*Contagem!$U$12,IF(H67="T",N67*Contagem!$U$14,""))))</f>
        <v/>
      </c>
      <c r="P67" s="72"/>
      <c r="Q67" s="73"/>
      <c r="R67" s="73"/>
      <c r="S67" s="73"/>
      <c r="T67" s="73"/>
    </row>
    <row r="68" spans="1:20" s="71" customFormat="1" ht="18" customHeight="1">
      <c r="A68" s="112" t="s">
        <v>112</v>
      </c>
      <c r="B68" s="109"/>
      <c r="C68" s="109"/>
      <c r="D68" s="109"/>
      <c r="E68" s="109"/>
      <c r="F68" s="110"/>
      <c r="G68" s="18" t="s">
        <v>35</v>
      </c>
      <c r="H68" s="18" t="s">
        <v>36</v>
      </c>
      <c r="I68" s="18"/>
      <c r="J68" s="18"/>
      <c r="K68" s="18" t="str">
        <f t="shared" ref="K68:K75" si="30">CONCATENATE(G68,L68)</f>
        <v>ALIL</v>
      </c>
      <c r="L68" s="19" t="str">
        <f t="shared" ref="L68:L75" si="31">IF(OR(ISBLANK(I68),ISBLANK(J68)),IF(OR(G68="ALI",G68="AIE"),"L",IF(ISBLANK(G68),"","A")),IF(G68="EE",IF(J68&gt;=3,IF(I68&gt;=5,"H","A"),IF(J68&gt;=2,IF(I68&gt;=16,"H",IF(I68&lt;=4,"L","A")),IF(I68&lt;=15,"L","A"))),IF(OR(G68="SE",G68="CE"),IF(J68&gt;=4,IF(I68&gt;=6,"H","A"),IF(J68&gt;=2,IF(I68&gt;=20,"H",IF(I68&lt;=5,"L","A")),IF(I68&lt;=19,"L","A"))),IF(OR(G68="ALI",G68="AIE"),IF(J68&gt;=6,IF(I68&gt;=20,"H","A"),IF(J68&gt;=2,IF(I68&gt;=51,"H",IF(I68&lt;=19,"L","A")),IF(I68&lt;=50,"L","A")))))))</f>
        <v>L</v>
      </c>
      <c r="M68" s="20" t="str">
        <f t="shared" ref="M68:M74" si="32">IF(L68="L","Baixa",IF(L68="A","Média",IF(L68="","","Alta")))</f>
        <v>Baixa</v>
      </c>
      <c r="N68" s="21">
        <f t="shared" ref="N68:N74" si="33">IF(ISBLANK(G68),"",IF(G68="ALI",IF(L68="L",7,IF(L68="A",10,15)),IF(G68="AIE",IF(L68="L",5,IF(L68="A",7,10)),IF(G68="SE",IF(L68="L",4,IF(L68="A",5,7)),IF(OR(G68="EE",G68="CE"),IF(L68="L",3,IF(L68="A",4,6)))))))</f>
        <v>7</v>
      </c>
      <c r="O68" s="22">
        <f>IF(H68="I",N68*Contagem!$U$11,IF(H68="E",N68*Contagem!$U$13,IF(H68="A",N68*Contagem!$U$12,IF(H68="T",N68*Contagem!$U$14,""))))</f>
        <v>7</v>
      </c>
      <c r="P68" s="72"/>
      <c r="Q68" s="73"/>
      <c r="R68" s="73"/>
      <c r="S68" s="73"/>
      <c r="T68" s="73"/>
    </row>
    <row r="69" spans="1:20" ht="18" customHeight="1">
      <c r="A69" s="108" t="s">
        <v>113</v>
      </c>
      <c r="B69" s="109"/>
      <c r="C69" s="109"/>
      <c r="D69" s="109"/>
      <c r="E69" s="109"/>
      <c r="F69" s="110"/>
      <c r="G69" s="18" t="s">
        <v>37</v>
      </c>
      <c r="H69" s="25" t="s">
        <v>38</v>
      </c>
      <c r="I69" s="18"/>
      <c r="J69" s="18"/>
      <c r="K69" s="18" t="str">
        <f t="shared" si="30"/>
        <v>EEA</v>
      </c>
      <c r="L69" s="19" t="str">
        <f t="shared" si="31"/>
        <v>A</v>
      </c>
      <c r="M69" s="20" t="str">
        <f t="shared" si="32"/>
        <v>Média</v>
      </c>
      <c r="N69" s="21">
        <f t="shared" si="33"/>
        <v>4</v>
      </c>
      <c r="O69" s="22">
        <f>IF(H69="I",N69*Contagem!$U$11,IF(H69="E",N69*Contagem!$U$13,IF(H69="A",N69*Contagem!$U$12,IF(H69="T",N69*Contagem!$U$14,""))))</f>
        <v>4</v>
      </c>
      <c r="P69" s="106"/>
      <c r="Q69" s="107"/>
      <c r="R69" s="107"/>
      <c r="S69" s="107"/>
      <c r="T69" s="107"/>
    </row>
    <row r="70" spans="1:20" ht="18" customHeight="1">
      <c r="A70" s="108" t="s">
        <v>114</v>
      </c>
      <c r="B70" s="109"/>
      <c r="C70" s="109"/>
      <c r="D70" s="109"/>
      <c r="E70" s="109"/>
      <c r="F70" s="110"/>
      <c r="G70" s="18" t="s">
        <v>37</v>
      </c>
      <c r="H70" s="25" t="s">
        <v>38</v>
      </c>
      <c r="I70" s="18"/>
      <c r="J70" s="18"/>
      <c r="K70" s="18" t="str">
        <f t="shared" si="30"/>
        <v>EEA</v>
      </c>
      <c r="L70" s="19" t="str">
        <f t="shared" si="31"/>
        <v>A</v>
      </c>
      <c r="M70" s="20" t="str">
        <f t="shared" si="32"/>
        <v>Média</v>
      </c>
      <c r="N70" s="21">
        <f t="shared" si="33"/>
        <v>4</v>
      </c>
      <c r="O70" s="22">
        <f>IF(H70="I",N70*Contagem!$U$11,IF(H70="E",N70*Contagem!$U$13,IF(H70="A",N70*Contagem!$U$12,IF(H70="T",N70*Contagem!$U$14,""))))</f>
        <v>4</v>
      </c>
      <c r="P70" s="106"/>
      <c r="Q70" s="107"/>
      <c r="R70" s="107"/>
      <c r="S70" s="107"/>
      <c r="T70" s="107"/>
    </row>
    <row r="71" spans="1:20" ht="15" customHeight="1">
      <c r="A71" s="108" t="s">
        <v>139</v>
      </c>
      <c r="B71" s="109"/>
      <c r="C71" s="109"/>
      <c r="D71" s="109"/>
      <c r="E71" s="109"/>
      <c r="F71" s="110"/>
      <c r="G71" s="18" t="s">
        <v>37</v>
      </c>
      <c r="H71" s="25" t="s">
        <v>38</v>
      </c>
      <c r="I71" s="18"/>
      <c r="J71" s="18"/>
      <c r="K71" s="18" t="str">
        <f t="shared" si="30"/>
        <v>EEA</v>
      </c>
      <c r="L71" s="19" t="str">
        <f t="shared" si="31"/>
        <v>A</v>
      </c>
      <c r="M71" s="20" t="str">
        <f t="shared" si="32"/>
        <v>Média</v>
      </c>
      <c r="N71" s="21">
        <f t="shared" si="33"/>
        <v>4</v>
      </c>
      <c r="O71" s="22">
        <f>IF(H71="I",N71*Contagem!$U$11,IF(H71="E",N71*Contagem!$U$13,IF(H71="A",N71*Contagem!$U$12,IF(H71="T",N71*Contagem!$U$14,""))))</f>
        <v>4</v>
      </c>
    </row>
    <row r="72" spans="1:20" ht="15" customHeight="1">
      <c r="A72" s="108" t="s">
        <v>115</v>
      </c>
      <c r="B72" s="109"/>
      <c r="C72" s="109"/>
      <c r="D72" s="109"/>
      <c r="E72" s="109"/>
      <c r="F72" s="110"/>
      <c r="G72" s="18" t="s">
        <v>39</v>
      </c>
      <c r="H72" s="25" t="s">
        <v>38</v>
      </c>
      <c r="I72" s="18"/>
      <c r="J72" s="18"/>
      <c r="K72" s="18" t="str">
        <f t="shared" si="30"/>
        <v>CEA</v>
      </c>
      <c r="L72" s="19" t="str">
        <f t="shared" si="31"/>
        <v>A</v>
      </c>
      <c r="M72" s="20" t="str">
        <f t="shared" si="32"/>
        <v>Média</v>
      </c>
      <c r="N72" s="21">
        <f t="shared" si="33"/>
        <v>4</v>
      </c>
      <c r="O72" s="22">
        <f>IF(H72="I",N72*Contagem!$U$11,IF(H72="E",N72*Contagem!$U$13,IF(H72="A",N72*Contagem!$U$12,IF(H72="T",N72*Contagem!$U$14,""))))</f>
        <v>4</v>
      </c>
    </row>
    <row r="73" spans="1:20" ht="15" customHeight="1">
      <c r="A73" s="108" t="s">
        <v>116</v>
      </c>
      <c r="B73" s="109"/>
      <c r="C73" s="109"/>
      <c r="D73" s="109"/>
      <c r="E73" s="109"/>
      <c r="F73" s="110"/>
      <c r="G73" s="18" t="s">
        <v>39</v>
      </c>
      <c r="H73" s="25" t="s">
        <v>38</v>
      </c>
      <c r="I73" s="18"/>
      <c r="J73" s="18"/>
      <c r="K73" s="18" t="str">
        <f t="shared" ref="K73" si="34">CONCATENATE(G73,L73)</f>
        <v>CEA</v>
      </c>
      <c r="L73" s="19" t="str">
        <f t="shared" ref="L73" si="35">IF(OR(ISBLANK(I73),ISBLANK(J73)),IF(OR(G73="ALI",G73="AIE"),"L",IF(ISBLANK(G73),"","A")),IF(G73="EE",IF(J73&gt;=3,IF(I73&gt;=5,"H","A"),IF(J73&gt;=2,IF(I73&gt;=16,"H",IF(I73&lt;=4,"L","A")),IF(I73&lt;=15,"L","A"))),IF(OR(G73="SE",G73="CE"),IF(J73&gt;=4,IF(I73&gt;=6,"H","A"),IF(J73&gt;=2,IF(I73&gt;=20,"H",IF(I73&lt;=5,"L","A")),IF(I73&lt;=19,"L","A"))),IF(OR(G73="ALI",G73="AIE"),IF(J73&gt;=6,IF(I73&gt;=20,"H","A"),IF(J73&gt;=2,IF(I73&gt;=51,"H",IF(I73&lt;=19,"L","A")),IF(I73&lt;=50,"L","A")))))))</f>
        <v>A</v>
      </c>
      <c r="M73" s="20" t="str">
        <f t="shared" ref="M73" si="36">IF(L73="L","Baixa",IF(L73="A","Média",IF(L73="","","Alta")))</f>
        <v>Média</v>
      </c>
      <c r="N73" s="21">
        <f t="shared" ref="N73" si="37">IF(ISBLANK(G73),"",IF(G73="ALI",IF(L73="L",7,IF(L73="A",10,15)),IF(G73="AIE",IF(L73="L",5,IF(L73="A",7,10)),IF(G73="SE",IF(L73="L",4,IF(L73="A",5,7)),IF(OR(G73="EE",G73="CE"),IF(L73="L",3,IF(L73="A",4,6)))))))</f>
        <v>4</v>
      </c>
      <c r="O73" s="22">
        <f>IF(H73="I",N73*Contagem!$U$11,IF(H73="E",N73*Contagem!$U$13,IF(H73="A",N73*Contagem!$U$12,IF(H73="T",N73*Contagem!$U$14,""))))</f>
        <v>4</v>
      </c>
    </row>
    <row r="74" spans="1:20" ht="15" customHeight="1">
      <c r="A74" s="108" t="s">
        <v>118</v>
      </c>
      <c r="B74" s="109"/>
      <c r="C74" s="109"/>
      <c r="D74" s="109"/>
      <c r="E74" s="109"/>
      <c r="F74" s="110"/>
      <c r="G74" s="18" t="s">
        <v>52</v>
      </c>
      <c r="H74" s="25" t="s">
        <v>38</v>
      </c>
      <c r="I74" s="18"/>
      <c r="J74" s="18"/>
      <c r="K74" s="18" t="str">
        <f t="shared" si="30"/>
        <v>SEA</v>
      </c>
      <c r="L74" s="19" t="str">
        <f t="shared" si="31"/>
        <v>A</v>
      </c>
      <c r="M74" s="20" t="str">
        <f t="shared" si="32"/>
        <v>Média</v>
      </c>
      <c r="N74" s="21">
        <f t="shared" si="33"/>
        <v>5</v>
      </c>
      <c r="O74" s="22">
        <f>IF(H74="I",N74*Contagem!$U$11,IF(H74="E",N74*Contagem!$U$13,IF(H74="A",N74*Contagem!$U$12,IF(H74="T",N74*Contagem!$U$14,""))))</f>
        <v>5</v>
      </c>
    </row>
    <row r="75" spans="1:20" ht="15" customHeight="1">
      <c r="A75" s="108"/>
      <c r="B75" s="109"/>
      <c r="C75" s="109"/>
      <c r="D75" s="109"/>
      <c r="E75" s="109"/>
      <c r="F75" s="110"/>
      <c r="G75" s="18"/>
      <c r="H75" s="25"/>
      <c r="I75" s="18"/>
      <c r="J75" s="18"/>
      <c r="K75" s="18" t="str">
        <f t="shared" si="30"/>
        <v/>
      </c>
      <c r="L75" s="19" t="str">
        <f t="shared" si="31"/>
        <v/>
      </c>
      <c r="M75" s="20" t="str">
        <f t="shared" ref="M75" si="38">IF(L75="L","Baixa",IF(L75="A","Média",IF(L75="","","Alta")))</f>
        <v/>
      </c>
      <c r="N75" s="21" t="str">
        <f t="shared" ref="N75" si="39">IF(ISBLANK(G75),"",IF(G75="ALI",IF(L75="L",7,IF(L75="A",10,15)),IF(G75="AIE",IF(L75="L",5,IF(L75="A",7,10)),IF(G75="SE",IF(L75="L",4,IF(L75="A",5,7)),IF(OR(G75="EE",G75="CE"),IF(L75="L",3,IF(L75="A",4,6)))))))</f>
        <v/>
      </c>
      <c r="O75" s="22" t="str">
        <f>IF(H75="I",N75*Contagem!$U$11,IF(H75="E",N75*Contagem!$U$13,IF(H75="A",N75*Contagem!$U$12,IF(H75="T",N75*Contagem!$U$14,""))))</f>
        <v/>
      </c>
    </row>
    <row r="76" spans="1:20" ht="15" customHeight="1">
      <c r="A76" s="112" t="s">
        <v>123</v>
      </c>
      <c r="B76" s="109"/>
      <c r="C76" s="109"/>
      <c r="D76" s="109"/>
      <c r="E76" s="109"/>
      <c r="F76" s="110"/>
      <c r="G76" s="18" t="s">
        <v>35</v>
      </c>
      <c r="H76" s="25" t="s">
        <v>38</v>
      </c>
      <c r="I76" s="18"/>
      <c r="J76" s="18"/>
      <c r="K76" s="18" t="str">
        <f t="shared" ref="K76" si="40">CONCATENATE(G76,L76)</f>
        <v>ALIL</v>
      </c>
      <c r="L76" s="19" t="str">
        <f t="shared" ref="L76" si="41">IF(OR(ISBLANK(I76),ISBLANK(J76)),IF(OR(G76="ALI",G76="AIE"),"L",IF(ISBLANK(G76),"","A")),IF(G76="EE",IF(J76&gt;=3,IF(I76&gt;=5,"H","A"),IF(J76&gt;=2,IF(I76&gt;=16,"H",IF(I76&lt;=4,"L","A")),IF(I76&lt;=15,"L","A"))),IF(OR(G76="SE",G76="CE"),IF(J76&gt;=4,IF(I76&gt;=6,"H","A"),IF(J76&gt;=2,IF(I76&gt;=20,"H",IF(I76&lt;=5,"L","A")),IF(I76&lt;=19,"L","A"))),IF(OR(G76="ALI",G76="AIE"),IF(J76&gt;=6,IF(I76&gt;=20,"H","A"),IF(J76&gt;=2,IF(I76&gt;=51,"H",IF(I76&lt;=19,"L","A")),IF(I76&lt;=50,"L","A")))))))</f>
        <v>L</v>
      </c>
      <c r="M76" s="20" t="str">
        <f t="shared" ref="M76" si="42">IF(L76="L","Baixa",IF(L76="A","Média",IF(L76="","","Alta")))</f>
        <v>Baixa</v>
      </c>
      <c r="N76" s="21">
        <f t="shared" ref="N76" si="43">IF(ISBLANK(G76),"",IF(G76="ALI",IF(L76="L",7,IF(L76="A",10,15)),IF(G76="AIE",IF(L76="L",5,IF(L76="A",7,10)),IF(G76="SE",IF(L76="L",4,IF(L76="A",5,7)),IF(OR(G76="EE",G76="CE"),IF(L76="L",3,IF(L76="A",4,6)))))))</f>
        <v>7</v>
      </c>
      <c r="O76" s="22">
        <f>IF(H76="I",N76*Contagem!$U$11,IF(H76="E",N76*Contagem!$U$13,IF(H76="A",N76*Contagem!$U$12,IF(H76="T",N76*Contagem!$U$14,""))))</f>
        <v>7</v>
      </c>
    </row>
    <row r="77" spans="1:20" ht="15" customHeight="1">
      <c r="A77" s="108" t="s">
        <v>120</v>
      </c>
      <c r="B77" s="109"/>
      <c r="C77" s="109"/>
      <c r="D77" s="109"/>
      <c r="E77" s="109"/>
      <c r="F77" s="110"/>
      <c r="G77" s="18" t="s">
        <v>37</v>
      </c>
      <c r="H77" s="25" t="s">
        <v>38</v>
      </c>
      <c r="I77" s="18"/>
      <c r="J77" s="18"/>
      <c r="K77" s="18" t="str">
        <f t="shared" ref="K77:K86" si="44">CONCATENATE(G77,L77)</f>
        <v>EEA</v>
      </c>
      <c r="L77" s="19" t="str">
        <f t="shared" ref="L77:L86" si="45">IF(OR(ISBLANK(I77),ISBLANK(J77)),IF(OR(G77="ALI",G77="AIE"),"L",IF(ISBLANK(G77),"","A")),IF(G77="EE",IF(J77&gt;=3,IF(I77&gt;=5,"H","A"),IF(J77&gt;=2,IF(I77&gt;=16,"H",IF(I77&lt;=4,"L","A")),IF(I77&lt;=15,"L","A"))),IF(OR(G77="SE",G77="CE"),IF(J77&gt;=4,IF(I77&gt;=6,"H","A"),IF(J77&gt;=2,IF(I77&gt;=20,"H",IF(I77&lt;=5,"L","A")),IF(I77&lt;=19,"L","A"))),IF(OR(G77="ALI",G77="AIE"),IF(J77&gt;=6,IF(I77&gt;=20,"H","A"),IF(J77&gt;=2,IF(I77&gt;=51,"H",IF(I77&lt;=19,"L","A")),IF(I77&lt;=50,"L","A")))))))</f>
        <v>A</v>
      </c>
      <c r="M77" s="20" t="str">
        <f t="shared" ref="M77:M86" si="46">IF(L77="L","Baixa",IF(L77="A","Média",IF(L77="","","Alta")))</f>
        <v>Média</v>
      </c>
      <c r="N77" s="21">
        <f t="shared" ref="N77:N86" si="47">IF(ISBLANK(G77),"",IF(G77="ALI",IF(L77="L",7,IF(L77="A",10,15)),IF(G77="AIE",IF(L77="L",5,IF(L77="A",7,10)),IF(G77="SE",IF(L77="L",4,IF(L77="A",5,7)),IF(OR(G77="EE",G77="CE"),IF(L77="L",3,IF(L77="A",4,6)))))))</f>
        <v>4</v>
      </c>
      <c r="O77" s="22">
        <f>IF(H77="I",N77*Contagem!$U$11,IF(H77="E",N77*Contagem!$U$13,IF(H77="A",N77*Contagem!$U$12,IF(H77="T",N77*Contagem!$U$14,""))))</f>
        <v>4</v>
      </c>
    </row>
    <row r="78" spans="1:20" ht="15" customHeight="1">
      <c r="A78" s="108" t="s">
        <v>121</v>
      </c>
      <c r="B78" s="109"/>
      <c r="C78" s="109"/>
      <c r="D78" s="109"/>
      <c r="E78" s="109"/>
      <c r="F78" s="110"/>
      <c r="G78" s="18" t="s">
        <v>37</v>
      </c>
      <c r="H78" s="25" t="s">
        <v>38</v>
      </c>
      <c r="I78" s="18"/>
      <c r="J78" s="18"/>
      <c r="K78" s="18" t="str">
        <f t="shared" ref="K78" si="48">CONCATENATE(G78,L78)</f>
        <v>EEA</v>
      </c>
      <c r="L78" s="19" t="str">
        <f t="shared" ref="L78" si="49">IF(OR(ISBLANK(I78),ISBLANK(J78)),IF(OR(G78="ALI",G78="AIE"),"L",IF(ISBLANK(G78),"","A")),IF(G78="EE",IF(J78&gt;=3,IF(I78&gt;=5,"H","A"),IF(J78&gt;=2,IF(I78&gt;=16,"H",IF(I78&lt;=4,"L","A")),IF(I78&lt;=15,"L","A"))),IF(OR(G78="SE",G78="CE"),IF(J78&gt;=4,IF(I78&gt;=6,"H","A"),IF(J78&gt;=2,IF(I78&gt;=20,"H",IF(I78&lt;=5,"L","A")),IF(I78&lt;=19,"L","A"))),IF(OR(G78="ALI",G78="AIE"),IF(J78&gt;=6,IF(I78&gt;=20,"H","A"),IF(J78&gt;=2,IF(I78&gt;=51,"H",IF(I78&lt;=19,"L","A")),IF(I78&lt;=50,"L","A")))))))</f>
        <v>A</v>
      </c>
      <c r="M78" s="20" t="str">
        <f t="shared" ref="M78" si="50">IF(L78="L","Baixa",IF(L78="A","Média",IF(L78="","","Alta")))</f>
        <v>Média</v>
      </c>
      <c r="N78" s="21">
        <f t="shared" ref="N78" si="51">IF(ISBLANK(G78),"",IF(G78="ALI",IF(L78="L",7,IF(L78="A",10,15)),IF(G78="AIE",IF(L78="L",5,IF(L78="A",7,10)),IF(G78="SE",IF(L78="L",4,IF(L78="A",5,7)),IF(OR(G78="EE",G78="CE"),IF(L78="L",3,IF(L78="A",4,6)))))))</f>
        <v>4</v>
      </c>
      <c r="O78" s="22">
        <f>IF(H78="I",N78*Contagem!$U$11,IF(H78="E",N78*Contagem!$U$13,IF(H78="A",N78*Contagem!$U$12,IF(H78="T",N78*Contagem!$U$14,""))))</f>
        <v>4</v>
      </c>
    </row>
    <row r="79" spans="1:20" ht="15" customHeight="1">
      <c r="A79" s="108" t="s">
        <v>124</v>
      </c>
      <c r="B79" s="109"/>
      <c r="C79" s="109"/>
      <c r="D79" s="109"/>
      <c r="E79" s="109"/>
      <c r="F79" s="110"/>
      <c r="G79" s="18" t="s">
        <v>39</v>
      </c>
      <c r="H79" s="25" t="s">
        <v>38</v>
      </c>
      <c r="I79" s="18"/>
      <c r="J79" s="18"/>
      <c r="K79" s="18" t="str">
        <f t="shared" si="44"/>
        <v>CEA</v>
      </c>
      <c r="L79" s="19" t="str">
        <f t="shared" si="45"/>
        <v>A</v>
      </c>
      <c r="M79" s="20" t="str">
        <f t="shared" si="46"/>
        <v>Média</v>
      </c>
      <c r="N79" s="21">
        <f t="shared" si="47"/>
        <v>4</v>
      </c>
      <c r="O79" s="22">
        <f>IF(H79="I",N79*Contagem!$U$11,IF(H79="E",N79*Contagem!$U$13,IF(H79="A",N79*Contagem!$U$12,IF(H79="T",N79*Contagem!$U$14,""))))</f>
        <v>4</v>
      </c>
    </row>
    <row r="80" spans="1:20" s="74" customFormat="1" ht="15" customHeight="1">
      <c r="A80" s="108" t="s">
        <v>125</v>
      </c>
      <c r="B80" s="109"/>
      <c r="C80" s="109"/>
      <c r="D80" s="109"/>
      <c r="E80" s="109"/>
      <c r="F80" s="110"/>
      <c r="G80" s="18" t="s">
        <v>37</v>
      </c>
      <c r="H80" s="25" t="s">
        <v>38</v>
      </c>
      <c r="I80" s="18"/>
      <c r="J80" s="18"/>
      <c r="K80" s="18" t="str">
        <f t="shared" si="44"/>
        <v>EEA</v>
      </c>
      <c r="L80" s="19" t="str">
        <f t="shared" si="45"/>
        <v>A</v>
      </c>
      <c r="M80" s="20" t="str">
        <f t="shared" si="46"/>
        <v>Média</v>
      </c>
      <c r="N80" s="21">
        <f t="shared" si="47"/>
        <v>4</v>
      </c>
      <c r="O80" s="22">
        <f>IF(H80="I",N80*Contagem!$U$11,IF(H80="E",N80*Contagem!$U$13,IF(H80="A",N80*Contagem!$U$12,IF(H80="T",N80*Contagem!$U$14,""))))</f>
        <v>4</v>
      </c>
    </row>
    <row r="81" spans="1:15" ht="15" customHeight="1">
      <c r="A81" s="108" t="s">
        <v>126</v>
      </c>
      <c r="B81" s="109"/>
      <c r="C81" s="109"/>
      <c r="D81" s="109"/>
      <c r="E81" s="109"/>
      <c r="F81" s="110"/>
      <c r="G81" s="18" t="s">
        <v>39</v>
      </c>
      <c r="H81" s="25" t="s">
        <v>38</v>
      </c>
      <c r="I81" s="18"/>
      <c r="J81" s="18"/>
      <c r="K81" s="18" t="str">
        <f t="shared" si="44"/>
        <v>CEA</v>
      </c>
      <c r="L81" s="19" t="str">
        <f t="shared" si="45"/>
        <v>A</v>
      </c>
      <c r="M81" s="20" t="str">
        <f t="shared" si="46"/>
        <v>Média</v>
      </c>
      <c r="N81" s="21">
        <f t="shared" si="47"/>
        <v>4</v>
      </c>
      <c r="O81" s="22">
        <f>IF(H81="I",N81*Contagem!$U$11,IF(H81="E",N81*Contagem!$U$13,IF(H81="A",N81*Contagem!$U$12,IF(H81="T",N81*Contagem!$U$14,""))))</f>
        <v>4</v>
      </c>
    </row>
    <row r="82" spans="1:15" ht="15" customHeight="1">
      <c r="A82" s="108" t="s">
        <v>140</v>
      </c>
      <c r="B82" s="109"/>
      <c r="C82" s="109"/>
      <c r="D82" s="109"/>
      <c r="E82" s="109"/>
      <c r="F82" s="110"/>
      <c r="G82" s="18" t="s">
        <v>37</v>
      </c>
      <c r="H82" s="25" t="s">
        <v>38</v>
      </c>
      <c r="I82" s="18"/>
      <c r="J82" s="18"/>
      <c r="K82" s="18" t="str">
        <f t="shared" si="44"/>
        <v>EEA</v>
      </c>
      <c r="L82" s="19" t="str">
        <f t="shared" si="45"/>
        <v>A</v>
      </c>
      <c r="M82" s="20" t="str">
        <f t="shared" si="46"/>
        <v>Média</v>
      </c>
      <c r="N82" s="21">
        <f t="shared" si="47"/>
        <v>4</v>
      </c>
      <c r="O82" s="22">
        <f>IF(H82="I",N82*Contagem!$U$11,IF(H82="E",N82*Contagem!$U$13,IF(H82="A",N82*Contagem!$U$12,IF(H82="T",N82*Contagem!$U$14,""))))</f>
        <v>4</v>
      </c>
    </row>
    <row r="83" spans="1:15" ht="15" customHeight="1">
      <c r="A83" s="108" t="s">
        <v>122</v>
      </c>
      <c r="B83" s="109"/>
      <c r="C83" s="109"/>
      <c r="D83" s="109"/>
      <c r="E83" s="109"/>
      <c r="F83" s="110"/>
      <c r="G83" s="18" t="s">
        <v>52</v>
      </c>
      <c r="H83" s="25" t="s">
        <v>38</v>
      </c>
      <c r="I83" s="18"/>
      <c r="J83" s="18"/>
      <c r="K83" s="18" t="str">
        <f t="shared" si="44"/>
        <v>SEA</v>
      </c>
      <c r="L83" s="19" t="str">
        <f t="shared" si="45"/>
        <v>A</v>
      </c>
      <c r="M83" s="20" t="str">
        <f t="shared" si="46"/>
        <v>Média</v>
      </c>
      <c r="N83" s="21">
        <f t="shared" si="47"/>
        <v>5</v>
      </c>
      <c r="O83" s="22">
        <f>IF(H83="I",N83*Contagem!$U$11,IF(H83="E",N83*Contagem!$U$13,IF(H83="A",N83*Contagem!$U$12,IF(H83="T",N83*Contagem!$U$14,""))))</f>
        <v>5</v>
      </c>
    </row>
    <row r="84" spans="1:15" s="78" customFormat="1" ht="15" customHeight="1">
      <c r="A84" s="108" t="s">
        <v>141</v>
      </c>
      <c r="B84" s="109"/>
      <c r="C84" s="109"/>
      <c r="D84" s="109"/>
      <c r="E84" s="109"/>
      <c r="F84" s="110"/>
      <c r="G84" s="18" t="s">
        <v>52</v>
      </c>
      <c r="H84" s="25" t="s">
        <v>38</v>
      </c>
      <c r="I84" s="18"/>
      <c r="J84" s="18"/>
      <c r="K84" s="18" t="str">
        <f t="shared" ref="K84" si="52">CONCATENATE(G84,L84)</f>
        <v>SEA</v>
      </c>
      <c r="L84" s="19" t="str">
        <f t="shared" ref="L84" si="53">IF(OR(ISBLANK(I84),ISBLANK(J84)),IF(OR(G84="ALI",G84="AIE"),"L",IF(ISBLANK(G84),"","A")),IF(G84="EE",IF(J84&gt;=3,IF(I84&gt;=5,"H","A"),IF(J84&gt;=2,IF(I84&gt;=16,"H",IF(I84&lt;=4,"L","A")),IF(I84&lt;=15,"L","A"))),IF(OR(G84="SE",G84="CE"),IF(J84&gt;=4,IF(I84&gt;=6,"H","A"),IF(J84&gt;=2,IF(I84&gt;=20,"H",IF(I84&lt;=5,"L","A")),IF(I84&lt;=19,"L","A"))),IF(OR(G84="ALI",G84="AIE"),IF(J84&gt;=6,IF(I84&gt;=20,"H","A"),IF(J84&gt;=2,IF(I84&gt;=51,"H",IF(I84&lt;=19,"L","A")),IF(I84&lt;=50,"L","A")))))))</f>
        <v>A</v>
      </c>
      <c r="M84" s="20" t="str">
        <f t="shared" ref="M84" si="54">IF(L84="L","Baixa",IF(L84="A","Média",IF(L84="","","Alta")))</f>
        <v>Média</v>
      </c>
      <c r="N84" s="21">
        <f t="shared" ref="N84" si="55">IF(ISBLANK(G84),"",IF(G84="ALI",IF(L84="L",7,IF(L84="A",10,15)),IF(G84="AIE",IF(L84="L",5,IF(L84="A",7,10)),IF(G84="SE",IF(L84="L",4,IF(L84="A",5,7)),IF(OR(G84="EE",G84="CE"),IF(L84="L",3,IF(L84="A",4,6)))))))</f>
        <v>5</v>
      </c>
      <c r="O84" s="22">
        <f>IF(H84="I",N84*Contagem!$U$11,IF(H84="E",N84*Contagem!$U$13,IF(H84="A",N84*Contagem!$U$12,IF(H84="T",N84*Contagem!$U$14,""))))</f>
        <v>5</v>
      </c>
    </row>
    <row r="85" spans="1:15" ht="15" customHeight="1">
      <c r="A85" s="75"/>
      <c r="B85" s="76"/>
      <c r="C85" s="76"/>
      <c r="D85" s="76"/>
      <c r="E85" s="76"/>
      <c r="F85" s="77"/>
      <c r="G85" s="18"/>
      <c r="H85" s="25"/>
      <c r="I85" s="18"/>
      <c r="J85" s="18"/>
      <c r="K85" s="18"/>
      <c r="L85" s="19"/>
      <c r="M85" s="20" t="str">
        <f t="shared" ref="M85" si="56">IF(L85="L","Baixa",IF(L85="A","Média",IF(L85="","","Alta")))</f>
        <v/>
      </c>
      <c r="N85" s="21" t="str">
        <f t="shared" ref="N85" si="57">IF(ISBLANK(G85),"",IF(G85="ALI",IF(L85="L",7,IF(L85="A",10,15)),IF(G85="AIE",IF(L85="L",5,IF(L85="A",7,10)),IF(G85="SE",IF(L85="L",4,IF(L85="A",5,7)),IF(OR(G85="EE",G85="CE"),IF(L85="L",3,IF(L85="A",4,6)))))))</f>
        <v/>
      </c>
      <c r="O85" s="22" t="str">
        <f>IF(H85="I",N85*Contagem!$U$11,IF(H85="E",N85*Contagem!$U$13,IF(H85="A",N85*Contagem!$U$12,IF(H85="T",N85*Contagem!$U$14,""))))</f>
        <v/>
      </c>
    </row>
    <row r="86" spans="1:15" ht="15" customHeight="1">
      <c r="A86" s="112" t="s">
        <v>127</v>
      </c>
      <c r="B86" s="109"/>
      <c r="C86" s="109"/>
      <c r="D86" s="109"/>
      <c r="E86" s="109"/>
      <c r="F86" s="110"/>
      <c r="G86" s="18" t="s">
        <v>35</v>
      </c>
      <c r="H86" s="25" t="s">
        <v>38</v>
      </c>
      <c r="I86" s="18"/>
      <c r="J86" s="18"/>
      <c r="K86" s="18" t="str">
        <f t="shared" si="44"/>
        <v>ALIL</v>
      </c>
      <c r="L86" s="19" t="str">
        <f t="shared" si="45"/>
        <v>L</v>
      </c>
      <c r="M86" s="20" t="str">
        <f t="shared" si="46"/>
        <v>Baixa</v>
      </c>
      <c r="N86" s="21">
        <f t="shared" si="47"/>
        <v>7</v>
      </c>
      <c r="O86" s="22">
        <f>IF(H86="I",N86*Contagem!$U$11,IF(H86="E",N86*Contagem!$U$13,IF(H86="A",N86*Contagem!$U$12,IF(H86="T",N86*Contagem!$U$14,""))))</f>
        <v>7</v>
      </c>
    </row>
    <row r="87" spans="1:15" ht="15" customHeight="1">
      <c r="A87" s="108" t="s">
        <v>128</v>
      </c>
      <c r="B87" s="109"/>
      <c r="C87" s="109"/>
      <c r="D87" s="109"/>
      <c r="E87" s="109"/>
      <c r="F87" s="110"/>
      <c r="G87" s="18" t="s">
        <v>37</v>
      </c>
      <c r="H87" s="25" t="s">
        <v>38</v>
      </c>
      <c r="I87" s="18"/>
      <c r="J87" s="18"/>
      <c r="K87" s="18" t="str">
        <f t="shared" ref="K87:K93" si="58">CONCATENATE(G87,L87)</f>
        <v>EEA</v>
      </c>
      <c r="L87" s="19" t="str">
        <f t="shared" ref="L87:L93" si="59">IF(OR(ISBLANK(I87),ISBLANK(J87)),IF(OR(G87="ALI",G87="AIE"),"L",IF(ISBLANK(G87),"","A")),IF(G87="EE",IF(J87&gt;=3,IF(I87&gt;=5,"H","A"),IF(J87&gt;=2,IF(I87&gt;=16,"H",IF(I87&lt;=4,"L","A")),IF(I87&lt;=15,"L","A"))),IF(OR(G87="SE",G87="CE"),IF(J87&gt;=4,IF(I87&gt;=6,"H","A"),IF(J87&gt;=2,IF(I87&gt;=20,"H",IF(I87&lt;=5,"L","A")),IF(I87&lt;=19,"L","A"))),IF(OR(G87="ALI",G87="AIE"),IF(J87&gt;=6,IF(I87&gt;=20,"H","A"),IF(J87&gt;=2,IF(I87&gt;=51,"H",IF(I87&lt;=19,"L","A")),IF(I87&lt;=50,"L","A")))))))</f>
        <v>A</v>
      </c>
      <c r="M87" s="20" t="str">
        <f t="shared" ref="M87:M93" si="60">IF(L87="L","Baixa",IF(L87="A","Média",IF(L87="","","Alta")))</f>
        <v>Média</v>
      </c>
      <c r="N87" s="21">
        <f t="shared" ref="N87:N93" si="61">IF(ISBLANK(G87),"",IF(G87="ALI",IF(L87="L",7,IF(L87="A",10,15)),IF(G87="AIE",IF(L87="L",5,IF(L87="A",7,10)),IF(G87="SE",IF(L87="L",4,IF(L87="A",5,7)),IF(OR(G87="EE",G87="CE"),IF(L87="L",3,IF(L87="A",4,6)))))))</f>
        <v>4</v>
      </c>
      <c r="O87" s="22">
        <f>IF(H87="I",N87*Contagem!$U$11,IF(H87="E",N87*Contagem!$U$13,IF(H87="A",N87*Contagem!$U$12,IF(H87="T",N87*Contagem!$U$14,""))))</f>
        <v>4</v>
      </c>
    </row>
    <row r="88" spans="1:15" ht="15" customHeight="1">
      <c r="A88" s="108" t="s">
        <v>129</v>
      </c>
      <c r="B88" s="109"/>
      <c r="C88" s="109"/>
      <c r="D88" s="109"/>
      <c r="E88" s="109"/>
      <c r="F88" s="110"/>
      <c r="G88" s="18" t="s">
        <v>37</v>
      </c>
      <c r="H88" s="25" t="s">
        <v>38</v>
      </c>
      <c r="I88" s="18"/>
      <c r="J88" s="18"/>
      <c r="K88" s="18" t="str">
        <f t="shared" si="58"/>
        <v>EEA</v>
      </c>
      <c r="L88" s="19" t="str">
        <f t="shared" si="59"/>
        <v>A</v>
      </c>
      <c r="M88" s="20" t="str">
        <f t="shared" si="60"/>
        <v>Média</v>
      </c>
      <c r="N88" s="21">
        <f t="shared" si="61"/>
        <v>4</v>
      </c>
      <c r="O88" s="22">
        <f>IF(H88="I",N88*Contagem!$U$11,IF(H88="E",N88*Contagem!$U$13,IF(H88="A",N88*Contagem!$U$12,IF(H88="T",N88*Contagem!$U$14,""))))</f>
        <v>4</v>
      </c>
    </row>
    <row r="89" spans="1:15" ht="15" customHeight="1">
      <c r="A89" s="108" t="s">
        <v>130</v>
      </c>
      <c r="B89" s="109"/>
      <c r="C89" s="109"/>
      <c r="D89" s="109"/>
      <c r="E89" s="109"/>
      <c r="F89" s="110"/>
      <c r="G89" s="18" t="s">
        <v>39</v>
      </c>
      <c r="H89" s="25" t="s">
        <v>38</v>
      </c>
      <c r="I89" s="18"/>
      <c r="J89" s="18"/>
      <c r="K89" s="18" t="str">
        <f t="shared" si="58"/>
        <v>CEA</v>
      </c>
      <c r="L89" s="19" t="str">
        <f t="shared" si="59"/>
        <v>A</v>
      </c>
      <c r="M89" s="20" t="str">
        <f t="shared" si="60"/>
        <v>Média</v>
      </c>
      <c r="N89" s="21">
        <f t="shared" si="61"/>
        <v>4</v>
      </c>
      <c r="O89" s="22">
        <f>IF(H89="I",N89*Contagem!$U$11,IF(H89="E",N89*Contagem!$U$13,IF(H89="A",N89*Contagem!$U$12,IF(H89="T",N89*Contagem!$U$14,""))))</f>
        <v>4</v>
      </c>
    </row>
    <row r="90" spans="1:15" ht="15" customHeight="1">
      <c r="A90" s="108" t="s">
        <v>142</v>
      </c>
      <c r="B90" s="109"/>
      <c r="C90" s="109"/>
      <c r="D90" s="109"/>
      <c r="E90" s="109"/>
      <c r="F90" s="110"/>
      <c r="G90" s="18" t="s">
        <v>37</v>
      </c>
      <c r="H90" s="25" t="s">
        <v>38</v>
      </c>
      <c r="I90" s="18"/>
      <c r="J90" s="18"/>
      <c r="K90" s="18" t="str">
        <f t="shared" si="58"/>
        <v>EEA</v>
      </c>
      <c r="L90" s="19" t="str">
        <f t="shared" si="59"/>
        <v>A</v>
      </c>
      <c r="M90" s="20" t="str">
        <f t="shared" si="60"/>
        <v>Média</v>
      </c>
      <c r="N90" s="21">
        <f t="shared" si="61"/>
        <v>4</v>
      </c>
      <c r="O90" s="22">
        <f>IF(H90="I",N90*Contagem!$U$11,IF(H90="E",N90*Contagem!$U$13,IF(H90="A",N90*Contagem!$U$12,IF(H90="T",N90*Contagem!$U$14,""))))</f>
        <v>4</v>
      </c>
    </row>
    <row r="91" spans="1:15" ht="15" customHeight="1">
      <c r="A91" s="108" t="s">
        <v>131</v>
      </c>
      <c r="B91" s="109"/>
      <c r="C91" s="109"/>
      <c r="D91" s="109"/>
      <c r="E91" s="109"/>
      <c r="F91" s="110"/>
      <c r="G91" s="18" t="s">
        <v>39</v>
      </c>
      <c r="H91" s="25" t="s">
        <v>38</v>
      </c>
      <c r="I91" s="18"/>
      <c r="J91" s="18"/>
      <c r="K91" s="18" t="str">
        <f t="shared" si="58"/>
        <v>CEA</v>
      </c>
      <c r="L91" s="19" t="str">
        <f t="shared" si="59"/>
        <v>A</v>
      </c>
      <c r="M91" s="20" t="str">
        <f t="shared" si="60"/>
        <v>Média</v>
      </c>
      <c r="N91" s="21">
        <f t="shared" si="61"/>
        <v>4</v>
      </c>
      <c r="O91" s="22">
        <f>IF(H91="I",N91*Contagem!$U$11,IF(H91="E",N91*Contagem!$U$13,IF(H91="A",N91*Contagem!$U$12,IF(H91="T",N91*Contagem!$U$14,""))))</f>
        <v>4</v>
      </c>
    </row>
    <row r="92" spans="1:15" s="78" customFormat="1" ht="15" customHeight="1">
      <c r="A92" s="108" t="s">
        <v>143</v>
      </c>
      <c r="B92" s="109"/>
      <c r="C92" s="109"/>
      <c r="D92" s="109"/>
      <c r="E92" s="109"/>
      <c r="F92" s="110"/>
      <c r="G92" s="18" t="s">
        <v>52</v>
      </c>
      <c r="H92" s="25" t="s">
        <v>38</v>
      </c>
      <c r="I92" s="18"/>
      <c r="J92" s="18"/>
      <c r="K92" s="18" t="str">
        <f t="shared" ref="K92" si="62">CONCATENATE(G92,L92)</f>
        <v>SEA</v>
      </c>
      <c r="L92" s="19" t="str">
        <f t="shared" ref="L92" si="63">IF(OR(ISBLANK(I92),ISBLANK(J92)),IF(OR(G92="ALI",G92="AIE"),"L",IF(ISBLANK(G92),"","A")),IF(G92="EE",IF(J92&gt;=3,IF(I92&gt;=5,"H","A"),IF(J92&gt;=2,IF(I92&gt;=16,"H",IF(I92&lt;=4,"L","A")),IF(I92&lt;=15,"L","A"))),IF(OR(G92="SE",G92="CE"),IF(J92&gt;=4,IF(I92&gt;=6,"H","A"),IF(J92&gt;=2,IF(I92&gt;=20,"H",IF(I92&lt;=5,"L","A")),IF(I92&lt;=19,"L","A"))),IF(OR(G92="ALI",G92="AIE"),IF(J92&gt;=6,IF(I92&gt;=20,"H","A"),IF(J92&gt;=2,IF(I92&gt;=51,"H",IF(I92&lt;=19,"L","A")),IF(I92&lt;=50,"L","A")))))))</f>
        <v>A</v>
      </c>
      <c r="M92" s="20" t="str">
        <f t="shared" ref="M92" si="64">IF(L92="L","Baixa",IF(L92="A","Média",IF(L92="","","Alta")))</f>
        <v>Média</v>
      </c>
      <c r="N92" s="21">
        <f t="shared" ref="N92" si="65">IF(ISBLANK(G92),"",IF(G92="ALI",IF(L92="L",7,IF(L92="A",10,15)),IF(G92="AIE",IF(L92="L",5,IF(L92="A",7,10)),IF(G92="SE",IF(L92="L",4,IF(L92="A",5,7)),IF(OR(G92="EE",G92="CE"),IF(L92="L",3,IF(L92="A",4,6)))))))</f>
        <v>5</v>
      </c>
      <c r="O92" s="22">
        <f>IF(H92="I",N92*Contagem!$U$11,IF(H92="E",N92*Contagem!$U$13,IF(H92="A",N92*Contagem!$U$12,IF(H92="T",N92*Contagem!$U$14,""))))</f>
        <v>5</v>
      </c>
    </row>
    <row r="93" spans="1:15" ht="15" customHeight="1">
      <c r="A93" s="108"/>
      <c r="B93" s="109"/>
      <c r="C93" s="109"/>
      <c r="D93" s="109"/>
      <c r="E93" s="109"/>
      <c r="F93" s="110"/>
      <c r="G93" s="18"/>
      <c r="H93" s="25"/>
      <c r="I93" s="18"/>
      <c r="J93" s="18"/>
      <c r="K93" s="18" t="str">
        <f t="shared" si="58"/>
        <v/>
      </c>
      <c r="L93" s="19" t="str">
        <f t="shared" si="59"/>
        <v/>
      </c>
      <c r="M93" s="20" t="str">
        <f t="shared" si="60"/>
        <v/>
      </c>
      <c r="N93" s="21" t="str">
        <f t="shared" si="61"/>
        <v/>
      </c>
      <c r="O93" s="22" t="str">
        <f>IF(H93="I",N93*Contagem!$U$11,IF(H93="E",N93*Contagem!$U$13,IF(H93="A",N93*Contagem!$U$12,IF(H93="T",N93*Contagem!$U$14,""))))</f>
        <v/>
      </c>
    </row>
    <row r="94" spans="1:15" ht="15" customHeight="1">
      <c r="A94" s="112" t="s">
        <v>146</v>
      </c>
      <c r="B94" s="121"/>
      <c r="C94" s="121"/>
      <c r="D94" s="121"/>
      <c r="E94" s="121"/>
      <c r="F94" s="122"/>
      <c r="G94" s="18" t="s">
        <v>35</v>
      </c>
      <c r="H94" s="25" t="s">
        <v>36</v>
      </c>
      <c r="I94" s="18"/>
      <c r="J94" s="18"/>
      <c r="K94" s="18" t="str">
        <f t="shared" ref="K94:K97" si="66">CONCATENATE(G94,L94)</f>
        <v>ALIL</v>
      </c>
      <c r="L94" s="19" t="str">
        <f t="shared" ref="L94:L97" si="67">IF(OR(ISBLANK(I94),ISBLANK(J94)),IF(OR(G94="ALI",G94="AIE"),"L",IF(ISBLANK(G94),"","A")),IF(G94="EE",IF(J94&gt;=3,IF(I94&gt;=5,"H","A"),IF(J94&gt;=2,IF(I94&gt;=16,"H",IF(I94&lt;=4,"L","A")),IF(I94&lt;=15,"L","A"))),IF(OR(G94="SE",G94="CE"),IF(J94&gt;=4,IF(I94&gt;=6,"H","A"),IF(J94&gt;=2,IF(I94&gt;=20,"H",IF(I94&lt;=5,"L","A")),IF(I94&lt;=19,"L","A"))),IF(OR(G94="ALI",G94="AIE"),IF(J94&gt;=6,IF(I94&gt;=20,"H","A"),IF(J94&gt;=2,IF(I94&gt;=51,"H",IF(I94&lt;=19,"L","A")),IF(I94&lt;=50,"L","A")))))))</f>
        <v>L</v>
      </c>
      <c r="M94" s="20" t="str">
        <f t="shared" ref="M94:M97" si="68">IF(L94="L","Baixa",IF(L94="A","Média",IF(L94="","","Alta")))</f>
        <v>Baixa</v>
      </c>
      <c r="N94" s="21">
        <f t="shared" ref="N94:N97" si="69">IF(ISBLANK(G94),"",IF(G94="ALI",IF(L94="L",7,IF(L94="A",10,15)),IF(G94="AIE",IF(L94="L",5,IF(L94="A",7,10)),IF(G94="SE",IF(L94="L",4,IF(L94="A",5,7)),IF(OR(G94="EE",G94="CE"),IF(L94="L",3,IF(L94="A",4,6)))))))</f>
        <v>7</v>
      </c>
      <c r="O94" s="22">
        <f>IF(H94="I",N94*Contagem!$U$11,IF(H94="E",N94*Contagem!$U$13,IF(H94="A",N94*Contagem!$U$12,IF(H94="T",N94*Contagem!$U$14,""))))</f>
        <v>7</v>
      </c>
    </row>
    <row r="95" spans="1:15" s="80" customFormat="1" ht="15" customHeight="1">
      <c r="A95" s="108" t="s">
        <v>149</v>
      </c>
      <c r="B95" s="109"/>
      <c r="C95" s="109"/>
      <c r="D95" s="109"/>
      <c r="E95" s="109"/>
      <c r="F95" s="110"/>
      <c r="G95" s="18" t="s">
        <v>52</v>
      </c>
      <c r="H95" s="25" t="s">
        <v>38</v>
      </c>
      <c r="I95" s="18"/>
      <c r="J95" s="18"/>
      <c r="K95" s="18" t="str">
        <f t="shared" ref="K95:K96" si="70">CONCATENATE(G95,L95)</f>
        <v>SEA</v>
      </c>
      <c r="L95" s="19" t="str">
        <f t="shared" ref="L95:L96" si="71">IF(OR(ISBLANK(I95),ISBLANK(J95)),IF(OR(G95="ALI",G95="AIE"),"L",IF(ISBLANK(G95),"","A")),IF(G95="EE",IF(J95&gt;=3,IF(I95&gt;=5,"H","A"),IF(J95&gt;=2,IF(I95&gt;=16,"H",IF(I95&lt;=4,"L","A")),IF(I95&lt;=15,"L","A"))),IF(OR(G95="SE",G95="CE"),IF(J95&gt;=4,IF(I95&gt;=6,"H","A"),IF(J95&gt;=2,IF(I95&gt;=20,"H",IF(I95&lt;=5,"L","A")),IF(I95&lt;=19,"L","A"))),IF(OR(G95="ALI",G95="AIE"),IF(J95&gt;=6,IF(I95&gt;=20,"H","A"),IF(J95&gt;=2,IF(I95&gt;=51,"H",IF(I95&lt;=19,"L","A")),IF(I95&lt;=50,"L","A")))))))</f>
        <v>A</v>
      </c>
      <c r="M95" s="20" t="str">
        <f t="shared" ref="M95:M96" si="72">IF(L95="L","Baixa",IF(L95="A","Média",IF(L95="","","Alta")))</f>
        <v>Média</v>
      </c>
      <c r="N95" s="21">
        <f t="shared" ref="N95:N96" si="73">IF(ISBLANK(G95),"",IF(G95="ALI",IF(L95="L",7,IF(L95="A",10,15)),IF(G95="AIE",IF(L95="L",5,IF(L95="A",7,10)),IF(G95="SE",IF(L95="L",4,IF(L95="A",5,7)),IF(OR(G95="EE",G95="CE"),IF(L95="L",3,IF(L95="A",4,6)))))))</f>
        <v>5</v>
      </c>
      <c r="O95" s="22">
        <f>IF(H95="I",N95*Contagem!$U$11,IF(H95="E",N95*Contagem!$U$13,IF(H95="A",N95*Contagem!$U$12,IF(H95="T",N95*Contagem!$U$14,""))))</f>
        <v>5</v>
      </c>
    </row>
    <row r="96" spans="1:15" s="80" customFormat="1" ht="15" customHeight="1">
      <c r="A96" s="108" t="s">
        <v>150</v>
      </c>
      <c r="B96" s="109"/>
      <c r="C96" s="109"/>
      <c r="D96" s="109"/>
      <c r="E96" s="109"/>
      <c r="F96" s="110"/>
      <c r="G96" s="18" t="s">
        <v>52</v>
      </c>
      <c r="H96" s="25" t="s">
        <v>38</v>
      </c>
      <c r="I96" s="18"/>
      <c r="J96" s="18"/>
      <c r="K96" s="18" t="str">
        <f t="shared" si="70"/>
        <v>SEA</v>
      </c>
      <c r="L96" s="19" t="str">
        <f t="shared" si="71"/>
        <v>A</v>
      </c>
      <c r="M96" s="20" t="str">
        <f t="shared" si="72"/>
        <v>Média</v>
      </c>
      <c r="N96" s="21">
        <f t="shared" si="73"/>
        <v>5</v>
      </c>
      <c r="O96" s="22">
        <f>IF(H96="I",N96*Contagem!$U$11,IF(H96="E",N96*Contagem!$U$13,IF(H96="A",N96*Contagem!$U$12,IF(H96="T",N96*Contagem!$U$14,""))))</f>
        <v>5</v>
      </c>
    </row>
    <row r="97" spans="1:15" s="80" customFormat="1" ht="15" customHeight="1">
      <c r="A97" s="108" t="s">
        <v>147</v>
      </c>
      <c r="B97" s="109"/>
      <c r="C97" s="109"/>
      <c r="D97" s="109"/>
      <c r="E97" s="109"/>
      <c r="F97" s="110"/>
      <c r="G97" s="18" t="s">
        <v>52</v>
      </c>
      <c r="H97" s="25" t="s">
        <v>38</v>
      </c>
      <c r="I97" s="18"/>
      <c r="J97" s="18"/>
      <c r="K97" s="18" t="str">
        <f t="shared" si="66"/>
        <v>SEA</v>
      </c>
      <c r="L97" s="19" t="str">
        <f t="shared" si="67"/>
        <v>A</v>
      </c>
      <c r="M97" s="20" t="str">
        <f t="shared" si="68"/>
        <v>Média</v>
      </c>
      <c r="N97" s="21">
        <f t="shared" si="69"/>
        <v>5</v>
      </c>
      <c r="O97" s="22">
        <f>IF(H97="I",N97*Contagem!$U$11,IF(H97="E",N97*Contagem!$U$13,IF(H97="A",N97*Contagem!$U$12,IF(H97="T",N97*Contagem!$U$14,""))))</f>
        <v>5</v>
      </c>
    </row>
    <row r="98" spans="1:15" s="81" customFormat="1" ht="15" customHeight="1">
      <c r="A98" s="108" t="s">
        <v>148</v>
      </c>
      <c r="B98" s="109"/>
      <c r="C98" s="109"/>
      <c r="D98" s="109"/>
      <c r="E98" s="109"/>
      <c r="F98" s="110"/>
      <c r="G98" s="18" t="s">
        <v>52</v>
      </c>
      <c r="H98" s="25" t="s">
        <v>38</v>
      </c>
      <c r="I98" s="18"/>
      <c r="J98" s="18"/>
      <c r="K98" s="18"/>
      <c r="L98" s="19"/>
      <c r="M98" s="20" t="str">
        <f>IF(L98="L","Baixa",IF(L98="A","Média",IF(L98="","","Alta")))</f>
        <v/>
      </c>
      <c r="N98" s="21">
        <f t="shared" ref="N98" si="74">IF(ISBLANK(G98),"",IF(G98="ALI",IF(L98="L",7,IF(L98="A",10,15)),IF(G98="AIE",IF(L98="L",5,IF(L98="A",7,10)),IF(G98="SE",IF(L98="L",4,IF(L98="A",5,7)),IF(OR(G98="EE",G98="CE"),IF(L98="L",3,IF(L98="A",4,6)))))))</f>
        <v>7</v>
      </c>
      <c r="O98" s="22">
        <f>IF(H98="I",N98*Contagem!$U$11,IF(H98="E",N98*Contagem!$U$13,IF(H98="A",N98*Contagem!$U$12,IF(H98="T",N98*Contagem!$U$14,""))))</f>
        <v>7</v>
      </c>
    </row>
    <row r="99" spans="1:15" ht="15" customHeight="1">
      <c r="A99" s="108" t="s">
        <v>151</v>
      </c>
      <c r="B99" s="109"/>
      <c r="C99" s="109"/>
      <c r="D99" s="109"/>
      <c r="E99" s="109"/>
      <c r="F99" s="110"/>
      <c r="G99" s="18" t="s">
        <v>57</v>
      </c>
      <c r="H99" s="25" t="s">
        <v>38</v>
      </c>
      <c r="I99" s="18"/>
      <c r="J99" s="18"/>
      <c r="K99" s="18" t="str">
        <f t="shared" ref="K99" si="75">CONCATENATE(G99,L99)</f>
        <v>AIEL</v>
      </c>
      <c r="L99" s="19" t="str">
        <f t="shared" ref="L99" si="76">IF(OR(ISBLANK(I99),ISBLANK(J99)),IF(OR(G99="ALI",G99="AIE"),"L",IF(ISBLANK(G99),"","A")),IF(G99="EE",IF(J99&gt;=3,IF(I99&gt;=5,"H","A"),IF(J99&gt;=2,IF(I99&gt;=16,"H",IF(I99&lt;=4,"L","A")),IF(I99&lt;=15,"L","A"))),IF(OR(G99="SE",G99="CE"),IF(J99&gt;=4,IF(I99&gt;=6,"H","A"),IF(J99&gt;=2,IF(I99&gt;=20,"H",IF(I99&lt;=5,"L","A")),IF(I99&lt;=19,"L","A"))),IF(OR(G99="ALI",G99="AIE"),IF(J99&gt;=6,IF(I99&gt;=20,"H","A"),IF(J99&gt;=2,IF(I99&gt;=51,"H",IF(I99&lt;=19,"L","A")),IF(I99&lt;=50,"L","A")))))))</f>
        <v>L</v>
      </c>
      <c r="M99" s="20" t="str">
        <f>IF(L99="L","Baixa",IF(L99="A","Média",IF(L99="","","Alta")))</f>
        <v>Baixa</v>
      </c>
      <c r="N99" s="21">
        <f t="shared" ref="N99" si="77">IF(ISBLANK(G99),"",IF(G99="ALI",IF(L99="L",7,IF(L99="A",10,15)),IF(G99="AIE",IF(L99="L",5,IF(L99="A",7,10)),IF(G99="SE",IF(L99="L",4,IF(L99="A",5,7)),IF(OR(G99="EE",G99="CE"),IF(L99="L",3,IF(L99="A",4,6)))))))</f>
        <v>5</v>
      </c>
      <c r="O99" s="22">
        <f>IF(H99="I",N99*Contagem!$U$11,IF(H99="E",N99*Contagem!$U$13,IF(H99="A",N99*Contagem!$U$12,IF(H99="T",N99*Contagem!$U$14,""))))</f>
        <v>5</v>
      </c>
    </row>
  </sheetData>
  <mergeCells count="153">
    <mergeCell ref="A92:F92"/>
    <mergeCell ref="A16:F16"/>
    <mergeCell ref="A15:F15"/>
    <mergeCell ref="A77:F77"/>
    <mergeCell ref="A79:F79"/>
    <mergeCell ref="A75:F75"/>
    <mergeCell ref="A17:F17"/>
    <mergeCell ref="A40:F40"/>
    <mergeCell ref="A58:F58"/>
    <mergeCell ref="A84:F84"/>
    <mergeCell ref="A73:F73"/>
    <mergeCell ref="A65:F65"/>
    <mergeCell ref="A56:F56"/>
    <mergeCell ref="A68:F68"/>
    <mergeCell ref="A69:F69"/>
    <mergeCell ref="A70:F70"/>
    <mergeCell ref="A71:F71"/>
    <mergeCell ref="A72:F72"/>
    <mergeCell ref="A48:F48"/>
    <mergeCell ref="A67:F67"/>
    <mergeCell ref="A94:F94"/>
    <mergeCell ref="A80:F80"/>
    <mergeCell ref="A74:F74"/>
    <mergeCell ref="A99:F99"/>
    <mergeCell ref="A76:F76"/>
    <mergeCell ref="A78:F78"/>
    <mergeCell ref="A87:F87"/>
    <mergeCell ref="A88:F88"/>
    <mergeCell ref="A89:F89"/>
    <mergeCell ref="A90:F90"/>
    <mergeCell ref="A91:F91"/>
    <mergeCell ref="A93:F93"/>
    <mergeCell ref="A86:F86"/>
    <mergeCell ref="A82:F82"/>
    <mergeCell ref="A98:F98"/>
    <mergeCell ref="A83:F83"/>
    <mergeCell ref="A81:F81"/>
    <mergeCell ref="H6:M6"/>
    <mergeCell ref="A6:E6"/>
    <mergeCell ref="F6:G6"/>
    <mergeCell ref="P7:T7"/>
    <mergeCell ref="P8:T8"/>
    <mergeCell ref="P9:T9"/>
    <mergeCell ref="P10:T10"/>
    <mergeCell ref="P11:T11"/>
    <mergeCell ref="A33:F33"/>
    <mergeCell ref="A26:F26"/>
    <mergeCell ref="A31:F31"/>
    <mergeCell ref="A28:F28"/>
    <mergeCell ref="A24:F24"/>
    <mergeCell ref="A27:F27"/>
    <mergeCell ref="A29:F29"/>
    <mergeCell ref="A30:F30"/>
    <mergeCell ref="A19:F19"/>
    <mergeCell ref="A11:F11"/>
    <mergeCell ref="A12:F12"/>
    <mergeCell ref="A34:F34"/>
    <mergeCell ref="A35:F35"/>
    <mergeCell ref="A32:F32"/>
    <mergeCell ref="A37:F37"/>
    <mergeCell ref="A36:F36"/>
    <mergeCell ref="A39:F39"/>
    <mergeCell ref="A41:F41"/>
    <mergeCell ref="A38:F38"/>
    <mergeCell ref="A14:F14"/>
    <mergeCell ref="A13:F13"/>
    <mergeCell ref="P43:T43"/>
    <mergeCell ref="P44:T44"/>
    <mergeCell ref="P45:T45"/>
    <mergeCell ref="P28:T28"/>
    <mergeCell ref="P70:T70"/>
    <mergeCell ref="A62:F62"/>
    <mergeCell ref="A63:F63"/>
    <mergeCell ref="A59:F59"/>
    <mergeCell ref="A57:F57"/>
    <mergeCell ref="A50:F50"/>
    <mergeCell ref="A51:F51"/>
    <mergeCell ref="A52:F52"/>
    <mergeCell ref="A53:F53"/>
    <mergeCell ref="A54:F54"/>
    <mergeCell ref="A55:F55"/>
    <mergeCell ref="A60:F60"/>
    <mergeCell ref="A61:F61"/>
    <mergeCell ref="A64:F64"/>
    <mergeCell ref="P63:T63"/>
    <mergeCell ref="A66:F66"/>
    <mergeCell ref="P65:T65"/>
    <mergeCell ref="P69:T69"/>
    <mergeCell ref="A49:F49"/>
    <mergeCell ref="P64:T64"/>
    <mergeCell ref="P48:T48"/>
    <mergeCell ref="P49:T49"/>
    <mergeCell ref="P50:T50"/>
    <mergeCell ref="P51:T51"/>
    <mergeCell ref="P52:T52"/>
    <mergeCell ref="P53:T53"/>
    <mergeCell ref="P55:T55"/>
    <mergeCell ref="P54:T54"/>
    <mergeCell ref="P59:T59"/>
    <mergeCell ref="P60:T60"/>
    <mergeCell ref="P61:T61"/>
    <mergeCell ref="P62:T62"/>
    <mergeCell ref="P56:T56"/>
    <mergeCell ref="P57:T57"/>
    <mergeCell ref="P58:T58"/>
    <mergeCell ref="A4:F4"/>
    <mergeCell ref="A1:O3"/>
    <mergeCell ref="G4:T4"/>
    <mergeCell ref="N6:O6"/>
    <mergeCell ref="A7:F7"/>
    <mergeCell ref="P22:T22"/>
    <mergeCell ref="P23:T23"/>
    <mergeCell ref="P24:T24"/>
    <mergeCell ref="P25:T25"/>
    <mergeCell ref="P26:T26"/>
    <mergeCell ref="P18:T18"/>
    <mergeCell ref="P19:T19"/>
    <mergeCell ref="P20:T20"/>
    <mergeCell ref="P13:T13"/>
    <mergeCell ref="A5:F5"/>
    <mergeCell ref="A10:F10"/>
    <mergeCell ref="A9:F9"/>
    <mergeCell ref="A8:F8"/>
    <mergeCell ref="G5:T5"/>
    <mergeCell ref="A46:F46"/>
    <mergeCell ref="A47:F47"/>
    <mergeCell ref="A43:F43"/>
    <mergeCell ref="A45:F45"/>
    <mergeCell ref="A44:F44"/>
    <mergeCell ref="A42:F42"/>
    <mergeCell ref="P17:T17"/>
    <mergeCell ref="P27:T27"/>
    <mergeCell ref="P46:T46"/>
    <mergeCell ref="P12:T12"/>
    <mergeCell ref="P47:T47"/>
    <mergeCell ref="P21:T21"/>
    <mergeCell ref="P42:T42"/>
    <mergeCell ref="A97:F97"/>
    <mergeCell ref="A95:F95"/>
    <mergeCell ref="A96:F96"/>
    <mergeCell ref="P29:T29"/>
    <mergeCell ref="P30:T30"/>
    <mergeCell ref="P31:T31"/>
    <mergeCell ref="P32:T32"/>
    <mergeCell ref="P33:T33"/>
    <mergeCell ref="P34:T34"/>
    <mergeCell ref="P35:T35"/>
    <mergeCell ref="P36:T36"/>
    <mergeCell ref="P37:T37"/>
    <mergeCell ref="P38:T38"/>
    <mergeCell ref="P39:T39"/>
    <mergeCell ref="P40:T40"/>
    <mergeCell ref="P41:T41"/>
  </mergeCells>
  <conditionalFormatting sqref="H8:H13 H17 H66:H67 H24:H39 H41:H47 H57 H59:H64 H49:H55">
    <cfRule type="cellIs" dxfId="161" priority="241" operator="equal">
      <formula>"I"</formula>
    </cfRule>
  </conditionalFormatting>
  <conditionalFormatting sqref="H8:H13 H17 H66:H67 H24:H39 H41:H47 H57 H59:H64 H49:H55">
    <cfRule type="cellIs" dxfId="160" priority="242" operator="equal">
      <formula>"A"</formula>
    </cfRule>
  </conditionalFormatting>
  <conditionalFormatting sqref="H8:H13 H17 H66:H67 H24:H39 H41:H47 H57 H59:H64 H49:H55">
    <cfRule type="cellIs" dxfId="159" priority="243" operator="equal">
      <formula>"E"</formula>
    </cfRule>
  </conditionalFormatting>
  <conditionalFormatting sqref="H18">
    <cfRule type="cellIs" dxfId="158" priority="232" operator="equal">
      <formula>"I"</formula>
    </cfRule>
  </conditionalFormatting>
  <conditionalFormatting sqref="H18">
    <cfRule type="cellIs" dxfId="157" priority="233" operator="equal">
      <formula>"A"</formula>
    </cfRule>
  </conditionalFormatting>
  <conditionalFormatting sqref="H18">
    <cfRule type="cellIs" dxfId="156" priority="234" operator="equal">
      <formula>"E"</formula>
    </cfRule>
  </conditionalFormatting>
  <conditionalFormatting sqref="H23">
    <cfRule type="cellIs" dxfId="155" priority="175" operator="equal">
      <formula>"I"</formula>
    </cfRule>
  </conditionalFormatting>
  <conditionalFormatting sqref="H19">
    <cfRule type="cellIs" dxfId="154" priority="187" operator="equal">
      <formula>"I"</formula>
    </cfRule>
  </conditionalFormatting>
  <conditionalFormatting sqref="H19">
    <cfRule type="cellIs" dxfId="153" priority="188" operator="equal">
      <formula>"A"</formula>
    </cfRule>
  </conditionalFormatting>
  <conditionalFormatting sqref="H19">
    <cfRule type="cellIs" dxfId="152" priority="189" operator="equal">
      <formula>"E"</formula>
    </cfRule>
  </conditionalFormatting>
  <conditionalFormatting sqref="H20">
    <cfRule type="cellIs" dxfId="151" priority="184" operator="equal">
      <formula>"I"</formula>
    </cfRule>
  </conditionalFormatting>
  <conditionalFormatting sqref="H20">
    <cfRule type="cellIs" dxfId="150" priority="185" operator="equal">
      <formula>"A"</formula>
    </cfRule>
  </conditionalFormatting>
  <conditionalFormatting sqref="H20">
    <cfRule type="cellIs" dxfId="149" priority="186" operator="equal">
      <formula>"E"</formula>
    </cfRule>
  </conditionalFormatting>
  <conditionalFormatting sqref="H21">
    <cfRule type="cellIs" dxfId="148" priority="181" operator="equal">
      <formula>"I"</formula>
    </cfRule>
  </conditionalFormatting>
  <conditionalFormatting sqref="H21">
    <cfRule type="cellIs" dxfId="147" priority="182" operator="equal">
      <formula>"A"</formula>
    </cfRule>
  </conditionalFormatting>
  <conditionalFormatting sqref="H21">
    <cfRule type="cellIs" dxfId="146" priority="183" operator="equal">
      <formula>"E"</formula>
    </cfRule>
  </conditionalFormatting>
  <conditionalFormatting sqref="H22">
    <cfRule type="cellIs" dxfId="145" priority="178" operator="equal">
      <formula>"I"</formula>
    </cfRule>
  </conditionalFormatting>
  <conditionalFormatting sqref="H22">
    <cfRule type="cellIs" dxfId="144" priority="179" operator="equal">
      <formula>"A"</formula>
    </cfRule>
  </conditionalFormatting>
  <conditionalFormatting sqref="H22">
    <cfRule type="cellIs" dxfId="143" priority="180" operator="equal">
      <formula>"E"</formula>
    </cfRule>
  </conditionalFormatting>
  <conditionalFormatting sqref="H23">
    <cfRule type="cellIs" dxfId="142" priority="176" operator="equal">
      <formula>"A"</formula>
    </cfRule>
  </conditionalFormatting>
  <conditionalFormatting sqref="H23">
    <cfRule type="cellIs" dxfId="141" priority="177" operator="equal">
      <formula>"E"</formula>
    </cfRule>
  </conditionalFormatting>
  <conditionalFormatting sqref="H74">
    <cfRule type="cellIs" dxfId="140" priority="133" operator="equal">
      <formula>"I"</formula>
    </cfRule>
  </conditionalFormatting>
  <conditionalFormatting sqref="H74">
    <cfRule type="cellIs" dxfId="139" priority="134" operator="equal">
      <formula>"A"</formula>
    </cfRule>
  </conditionalFormatting>
  <conditionalFormatting sqref="H74">
    <cfRule type="cellIs" dxfId="138" priority="135" operator="equal">
      <formula>"E"</formula>
    </cfRule>
  </conditionalFormatting>
  <conditionalFormatting sqref="H68">
    <cfRule type="cellIs" dxfId="137" priority="151" operator="equal">
      <formula>"I"</formula>
    </cfRule>
  </conditionalFormatting>
  <conditionalFormatting sqref="H68">
    <cfRule type="cellIs" dxfId="136" priority="152" operator="equal">
      <formula>"A"</formula>
    </cfRule>
  </conditionalFormatting>
  <conditionalFormatting sqref="H68">
    <cfRule type="cellIs" dxfId="135" priority="153" operator="equal">
      <formula>"E"</formula>
    </cfRule>
  </conditionalFormatting>
  <conditionalFormatting sqref="H69">
    <cfRule type="cellIs" dxfId="134" priority="148" operator="equal">
      <formula>"I"</formula>
    </cfRule>
  </conditionalFormatting>
  <conditionalFormatting sqref="H69">
    <cfRule type="cellIs" dxfId="133" priority="149" operator="equal">
      <formula>"A"</formula>
    </cfRule>
  </conditionalFormatting>
  <conditionalFormatting sqref="H69">
    <cfRule type="cellIs" dxfId="132" priority="150" operator="equal">
      <formula>"E"</formula>
    </cfRule>
  </conditionalFormatting>
  <conditionalFormatting sqref="H71">
    <cfRule type="cellIs" dxfId="131" priority="142" operator="equal">
      <formula>"I"</formula>
    </cfRule>
  </conditionalFormatting>
  <conditionalFormatting sqref="H71">
    <cfRule type="cellIs" dxfId="130" priority="143" operator="equal">
      <formula>"A"</formula>
    </cfRule>
  </conditionalFormatting>
  <conditionalFormatting sqref="H71">
    <cfRule type="cellIs" dxfId="129" priority="144" operator="equal">
      <formula>"E"</formula>
    </cfRule>
  </conditionalFormatting>
  <conditionalFormatting sqref="H70">
    <cfRule type="cellIs" dxfId="128" priority="145" operator="equal">
      <formula>"I"</formula>
    </cfRule>
  </conditionalFormatting>
  <conditionalFormatting sqref="H70">
    <cfRule type="cellIs" dxfId="127" priority="146" operator="equal">
      <formula>"A"</formula>
    </cfRule>
  </conditionalFormatting>
  <conditionalFormatting sqref="H70">
    <cfRule type="cellIs" dxfId="126" priority="147" operator="equal">
      <formula>"E"</formula>
    </cfRule>
  </conditionalFormatting>
  <conditionalFormatting sqref="H72">
    <cfRule type="cellIs" dxfId="125" priority="139" operator="equal">
      <formula>"I"</formula>
    </cfRule>
  </conditionalFormatting>
  <conditionalFormatting sqref="H72">
    <cfRule type="cellIs" dxfId="124" priority="140" operator="equal">
      <formula>"A"</formula>
    </cfRule>
  </conditionalFormatting>
  <conditionalFormatting sqref="H72">
    <cfRule type="cellIs" dxfId="123" priority="141" operator="equal">
      <formula>"E"</formula>
    </cfRule>
  </conditionalFormatting>
  <conditionalFormatting sqref="H14">
    <cfRule type="cellIs" dxfId="122" priority="130" operator="equal">
      <formula>"I"</formula>
    </cfRule>
  </conditionalFormatting>
  <conditionalFormatting sqref="H14">
    <cfRule type="cellIs" dxfId="121" priority="131" operator="equal">
      <formula>"A"</formula>
    </cfRule>
  </conditionalFormatting>
  <conditionalFormatting sqref="H14">
    <cfRule type="cellIs" dxfId="120" priority="132" operator="equal">
      <formula>"E"</formula>
    </cfRule>
  </conditionalFormatting>
  <conditionalFormatting sqref="H73">
    <cfRule type="cellIs" dxfId="119" priority="127" operator="equal">
      <formula>"I"</formula>
    </cfRule>
  </conditionalFormatting>
  <conditionalFormatting sqref="H73">
    <cfRule type="cellIs" dxfId="118" priority="128" operator="equal">
      <formula>"A"</formula>
    </cfRule>
  </conditionalFormatting>
  <conditionalFormatting sqref="H73">
    <cfRule type="cellIs" dxfId="117" priority="129" operator="equal">
      <formula>"E"</formula>
    </cfRule>
  </conditionalFormatting>
  <conditionalFormatting sqref="H65">
    <cfRule type="cellIs" dxfId="116" priority="121" operator="equal">
      <formula>"I"</formula>
    </cfRule>
  </conditionalFormatting>
  <conditionalFormatting sqref="H65">
    <cfRule type="cellIs" dxfId="115" priority="122" operator="equal">
      <formula>"A"</formula>
    </cfRule>
  </conditionalFormatting>
  <conditionalFormatting sqref="H65">
    <cfRule type="cellIs" dxfId="114" priority="123" operator="equal">
      <formula>"E"</formula>
    </cfRule>
  </conditionalFormatting>
  <conditionalFormatting sqref="H76">
    <cfRule type="cellIs" dxfId="113" priority="109" operator="equal">
      <formula>"I"</formula>
    </cfRule>
  </conditionalFormatting>
  <conditionalFormatting sqref="H76">
    <cfRule type="cellIs" dxfId="112" priority="110" operator="equal">
      <formula>"A"</formula>
    </cfRule>
  </conditionalFormatting>
  <conditionalFormatting sqref="H76">
    <cfRule type="cellIs" dxfId="111" priority="111" operator="equal">
      <formula>"E"</formula>
    </cfRule>
  </conditionalFormatting>
  <conditionalFormatting sqref="H56">
    <cfRule type="cellIs" dxfId="110" priority="115" operator="equal">
      <formula>"I"</formula>
    </cfRule>
  </conditionalFormatting>
  <conditionalFormatting sqref="H56">
    <cfRule type="cellIs" dxfId="109" priority="116" operator="equal">
      <formula>"A"</formula>
    </cfRule>
  </conditionalFormatting>
  <conditionalFormatting sqref="H56">
    <cfRule type="cellIs" dxfId="108" priority="117" operator="equal">
      <formula>"E"</formula>
    </cfRule>
  </conditionalFormatting>
  <conditionalFormatting sqref="H77">
    <cfRule type="cellIs" dxfId="104" priority="106" operator="equal">
      <formula>"I"</formula>
    </cfRule>
  </conditionalFormatting>
  <conditionalFormatting sqref="H77">
    <cfRule type="cellIs" dxfId="103" priority="107" operator="equal">
      <formula>"A"</formula>
    </cfRule>
  </conditionalFormatting>
  <conditionalFormatting sqref="H77">
    <cfRule type="cellIs" dxfId="102" priority="108" operator="equal">
      <formula>"E"</formula>
    </cfRule>
  </conditionalFormatting>
  <conditionalFormatting sqref="H79">
    <cfRule type="cellIs" dxfId="101" priority="103" operator="equal">
      <formula>"I"</formula>
    </cfRule>
  </conditionalFormatting>
  <conditionalFormatting sqref="H79">
    <cfRule type="cellIs" dxfId="100" priority="104" operator="equal">
      <formula>"A"</formula>
    </cfRule>
  </conditionalFormatting>
  <conditionalFormatting sqref="H79">
    <cfRule type="cellIs" dxfId="99" priority="105" operator="equal">
      <formula>"E"</formula>
    </cfRule>
  </conditionalFormatting>
  <conditionalFormatting sqref="H80">
    <cfRule type="cellIs" dxfId="98" priority="97" operator="equal">
      <formula>"I"</formula>
    </cfRule>
  </conditionalFormatting>
  <conditionalFormatting sqref="H80">
    <cfRule type="cellIs" dxfId="97" priority="98" operator="equal">
      <formula>"A"</formula>
    </cfRule>
  </conditionalFormatting>
  <conditionalFormatting sqref="H80">
    <cfRule type="cellIs" dxfId="96" priority="99" operator="equal">
      <formula>"E"</formula>
    </cfRule>
  </conditionalFormatting>
  <conditionalFormatting sqref="H83 H85">
    <cfRule type="cellIs" dxfId="95" priority="94" operator="equal">
      <formula>"I"</formula>
    </cfRule>
  </conditionalFormatting>
  <conditionalFormatting sqref="H83 H85">
    <cfRule type="cellIs" dxfId="94" priority="95" operator="equal">
      <formula>"A"</formula>
    </cfRule>
  </conditionalFormatting>
  <conditionalFormatting sqref="H83 H85">
    <cfRule type="cellIs" dxfId="93" priority="96" operator="equal">
      <formula>"E"</formula>
    </cfRule>
  </conditionalFormatting>
  <conditionalFormatting sqref="H78">
    <cfRule type="cellIs" dxfId="92" priority="91" operator="equal">
      <formula>"I"</formula>
    </cfRule>
  </conditionalFormatting>
  <conditionalFormatting sqref="H78">
    <cfRule type="cellIs" dxfId="91" priority="92" operator="equal">
      <formula>"A"</formula>
    </cfRule>
  </conditionalFormatting>
  <conditionalFormatting sqref="H78">
    <cfRule type="cellIs" dxfId="90" priority="93" operator="equal">
      <formula>"E"</formula>
    </cfRule>
  </conditionalFormatting>
  <conditionalFormatting sqref="H81">
    <cfRule type="cellIs" dxfId="89" priority="88" operator="equal">
      <formula>"I"</formula>
    </cfRule>
  </conditionalFormatting>
  <conditionalFormatting sqref="H81">
    <cfRule type="cellIs" dxfId="88" priority="89" operator="equal">
      <formula>"A"</formula>
    </cfRule>
  </conditionalFormatting>
  <conditionalFormatting sqref="H81">
    <cfRule type="cellIs" dxfId="87" priority="90" operator="equal">
      <formula>"E"</formula>
    </cfRule>
  </conditionalFormatting>
  <conditionalFormatting sqref="H86">
    <cfRule type="cellIs" dxfId="86" priority="85" operator="equal">
      <formula>"I"</formula>
    </cfRule>
  </conditionalFormatting>
  <conditionalFormatting sqref="H86">
    <cfRule type="cellIs" dxfId="85" priority="86" operator="equal">
      <formula>"A"</formula>
    </cfRule>
  </conditionalFormatting>
  <conditionalFormatting sqref="H86">
    <cfRule type="cellIs" dxfId="84" priority="87" operator="equal">
      <formula>"E"</formula>
    </cfRule>
  </conditionalFormatting>
  <conditionalFormatting sqref="H87">
    <cfRule type="cellIs" dxfId="83" priority="82" operator="equal">
      <formula>"I"</formula>
    </cfRule>
  </conditionalFormatting>
  <conditionalFormatting sqref="H87">
    <cfRule type="cellIs" dxfId="82" priority="83" operator="equal">
      <formula>"A"</formula>
    </cfRule>
  </conditionalFormatting>
  <conditionalFormatting sqref="H87">
    <cfRule type="cellIs" dxfId="81" priority="84" operator="equal">
      <formula>"E"</formula>
    </cfRule>
  </conditionalFormatting>
  <conditionalFormatting sqref="H89">
    <cfRule type="cellIs" dxfId="80" priority="79" operator="equal">
      <formula>"I"</formula>
    </cfRule>
  </conditionalFormatting>
  <conditionalFormatting sqref="H89">
    <cfRule type="cellIs" dxfId="79" priority="80" operator="equal">
      <formula>"A"</formula>
    </cfRule>
  </conditionalFormatting>
  <conditionalFormatting sqref="H89">
    <cfRule type="cellIs" dxfId="78" priority="81" operator="equal">
      <formula>"E"</formula>
    </cfRule>
  </conditionalFormatting>
  <conditionalFormatting sqref="H90">
    <cfRule type="cellIs" dxfId="77" priority="76" operator="equal">
      <formula>"I"</formula>
    </cfRule>
  </conditionalFormatting>
  <conditionalFormatting sqref="H90">
    <cfRule type="cellIs" dxfId="76" priority="77" operator="equal">
      <formula>"A"</formula>
    </cfRule>
  </conditionalFormatting>
  <conditionalFormatting sqref="H90">
    <cfRule type="cellIs" dxfId="75" priority="78" operator="equal">
      <formula>"E"</formula>
    </cfRule>
  </conditionalFormatting>
  <conditionalFormatting sqref="H88">
    <cfRule type="cellIs" dxfId="71" priority="70" operator="equal">
      <formula>"I"</formula>
    </cfRule>
  </conditionalFormatting>
  <conditionalFormatting sqref="H88">
    <cfRule type="cellIs" dxfId="70" priority="71" operator="equal">
      <formula>"A"</formula>
    </cfRule>
  </conditionalFormatting>
  <conditionalFormatting sqref="H88">
    <cfRule type="cellIs" dxfId="69" priority="72" operator="equal">
      <formula>"E"</formula>
    </cfRule>
  </conditionalFormatting>
  <conditionalFormatting sqref="H91">
    <cfRule type="cellIs" dxfId="68" priority="67" operator="equal">
      <formula>"I"</formula>
    </cfRule>
  </conditionalFormatting>
  <conditionalFormatting sqref="H91">
    <cfRule type="cellIs" dxfId="67" priority="68" operator="equal">
      <formula>"A"</formula>
    </cfRule>
  </conditionalFormatting>
  <conditionalFormatting sqref="H91">
    <cfRule type="cellIs" dxfId="66" priority="69" operator="equal">
      <formula>"E"</formula>
    </cfRule>
  </conditionalFormatting>
  <conditionalFormatting sqref="H93">
    <cfRule type="cellIs" dxfId="65" priority="64" operator="equal">
      <formula>"I"</formula>
    </cfRule>
  </conditionalFormatting>
  <conditionalFormatting sqref="H93">
    <cfRule type="cellIs" dxfId="64" priority="65" operator="equal">
      <formula>"A"</formula>
    </cfRule>
  </conditionalFormatting>
  <conditionalFormatting sqref="H93">
    <cfRule type="cellIs" dxfId="63" priority="66" operator="equal">
      <formula>"E"</formula>
    </cfRule>
  </conditionalFormatting>
  <conditionalFormatting sqref="H48">
    <cfRule type="cellIs" dxfId="59" priority="58" operator="equal">
      <formula>"I"</formula>
    </cfRule>
  </conditionalFormatting>
  <conditionalFormatting sqref="H48">
    <cfRule type="cellIs" dxfId="58" priority="59" operator="equal">
      <formula>"A"</formula>
    </cfRule>
  </conditionalFormatting>
  <conditionalFormatting sqref="H48">
    <cfRule type="cellIs" dxfId="57" priority="60" operator="equal">
      <formula>"E"</formula>
    </cfRule>
  </conditionalFormatting>
  <conditionalFormatting sqref="H82">
    <cfRule type="cellIs" dxfId="56" priority="55" operator="equal">
      <formula>"I"</formula>
    </cfRule>
  </conditionalFormatting>
  <conditionalFormatting sqref="H82">
    <cfRule type="cellIs" dxfId="55" priority="56" operator="equal">
      <formula>"A"</formula>
    </cfRule>
  </conditionalFormatting>
  <conditionalFormatting sqref="H82">
    <cfRule type="cellIs" dxfId="54" priority="57" operator="equal">
      <formula>"E"</formula>
    </cfRule>
  </conditionalFormatting>
  <conditionalFormatting sqref="H40">
    <cfRule type="cellIs" dxfId="53" priority="52" operator="equal">
      <formula>"I"</formula>
    </cfRule>
  </conditionalFormatting>
  <conditionalFormatting sqref="H40">
    <cfRule type="cellIs" dxfId="52" priority="53" operator="equal">
      <formula>"A"</formula>
    </cfRule>
  </conditionalFormatting>
  <conditionalFormatting sqref="H40">
    <cfRule type="cellIs" dxfId="51" priority="54" operator="equal">
      <formula>"E"</formula>
    </cfRule>
  </conditionalFormatting>
  <conditionalFormatting sqref="H58">
    <cfRule type="cellIs" dxfId="44" priority="43" operator="equal">
      <formula>"I"</formula>
    </cfRule>
  </conditionalFormatting>
  <conditionalFormatting sqref="H58">
    <cfRule type="cellIs" dxfId="43" priority="44" operator="equal">
      <formula>"A"</formula>
    </cfRule>
  </conditionalFormatting>
  <conditionalFormatting sqref="H58">
    <cfRule type="cellIs" dxfId="42" priority="45" operator="equal">
      <formula>"E"</formula>
    </cfRule>
  </conditionalFormatting>
  <conditionalFormatting sqref="H84">
    <cfRule type="cellIs" dxfId="41" priority="40" operator="equal">
      <formula>"I"</formula>
    </cfRule>
  </conditionalFormatting>
  <conditionalFormatting sqref="H84">
    <cfRule type="cellIs" dxfId="40" priority="41" operator="equal">
      <formula>"A"</formula>
    </cfRule>
  </conditionalFormatting>
  <conditionalFormatting sqref="H84">
    <cfRule type="cellIs" dxfId="39" priority="42" operator="equal">
      <formula>"E"</formula>
    </cfRule>
  </conditionalFormatting>
  <conditionalFormatting sqref="H92">
    <cfRule type="cellIs" dxfId="38" priority="37" operator="equal">
      <formula>"I"</formula>
    </cfRule>
  </conditionalFormatting>
  <conditionalFormatting sqref="H92">
    <cfRule type="cellIs" dxfId="37" priority="38" operator="equal">
      <formula>"A"</formula>
    </cfRule>
  </conditionalFormatting>
  <conditionalFormatting sqref="H92">
    <cfRule type="cellIs" dxfId="36" priority="39" operator="equal">
      <formula>"E"</formula>
    </cfRule>
  </conditionalFormatting>
  <conditionalFormatting sqref="H16">
    <cfRule type="cellIs" dxfId="35" priority="34" operator="equal">
      <formula>"I"</formula>
    </cfRule>
  </conditionalFormatting>
  <conditionalFormatting sqref="H16">
    <cfRule type="cellIs" dxfId="34" priority="35" operator="equal">
      <formula>"A"</formula>
    </cfRule>
  </conditionalFormatting>
  <conditionalFormatting sqref="H16">
    <cfRule type="cellIs" dxfId="33" priority="36" operator="equal">
      <formula>"E"</formula>
    </cfRule>
  </conditionalFormatting>
  <conditionalFormatting sqref="H15">
    <cfRule type="cellIs" dxfId="32" priority="31" operator="equal">
      <formula>"I"</formula>
    </cfRule>
  </conditionalFormatting>
  <conditionalFormatting sqref="H15">
    <cfRule type="cellIs" dxfId="31" priority="32" operator="equal">
      <formula>"A"</formula>
    </cfRule>
  </conditionalFormatting>
  <conditionalFormatting sqref="H15">
    <cfRule type="cellIs" dxfId="30" priority="33" operator="equal">
      <formula>"E"</formula>
    </cfRule>
  </conditionalFormatting>
  <conditionalFormatting sqref="H97">
    <cfRule type="cellIs" dxfId="29" priority="25" operator="equal">
      <formula>"I"</formula>
    </cfRule>
  </conditionalFormatting>
  <conditionalFormatting sqref="H97">
    <cfRule type="cellIs" dxfId="28" priority="26" operator="equal">
      <formula>"A"</formula>
    </cfRule>
  </conditionalFormatting>
  <conditionalFormatting sqref="H97">
    <cfRule type="cellIs" dxfId="27" priority="27" operator="equal">
      <formula>"E"</formula>
    </cfRule>
  </conditionalFormatting>
  <conditionalFormatting sqref="H99">
    <cfRule type="cellIs" dxfId="26" priority="22" operator="equal">
      <formula>"I"</formula>
    </cfRule>
  </conditionalFormatting>
  <conditionalFormatting sqref="H99">
    <cfRule type="cellIs" dxfId="25" priority="23" operator="equal">
      <formula>"A"</formula>
    </cfRule>
  </conditionalFormatting>
  <conditionalFormatting sqref="H99">
    <cfRule type="cellIs" dxfId="24" priority="24" operator="equal">
      <formula>"E"</formula>
    </cfRule>
  </conditionalFormatting>
  <conditionalFormatting sqref="H94">
    <cfRule type="cellIs" dxfId="23" priority="19" operator="equal">
      <formula>"I"</formula>
    </cfRule>
  </conditionalFormatting>
  <conditionalFormatting sqref="H94">
    <cfRule type="cellIs" dxfId="22" priority="20" operator="equal">
      <formula>"A"</formula>
    </cfRule>
  </conditionalFormatting>
  <conditionalFormatting sqref="H94">
    <cfRule type="cellIs" dxfId="21" priority="21" operator="equal">
      <formula>"E"</formula>
    </cfRule>
  </conditionalFormatting>
  <conditionalFormatting sqref="H95">
    <cfRule type="cellIs" dxfId="20" priority="16" operator="equal">
      <formula>"I"</formula>
    </cfRule>
  </conditionalFormatting>
  <conditionalFormatting sqref="H95">
    <cfRule type="cellIs" dxfId="19" priority="17" operator="equal">
      <formula>"A"</formula>
    </cfRule>
  </conditionalFormatting>
  <conditionalFormatting sqref="H95">
    <cfRule type="cellIs" dxfId="18" priority="18" operator="equal">
      <formula>"E"</formula>
    </cfRule>
  </conditionalFormatting>
  <conditionalFormatting sqref="H96">
    <cfRule type="cellIs" dxfId="17" priority="13" operator="equal">
      <formula>"I"</formula>
    </cfRule>
  </conditionalFormatting>
  <conditionalFormatting sqref="H96">
    <cfRule type="cellIs" dxfId="16" priority="14" operator="equal">
      <formula>"A"</formula>
    </cfRule>
  </conditionalFormatting>
  <conditionalFormatting sqref="H96">
    <cfRule type="cellIs" dxfId="15" priority="15" operator="equal">
      <formula>"E"</formula>
    </cfRule>
  </conditionalFormatting>
  <conditionalFormatting sqref="H75">
    <cfRule type="cellIs" dxfId="14" priority="1" operator="equal">
      <formula>"I"</formula>
    </cfRule>
  </conditionalFormatting>
  <conditionalFormatting sqref="H75">
    <cfRule type="cellIs" dxfId="13" priority="2" operator="equal">
      <formula>"A"</formula>
    </cfRule>
  </conditionalFormatting>
  <conditionalFormatting sqref="H75">
    <cfRule type="cellIs" dxfId="12" priority="3" operator="equal">
      <formula>"E"</formula>
    </cfRule>
  </conditionalFormatting>
  <conditionalFormatting sqref="H98">
    <cfRule type="cellIs" dxfId="5" priority="4" operator="equal">
      <formula>"I"</formula>
    </cfRule>
  </conditionalFormatting>
  <conditionalFormatting sqref="H98">
    <cfRule type="cellIs" dxfId="4" priority="5" operator="equal">
      <formula>"A"</formula>
    </cfRule>
  </conditionalFormatting>
  <conditionalFormatting sqref="H98">
    <cfRule type="cellIs" dxfId="3" priority="6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28" workbookViewId="0">
      <selection activeCell="G47" sqref="G47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36" t="s">
        <v>40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8"/>
    </row>
    <row r="2" spans="1:12" ht="12" customHeight="1">
      <c r="A2" s="139"/>
      <c r="B2" s="94"/>
      <c r="C2" s="94"/>
      <c r="D2" s="94"/>
      <c r="E2" s="94"/>
      <c r="F2" s="94"/>
      <c r="G2" s="94"/>
      <c r="H2" s="94"/>
      <c r="I2" s="94"/>
      <c r="J2" s="94"/>
      <c r="K2" s="94"/>
      <c r="L2" s="140"/>
    </row>
    <row r="3" spans="1:12" ht="12" customHeight="1">
      <c r="A3" s="132"/>
      <c r="B3" s="97"/>
      <c r="C3" s="97"/>
      <c r="D3" s="97"/>
      <c r="E3" s="97"/>
      <c r="F3" s="97"/>
      <c r="G3" s="97"/>
      <c r="H3" s="97"/>
      <c r="I3" s="97"/>
      <c r="J3" s="97"/>
      <c r="K3" s="97"/>
      <c r="L3" s="141"/>
    </row>
    <row r="4" spans="1:12" ht="12" customHeight="1">
      <c r="A4" s="134" t="str">
        <f>Contagem!A5&amp;" : "&amp;Contagem!F5</f>
        <v xml:space="preserve">Aplicação : </v>
      </c>
      <c r="B4" s="85"/>
      <c r="C4" s="85"/>
      <c r="D4" s="85"/>
      <c r="E4" s="83"/>
      <c r="F4" s="144" t="str">
        <f>Contagem!A6&amp;" : "&amp;Contagem!F6</f>
        <v xml:space="preserve">Projeto : </v>
      </c>
      <c r="G4" s="85"/>
      <c r="H4" s="85"/>
      <c r="I4" s="85"/>
      <c r="J4" s="85"/>
      <c r="K4" s="85"/>
      <c r="L4" s="145"/>
    </row>
    <row r="5" spans="1:12" ht="12" customHeight="1">
      <c r="A5" s="134" t="str">
        <f>Contagem!A7&amp;" : "&amp;Contagem!F7</f>
        <v>Responsável : Paulo César</v>
      </c>
      <c r="B5" s="85"/>
      <c r="C5" s="85"/>
      <c r="D5" s="85"/>
      <c r="E5" s="85"/>
      <c r="F5" s="144" t="str">
        <f>Contagem!A8&amp;" : "&amp;Contagem!F8</f>
        <v xml:space="preserve">Revisor : </v>
      </c>
      <c r="G5" s="85"/>
      <c r="H5" s="85"/>
      <c r="I5" s="85"/>
      <c r="J5" s="85"/>
      <c r="K5" s="85"/>
      <c r="L5" s="145"/>
    </row>
    <row r="6" spans="1:12" ht="12" customHeight="1">
      <c r="A6" s="26" t="str">
        <f>Contagem!A4&amp;" : "&amp;Contagem!F4</f>
        <v>Empresa : Souza Car</v>
      </c>
      <c r="B6" s="27"/>
      <c r="C6" s="27"/>
      <c r="D6" s="28"/>
      <c r="E6" s="28"/>
      <c r="F6" s="147" t="str">
        <f>Contagem!R4&amp;" = "&amp;VALUE(Contagem!T4)</f>
        <v>R$/PF = 500</v>
      </c>
      <c r="G6" s="83"/>
      <c r="H6" s="147" t="str">
        <f>" Custo= "&amp;DOLLAR(Contagem!W4)</f>
        <v xml:space="preserve"> Custo= R$ 191.500,00</v>
      </c>
      <c r="I6" s="85"/>
      <c r="J6" s="83"/>
      <c r="K6" s="146" t="str">
        <f>"PF  = "&amp;VALUE(Contagem!W5)</f>
        <v>PF  = 383</v>
      </c>
      <c r="L6" s="145"/>
    </row>
    <row r="7" spans="1:12" ht="12" customHeight="1">
      <c r="A7" s="131" t="s">
        <v>41</v>
      </c>
      <c r="B7" s="91"/>
      <c r="C7" s="133" t="s">
        <v>42</v>
      </c>
      <c r="D7" s="91"/>
      <c r="E7" s="91"/>
      <c r="F7" s="91"/>
      <c r="G7" s="142" t="s">
        <v>43</v>
      </c>
      <c r="H7" s="142"/>
      <c r="I7" s="142" t="s">
        <v>44</v>
      </c>
      <c r="J7" s="143"/>
      <c r="K7" s="142"/>
      <c r="L7" s="143"/>
    </row>
    <row r="8" spans="1:12" ht="12" customHeight="1">
      <c r="A8" s="132"/>
      <c r="B8" s="97"/>
      <c r="C8" s="97"/>
      <c r="D8" s="97"/>
      <c r="E8" s="97"/>
      <c r="F8" s="97"/>
      <c r="G8" s="97"/>
      <c r="H8" s="97"/>
      <c r="I8" s="97"/>
      <c r="J8" s="141"/>
      <c r="K8" s="97"/>
      <c r="L8" s="141"/>
    </row>
    <row r="9" spans="1:12" ht="12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2" customHeight="1">
      <c r="A10" s="32"/>
      <c r="B10" s="4" t="s">
        <v>37</v>
      </c>
      <c r="C10" s="33">
        <f>COUNTIF(CF,"EEL")</f>
        <v>0</v>
      </c>
      <c r="D10" s="4"/>
      <c r="E10" s="34" t="s">
        <v>45</v>
      </c>
      <c r="F10" s="34" t="s">
        <v>46</v>
      </c>
      <c r="G10" s="35">
        <f>C10*3</f>
        <v>0</v>
      </c>
      <c r="H10" s="4"/>
      <c r="I10" s="36"/>
      <c r="J10" s="4"/>
      <c r="K10" s="4"/>
      <c r="L10" s="37"/>
    </row>
    <row r="11" spans="1:12" ht="12" customHeight="1">
      <c r="A11" s="32"/>
      <c r="B11" s="4"/>
      <c r="C11" s="33">
        <f>COUNTIF(CF,"EEA")</f>
        <v>35</v>
      </c>
      <c r="D11" s="4"/>
      <c r="E11" s="34" t="s">
        <v>47</v>
      </c>
      <c r="F11" s="34" t="s">
        <v>48</v>
      </c>
      <c r="G11" s="35">
        <f>C11*4</f>
        <v>140</v>
      </c>
      <c r="H11" s="4"/>
      <c r="I11" s="36"/>
      <c r="J11" s="4"/>
      <c r="K11" s="4"/>
      <c r="L11" s="37"/>
    </row>
    <row r="12" spans="1:12" ht="12" customHeight="1">
      <c r="A12" s="32"/>
      <c r="B12" s="4"/>
      <c r="C12" s="33">
        <f>COUNTIF(CF,"EEH")</f>
        <v>0</v>
      </c>
      <c r="D12" s="4"/>
      <c r="E12" s="34" t="s">
        <v>49</v>
      </c>
      <c r="F12" s="34" t="s">
        <v>50</v>
      </c>
      <c r="G12" s="35">
        <f>C12*6</f>
        <v>0</v>
      </c>
      <c r="H12" s="4"/>
      <c r="I12" s="36"/>
      <c r="J12" s="4"/>
      <c r="K12" s="4"/>
      <c r="L12" s="38"/>
    </row>
    <row r="13" spans="1:12" ht="6.75" customHeight="1">
      <c r="A13" s="32"/>
      <c r="B13" s="4"/>
      <c r="C13" s="30"/>
      <c r="D13" s="4"/>
      <c r="E13" s="4"/>
      <c r="F13" s="4"/>
      <c r="G13" s="30"/>
      <c r="H13" s="4"/>
      <c r="I13" s="4"/>
      <c r="J13" s="4"/>
      <c r="K13" s="4"/>
      <c r="L13" s="37"/>
    </row>
    <row r="14" spans="1:12" ht="12" customHeight="1">
      <c r="A14" s="32"/>
      <c r="B14" s="39" t="s">
        <v>51</v>
      </c>
      <c r="C14" s="35">
        <f>SUM(C10:C12)</f>
        <v>35</v>
      </c>
      <c r="D14" s="4"/>
      <c r="E14" s="4"/>
      <c r="F14" s="39" t="s">
        <v>51</v>
      </c>
      <c r="G14" s="35">
        <f>SUM(G10:G12)</f>
        <v>140</v>
      </c>
      <c r="H14" s="4"/>
      <c r="I14" s="40">
        <f>IF($G$45&lt;&gt;0,G14/$G$45,"")</f>
        <v>0.37234042553191488</v>
      </c>
      <c r="J14" s="4"/>
      <c r="K14" s="4"/>
      <c r="L14" s="37"/>
    </row>
    <row r="15" spans="1:12" ht="6" customHeight="1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2"/>
    </row>
    <row r="16" spans="1:12" ht="12" customHeight="1">
      <c r="A16" s="32"/>
      <c r="B16" s="4"/>
      <c r="C16" s="4"/>
      <c r="D16" s="4"/>
      <c r="E16" s="4"/>
      <c r="F16" s="4"/>
      <c r="G16" s="4"/>
      <c r="H16" s="4"/>
      <c r="I16" s="4"/>
      <c r="J16" s="4"/>
      <c r="K16" s="4"/>
      <c r="L16" s="37"/>
    </row>
    <row r="17" spans="1:12" ht="12" customHeight="1">
      <c r="A17" s="32"/>
      <c r="B17" s="4" t="s">
        <v>52</v>
      </c>
      <c r="C17" s="33">
        <f>COUNTIF(CF,"SEL")</f>
        <v>0</v>
      </c>
      <c r="D17" s="4"/>
      <c r="E17" s="34" t="s">
        <v>45</v>
      </c>
      <c r="F17" s="34" t="s">
        <v>48</v>
      </c>
      <c r="G17" s="35">
        <f>C17*4</f>
        <v>0</v>
      </c>
      <c r="H17" s="4"/>
      <c r="I17" s="4"/>
      <c r="J17" s="4"/>
      <c r="K17" s="4"/>
      <c r="L17" s="37"/>
    </row>
    <row r="18" spans="1:12" ht="12" customHeight="1">
      <c r="A18" s="32"/>
      <c r="B18" s="4"/>
      <c r="C18" s="33">
        <f>COUNTIF(CF,"SEA")</f>
        <v>16</v>
      </c>
      <c r="D18" s="4"/>
      <c r="E18" s="34" t="s">
        <v>47</v>
      </c>
      <c r="F18" s="34" t="s">
        <v>53</v>
      </c>
      <c r="G18" s="35">
        <f>C18*5</f>
        <v>80</v>
      </c>
      <c r="H18" s="4"/>
      <c r="I18" s="4"/>
      <c r="J18" s="4"/>
      <c r="K18" s="4"/>
      <c r="L18" s="37"/>
    </row>
    <row r="19" spans="1:12" ht="12" customHeight="1">
      <c r="A19" s="32"/>
      <c r="B19" s="4"/>
      <c r="C19" s="33">
        <f>COUNTIF(CF,"SEH")</f>
        <v>0</v>
      </c>
      <c r="D19" s="4"/>
      <c r="E19" s="34" t="s">
        <v>49</v>
      </c>
      <c r="F19" s="34" t="s">
        <v>54</v>
      </c>
      <c r="G19" s="35">
        <f>C19*7</f>
        <v>0</v>
      </c>
      <c r="H19" s="4"/>
      <c r="I19" s="4"/>
      <c r="J19" s="4"/>
      <c r="K19" s="4"/>
      <c r="L19" s="38"/>
    </row>
    <row r="20" spans="1:12" ht="6.75" customHeight="1">
      <c r="A20" s="32"/>
      <c r="B20" s="4"/>
      <c r="C20" s="30"/>
      <c r="D20" s="4"/>
      <c r="E20" s="4"/>
      <c r="F20" s="4"/>
      <c r="G20" s="30"/>
      <c r="H20" s="4"/>
      <c r="I20" s="4"/>
      <c r="J20" s="4"/>
      <c r="K20" s="4"/>
      <c r="L20" s="37"/>
    </row>
    <row r="21" spans="1:12" ht="12" customHeight="1">
      <c r="A21" s="32"/>
      <c r="B21" s="39" t="s">
        <v>51</v>
      </c>
      <c r="C21" s="35">
        <f>SUM(C17:C19)</f>
        <v>16</v>
      </c>
      <c r="D21" s="4"/>
      <c r="E21" s="4"/>
      <c r="F21" s="39" t="s">
        <v>51</v>
      </c>
      <c r="G21" s="35">
        <f>SUM(G17:G19)</f>
        <v>80</v>
      </c>
      <c r="H21" s="4"/>
      <c r="I21" s="43">
        <f>IF($G$45&lt;&gt;0,G21/$G$45,"")</f>
        <v>0.21276595744680851</v>
      </c>
      <c r="J21" s="4"/>
      <c r="K21" s="4"/>
      <c r="L21" s="37"/>
    </row>
    <row r="22" spans="1:12" ht="6" customHeight="1">
      <c r="A22" s="4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2"/>
    </row>
    <row r="23" spans="1:12" ht="12" customHeight="1">
      <c r="A23" s="29"/>
      <c r="B23" s="30"/>
      <c r="C23" s="4"/>
      <c r="D23" s="30"/>
      <c r="E23" s="30"/>
      <c r="F23" s="30"/>
      <c r="G23" s="4"/>
      <c r="H23" s="30"/>
      <c r="I23" s="30"/>
      <c r="J23" s="30"/>
      <c r="K23" s="30"/>
      <c r="L23" s="31"/>
    </row>
    <row r="24" spans="1:12" ht="12" customHeight="1">
      <c r="A24" s="32"/>
      <c r="B24" s="4" t="s">
        <v>39</v>
      </c>
      <c r="C24" s="33">
        <f>COUNTIF(CF,"CEL")</f>
        <v>0</v>
      </c>
      <c r="D24" s="4"/>
      <c r="E24" s="34" t="s">
        <v>45</v>
      </c>
      <c r="F24" s="34" t="s">
        <v>46</v>
      </c>
      <c r="G24" s="35">
        <f>C24*3</f>
        <v>0</v>
      </c>
      <c r="H24" s="4"/>
      <c r="I24" s="4"/>
      <c r="J24" s="4"/>
      <c r="K24" s="4"/>
      <c r="L24" s="37"/>
    </row>
    <row r="25" spans="1:12" ht="12" customHeight="1">
      <c r="A25" s="32"/>
      <c r="B25" s="4"/>
      <c r="C25" s="33">
        <f>COUNTIF(CF,"CEA")</f>
        <v>16</v>
      </c>
      <c r="D25" s="4"/>
      <c r="E25" s="34" t="s">
        <v>47</v>
      </c>
      <c r="F25" s="34" t="s">
        <v>48</v>
      </c>
      <c r="G25" s="35">
        <f>C25*4</f>
        <v>64</v>
      </c>
      <c r="H25" s="4"/>
      <c r="I25" s="4"/>
      <c r="J25" s="4"/>
      <c r="K25" s="4"/>
      <c r="L25" s="37"/>
    </row>
    <row r="26" spans="1:12" ht="12" customHeight="1">
      <c r="A26" s="32"/>
      <c r="B26" s="4"/>
      <c r="C26" s="33">
        <f>COUNTIF(CF,"CEH")</f>
        <v>0</v>
      </c>
      <c r="D26" s="4"/>
      <c r="E26" s="34" t="s">
        <v>49</v>
      </c>
      <c r="F26" s="34" t="s">
        <v>50</v>
      </c>
      <c r="G26" s="35">
        <f>C26*6</f>
        <v>0</v>
      </c>
      <c r="H26" s="4"/>
      <c r="I26" s="4"/>
      <c r="J26" s="4"/>
      <c r="K26" s="4"/>
      <c r="L26" s="38"/>
    </row>
    <row r="27" spans="1:12" ht="6.75" customHeight="1">
      <c r="A27" s="32"/>
      <c r="B27" s="4"/>
      <c r="C27" s="30"/>
      <c r="D27" s="4"/>
      <c r="E27" s="4"/>
      <c r="F27" s="4"/>
      <c r="G27" s="30"/>
      <c r="H27" s="4"/>
      <c r="I27" s="4"/>
      <c r="J27" s="4"/>
      <c r="K27" s="4"/>
      <c r="L27" s="37"/>
    </row>
    <row r="28" spans="1:12" ht="12" customHeight="1">
      <c r="A28" s="32"/>
      <c r="B28" s="39" t="s">
        <v>51</v>
      </c>
      <c r="C28" s="35">
        <f>SUM(C24:C26)</f>
        <v>16</v>
      </c>
      <c r="D28" s="4"/>
      <c r="E28" s="4"/>
      <c r="F28" s="39" t="s">
        <v>51</v>
      </c>
      <c r="G28" s="35">
        <f>SUM(G24:G26)</f>
        <v>64</v>
      </c>
      <c r="H28" s="4"/>
      <c r="I28" s="44">
        <f>IF($G$45&lt;&gt;0,G28/$G$45,"")</f>
        <v>0.1702127659574468</v>
      </c>
      <c r="J28" s="4"/>
      <c r="K28" s="4"/>
      <c r="L28" s="37"/>
    </row>
    <row r="29" spans="1:12" ht="6" customHeight="1">
      <c r="A29" s="4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2"/>
    </row>
    <row r="30" spans="1:12" ht="12" customHeight="1">
      <c r="A30" s="29"/>
      <c r="B30" s="30"/>
      <c r="C30" s="4"/>
      <c r="D30" s="30"/>
      <c r="E30" s="30"/>
      <c r="F30" s="30"/>
      <c r="G30" s="4"/>
      <c r="H30" s="30"/>
      <c r="I30" s="30"/>
      <c r="J30" s="30"/>
      <c r="K30" s="30"/>
      <c r="L30" s="31"/>
    </row>
    <row r="31" spans="1:12" ht="12" customHeight="1">
      <c r="A31" s="32"/>
      <c r="B31" s="4" t="s">
        <v>35</v>
      </c>
      <c r="C31" s="33">
        <f>COUNTIF(CF,"ALIL")</f>
        <v>11</v>
      </c>
      <c r="D31" s="4"/>
      <c r="E31" s="4" t="s">
        <v>45</v>
      </c>
      <c r="F31" s="4" t="s">
        <v>54</v>
      </c>
      <c r="G31" s="35">
        <f>C31*7</f>
        <v>77</v>
      </c>
      <c r="H31" s="4"/>
      <c r="I31" s="4"/>
      <c r="J31" s="4"/>
      <c r="K31" s="4"/>
      <c r="L31" s="37"/>
    </row>
    <row r="32" spans="1:12" ht="12" customHeight="1">
      <c r="A32" s="32"/>
      <c r="B32" s="4"/>
      <c r="C32" s="33">
        <f>COUNTIF(CF,"ALIA")</f>
        <v>0</v>
      </c>
      <c r="D32" s="4"/>
      <c r="E32" s="4" t="s">
        <v>47</v>
      </c>
      <c r="F32" s="4" t="s">
        <v>55</v>
      </c>
      <c r="G32" s="35">
        <f>C32*10</f>
        <v>0</v>
      </c>
      <c r="H32" s="4"/>
      <c r="I32" s="4"/>
      <c r="J32" s="4"/>
      <c r="K32" s="4"/>
      <c r="L32" s="37"/>
    </row>
    <row r="33" spans="1:12" ht="12" customHeight="1">
      <c r="A33" s="32"/>
      <c r="B33" s="4"/>
      <c r="C33" s="33">
        <f>COUNTIF(CF,"ALIH")</f>
        <v>0</v>
      </c>
      <c r="D33" s="4"/>
      <c r="E33" s="4" t="s">
        <v>49</v>
      </c>
      <c r="F33" s="4" t="s">
        <v>56</v>
      </c>
      <c r="G33" s="35">
        <f>C33*15</f>
        <v>0</v>
      </c>
      <c r="H33" s="4"/>
      <c r="I33" s="4"/>
      <c r="J33" s="4"/>
      <c r="K33" s="4"/>
      <c r="L33" s="38"/>
    </row>
    <row r="34" spans="1:12" ht="6.75" customHeight="1">
      <c r="A34" s="32"/>
      <c r="B34" s="4"/>
      <c r="C34" s="30"/>
      <c r="D34" s="4"/>
      <c r="E34" s="4"/>
      <c r="F34" s="4"/>
      <c r="G34" s="30"/>
      <c r="H34" s="4"/>
      <c r="I34" s="4"/>
      <c r="J34" s="4"/>
      <c r="K34" s="4"/>
      <c r="L34" s="37"/>
    </row>
    <row r="35" spans="1:12" ht="12" customHeight="1">
      <c r="A35" s="32"/>
      <c r="B35" s="39" t="s">
        <v>51</v>
      </c>
      <c r="C35" s="35">
        <f>SUM(C31:C33)</f>
        <v>11</v>
      </c>
      <c r="D35" s="4"/>
      <c r="E35" s="4"/>
      <c r="F35" s="39" t="s">
        <v>51</v>
      </c>
      <c r="G35" s="35">
        <f>SUM(G31:G33)</f>
        <v>77</v>
      </c>
      <c r="H35" s="4"/>
      <c r="I35" s="45">
        <f>IF($G$45&lt;&gt;0,G35/$G$45,"")</f>
        <v>0.2047872340425532</v>
      </c>
      <c r="J35" s="4"/>
      <c r="K35" s="4"/>
      <c r="L35" s="37"/>
    </row>
    <row r="36" spans="1:12" ht="6" customHeight="1">
      <c r="A36" s="4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42"/>
    </row>
    <row r="37" spans="1:12" ht="12" customHeight="1">
      <c r="A37" s="29"/>
      <c r="B37" s="30"/>
      <c r="C37" s="4"/>
      <c r="D37" s="30"/>
      <c r="E37" s="30"/>
      <c r="F37" s="30"/>
      <c r="G37" s="4"/>
      <c r="H37" s="30"/>
      <c r="I37" s="30"/>
      <c r="J37" s="30"/>
      <c r="K37" s="30"/>
      <c r="L37" s="31"/>
    </row>
    <row r="38" spans="1:12" ht="12" customHeight="1">
      <c r="A38" s="32"/>
      <c r="B38" s="4" t="s">
        <v>57</v>
      </c>
      <c r="C38" s="33">
        <f>COUNTIF(CF,"AIEL")</f>
        <v>3</v>
      </c>
      <c r="D38" s="4"/>
      <c r="E38" s="4" t="s">
        <v>45</v>
      </c>
      <c r="F38" s="4" t="s">
        <v>53</v>
      </c>
      <c r="G38" s="35">
        <f>C38*5</f>
        <v>15</v>
      </c>
      <c r="H38" s="4"/>
      <c r="I38" s="4"/>
      <c r="J38" s="4"/>
      <c r="K38" s="4"/>
      <c r="L38" s="37"/>
    </row>
    <row r="39" spans="1:12" ht="12" customHeight="1">
      <c r="A39" s="32"/>
      <c r="B39" s="4"/>
      <c r="C39" s="33">
        <f>COUNTIF(CF,"AIEA")</f>
        <v>0</v>
      </c>
      <c r="D39" s="4"/>
      <c r="E39" s="4" t="s">
        <v>47</v>
      </c>
      <c r="F39" s="4" t="s">
        <v>54</v>
      </c>
      <c r="G39" s="35">
        <f>C39*7</f>
        <v>0</v>
      </c>
      <c r="H39" s="4"/>
      <c r="I39" s="4"/>
      <c r="J39" s="4"/>
      <c r="K39" s="4"/>
      <c r="L39" s="37"/>
    </row>
    <row r="40" spans="1:12" ht="12" customHeight="1">
      <c r="A40" s="32"/>
      <c r="B40" s="4"/>
      <c r="C40" s="33">
        <f>COUNTIF(CF,"AIEH")</f>
        <v>0</v>
      </c>
      <c r="D40" s="4"/>
      <c r="E40" s="4" t="s">
        <v>49</v>
      </c>
      <c r="F40" s="4" t="s">
        <v>55</v>
      </c>
      <c r="G40" s="35">
        <f>C40*10</f>
        <v>0</v>
      </c>
      <c r="H40" s="4"/>
      <c r="I40" s="4"/>
      <c r="J40" s="4"/>
      <c r="K40" s="4"/>
      <c r="L40" s="38"/>
    </row>
    <row r="41" spans="1:12" ht="6.75" customHeight="1">
      <c r="A41" s="32"/>
      <c r="B41" s="4"/>
      <c r="C41" s="30"/>
      <c r="D41" s="4"/>
      <c r="E41" s="4"/>
      <c r="F41" s="4"/>
      <c r="G41" s="30"/>
      <c r="H41" s="4"/>
      <c r="I41" s="4"/>
      <c r="J41" s="4"/>
      <c r="K41" s="4"/>
      <c r="L41" s="37"/>
    </row>
    <row r="42" spans="1:12" ht="12" customHeight="1">
      <c r="A42" s="32"/>
      <c r="B42" s="39" t="s">
        <v>51</v>
      </c>
      <c r="C42" s="35">
        <f>SUM(C38:C40)</f>
        <v>3</v>
      </c>
      <c r="D42" s="4"/>
      <c r="E42" s="4"/>
      <c r="F42" s="39" t="s">
        <v>51</v>
      </c>
      <c r="G42" s="35">
        <f>SUM(G38:G40)</f>
        <v>15</v>
      </c>
      <c r="H42" s="4"/>
      <c r="I42" s="46">
        <f>IF($G$45&lt;&gt;0,G42/$G$45,"")</f>
        <v>3.9893617021276598E-2</v>
      </c>
      <c r="J42" s="4"/>
      <c r="K42" s="4"/>
      <c r="L42" s="37"/>
    </row>
    <row r="43" spans="1:12" ht="6" customHeight="1">
      <c r="A43" s="4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42"/>
    </row>
    <row r="44" spans="1:12" ht="12" customHeight="1">
      <c r="A44" s="32"/>
      <c r="B44" s="4"/>
      <c r="C44" s="4"/>
      <c r="D44" s="4"/>
      <c r="E44" s="4"/>
      <c r="F44" s="4"/>
      <c r="G44" s="4"/>
      <c r="H44" s="4"/>
      <c r="I44" s="4"/>
      <c r="J44" s="4"/>
      <c r="K44" s="4"/>
      <c r="L44" s="37"/>
    </row>
    <row r="45" spans="1:12" ht="12" customHeight="1">
      <c r="A45" s="32"/>
      <c r="B45" s="4" t="s">
        <v>58</v>
      </c>
      <c r="C45" s="4"/>
      <c r="D45" s="4"/>
      <c r="E45" s="4"/>
      <c r="F45" s="4"/>
      <c r="G45" s="35">
        <f>SUM(G14+G21+G28+G35+G42)</f>
        <v>376</v>
      </c>
      <c r="H45" s="4"/>
      <c r="I45" s="4"/>
      <c r="J45" s="4"/>
      <c r="K45" s="4"/>
      <c r="L45" s="37"/>
    </row>
    <row r="46" spans="1:12" ht="12" customHeight="1">
      <c r="A46" s="32"/>
      <c r="B46" s="4" t="s">
        <v>59</v>
      </c>
      <c r="C46" s="4"/>
      <c r="D46" s="4"/>
      <c r="E46" s="4"/>
      <c r="F46" s="4"/>
      <c r="G46" s="35">
        <f>(C10+C11+C12)*4+(C17+C18+C19)*5+(C24+C25+C26)*4+(C31+C32+C33)*7+(C38+C39+C40)*5</f>
        <v>376</v>
      </c>
      <c r="H46" s="4"/>
      <c r="I46" s="4"/>
      <c r="J46" s="4"/>
      <c r="K46" s="4"/>
      <c r="L46" s="37"/>
    </row>
    <row r="47" spans="1:12" ht="12" customHeight="1">
      <c r="A47" s="32"/>
      <c r="B47" s="4" t="s">
        <v>60</v>
      </c>
      <c r="C47" s="4"/>
      <c r="D47" s="4"/>
      <c r="E47" s="4"/>
      <c r="F47" s="4"/>
      <c r="G47" s="35">
        <f>(C31+C32+C33)*35+(C38+C39+C40)*15</f>
        <v>430</v>
      </c>
      <c r="H47" s="4"/>
      <c r="I47" s="4"/>
      <c r="J47" s="4"/>
      <c r="K47" s="4"/>
      <c r="L47" s="37"/>
    </row>
    <row r="48" spans="1:12" ht="12" customHeight="1">
      <c r="A48" s="32"/>
      <c r="B48" s="4"/>
      <c r="C48" s="4"/>
      <c r="D48" s="4"/>
      <c r="E48" s="4"/>
      <c r="F48" s="4"/>
      <c r="G48" s="4"/>
      <c r="H48" s="4"/>
      <c r="I48" s="4"/>
      <c r="J48" s="4"/>
      <c r="K48" s="4"/>
      <c r="L48" s="37"/>
    </row>
    <row r="49" spans="1:12" ht="12" customHeight="1">
      <c r="A49" s="32"/>
      <c r="B49" s="4"/>
      <c r="C49" s="4"/>
      <c r="D49" s="4"/>
      <c r="E49" s="4"/>
      <c r="F49" s="4"/>
      <c r="G49" s="4"/>
      <c r="H49" s="4"/>
      <c r="I49" s="4"/>
      <c r="J49" s="4"/>
      <c r="K49" s="4"/>
      <c r="L49" s="37"/>
    </row>
    <row r="50" spans="1:12" ht="12" customHeight="1">
      <c r="A50" s="32"/>
      <c r="B50" s="4"/>
      <c r="C50" s="4"/>
      <c r="D50" s="4"/>
      <c r="E50" s="4"/>
      <c r="F50" s="4"/>
      <c r="G50" s="4"/>
      <c r="H50" s="4"/>
      <c r="I50" s="4"/>
      <c r="J50" s="4"/>
      <c r="K50" s="4"/>
      <c r="L50" s="37"/>
    </row>
    <row r="51" spans="1:12" ht="13.5" customHeight="1">
      <c r="A51" s="32"/>
      <c r="B51" s="4"/>
      <c r="C51" s="4"/>
      <c r="D51" s="4"/>
      <c r="E51" s="4"/>
      <c r="F51" s="4"/>
      <c r="G51" s="4"/>
      <c r="H51" s="4"/>
      <c r="I51" s="4"/>
      <c r="J51" s="4"/>
      <c r="K51" s="4"/>
      <c r="L51" s="37"/>
    </row>
    <row r="52" spans="1:12" ht="12" customHeigh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</row>
    <row r="53" spans="1:12" ht="12" customHeight="1">
      <c r="A53" s="32"/>
      <c r="B53" s="4" t="s">
        <v>61</v>
      </c>
      <c r="C53" s="4"/>
      <c r="D53" s="4"/>
      <c r="E53" s="4"/>
      <c r="F53" s="4"/>
      <c r="G53" s="4"/>
      <c r="H53" s="4"/>
      <c r="I53" s="4"/>
      <c r="J53" s="4"/>
      <c r="K53" s="4"/>
      <c r="L53" s="37"/>
    </row>
    <row r="54" spans="1:12" ht="12" customHeight="1">
      <c r="A54" s="32"/>
      <c r="B54" s="4"/>
      <c r="C54" s="4"/>
      <c r="D54" s="4"/>
      <c r="E54" s="47" t="s">
        <v>5</v>
      </c>
      <c r="F54" s="47" t="s">
        <v>62</v>
      </c>
      <c r="G54" s="47" t="s">
        <v>63</v>
      </c>
      <c r="H54" s="4"/>
      <c r="I54" s="4"/>
      <c r="J54" s="4"/>
      <c r="K54" s="4"/>
      <c r="L54" s="37"/>
    </row>
    <row r="55" spans="1:12" ht="12" customHeight="1">
      <c r="A55" s="32"/>
      <c r="B55" s="135" t="s">
        <v>64</v>
      </c>
      <c r="C55" s="85"/>
      <c r="D55" s="83"/>
      <c r="E55" s="48">
        <f>SUMIF(Funções!$H$8:$H$99,"I",Funções!$N$8:$N$99)</f>
        <v>383</v>
      </c>
      <c r="F55" s="48">
        <f>Contagem!U11</f>
        <v>1</v>
      </c>
      <c r="G55" s="48">
        <f t="shared" ref="G55:G58" si="0">F55*E55</f>
        <v>383</v>
      </c>
      <c r="H55" s="49"/>
      <c r="I55" s="49"/>
      <c r="J55" s="49"/>
      <c r="K55" s="50" t="s">
        <v>65</v>
      </c>
      <c r="L55" s="37"/>
    </row>
    <row r="56" spans="1:12" ht="12" customHeight="1">
      <c r="A56" s="32"/>
      <c r="B56" s="135" t="s">
        <v>66</v>
      </c>
      <c r="C56" s="85"/>
      <c r="D56" s="83"/>
      <c r="E56" s="48">
        <f>SUMIF(Funções!$H$8:$H$99,"A",Funções!$N$8:$N$99)</f>
        <v>0</v>
      </c>
      <c r="F56" s="48">
        <f>Contagem!U12</f>
        <v>1</v>
      </c>
      <c r="G56" s="48">
        <f t="shared" si="0"/>
        <v>0</v>
      </c>
      <c r="H56" s="49"/>
      <c r="I56" s="49"/>
      <c r="J56" s="49"/>
      <c r="K56" s="51">
        <f>Contagem!W5</f>
        <v>383</v>
      </c>
      <c r="L56" s="37"/>
    </row>
    <row r="57" spans="1:12" ht="12" customHeight="1">
      <c r="A57" s="32"/>
      <c r="B57" s="135" t="s">
        <v>67</v>
      </c>
      <c r="C57" s="85"/>
      <c r="D57" s="83"/>
      <c r="E57" s="48">
        <f>SUMIF(Funções!$H$8:$H$99,"E",Funções!$N$8:$N$99)</f>
        <v>0</v>
      </c>
      <c r="F57" s="48">
        <f>Contagem!U13</f>
        <v>1</v>
      </c>
      <c r="G57" s="48">
        <f t="shared" si="0"/>
        <v>0</v>
      </c>
      <c r="H57" s="49"/>
      <c r="I57" s="49"/>
      <c r="J57" s="49"/>
      <c r="K57" s="4"/>
      <c r="L57" s="37"/>
    </row>
    <row r="58" spans="1:12" ht="12" customHeight="1">
      <c r="A58" s="32"/>
      <c r="B58" s="135" t="s">
        <v>68</v>
      </c>
      <c r="C58" s="85"/>
      <c r="D58" s="83"/>
      <c r="E58" s="48">
        <f>SUMIF(Funções!$H$8:$H$99,"T",Funções!$N$8:$N$99)</f>
        <v>0</v>
      </c>
      <c r="F58" s="48">
        <f>Contagem!U14</f>
        <v>0</v>
      </c>
      <c r="G58" s="48">
        <f t="shared" si="0"/>
        <v>0</v>
      </c>
      <c r="H58" s="49"/>
      <c r="I58" s="49"/>
      <c r="J58" s="49"/>
      <c r="K58" s="4"/>
      <c r="L58" s="37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A1:L3"/>
    <mergeCell ref="B58:D58"/>
    <mergeCell ref="B57:D57"/>
    <mergeCell ref="A4:E4"/>
    <mergeCell ref="K7:L8"/>
    <mergeCell ref="I7:J8"/>
    <mergeCell ref="H7:H8"/>
    <mergeCell ref="G7:G8"/>
    <mergeCell ref="F4:L4"/>
    <mergeCell ref="F5:L5"/>
    <mergeCell ref="K6:L6"/>
    <mergeCell ref="F6:G6"/>
    <mergeCell ref="H6:J6"/>
    <mergeCell ref="A7:B8"/>
    <mergeCell ref="C7:F8"/>
    <mergeCell ref="A5:E5"/>
    <mergeCell ref="B55:D55"/>
    <mergeCell ref="B56:D56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César</cp:lastModifiedBy>
  <dcterms:modified xsi:type="dcterms:W3CDTF">2017-03-23T23:21:26Z</dcterms:modified>
</cp:coreProperties>
</file>