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/Archivos/PhD/Research/2024/Thesis/Code/Ch6_3/"/>
    </mc:Choice>
  </mc:AlternateContent>
  <xr:revisionPtr revIDLastSave="0" documentId="13_ncr:1_{BD559465-B53A-6E45-B485-5FF4255DDBD6}" xr6:coauthVersionLast="47" xr6:coauthVersionMax="47" xr10:uidLastSave="{00000000-0000-0000-0000-000000000000}"/>
  <bookViews>
    <workbookView xWindow="0" yWindow="660" windowWidth="25600" windowHeight="15980" activeTab="2" xr2:uid="{00000000-000D-0000-FFFF-FFFF00000000}"/>
  </bookViews>
  <sheets>
    <sheet name="MeasuringProtocol" sheetId="3" r:id="rId1"/>
    <sheet name="Parameters" sheetId="8" r:id="rId2"/>
    <sheet name="DesignSpace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2" l="1"/>
  <c r="F19" i="12"/>
  <c r="G19" i="12"/>
  <c r="H19" i="12"/>
  <c r="I19" i="12"/>
  <c r="J19" i="12"/>
  <c r="K19" i="12"/>
  <c r="F27" i="12"/>
  <c r="G27" i="12"/>
  <c r="H27" i="12"/>
  <c r="I27" i="12"/>
  <c r="J27" i="12"/>
  <c r="K27" i="12"/>
  <c r="E27" i="12"/>
  <c r="D27" i="12"/>
  <c r="D19" i="12"/>
  <c r="D35" i="12"/>
  <c r="E35" i="12"/>
  <c r="F35" i="12"/>
  <c r="G35" i="12"/>
  <c r="H35" i="12"/>
  <c r="L24" i="8"/>
  <c r="M24" i="8" s="1"/>
  <c r="L23" i="8"/>
  <c r="M23" i="8" s="1"/>
  <c r="F24" i="8" l="1"/>
  <c r="H24" i="8"/>
  <c r="G24" i="8"/>
  <c r="J24" i="8" s="1"/>
  <c r="I24" i="8"/>
  <c r="K5" i="8"/>
  <c r="H23" i="8" l="1"/>
  <c r="F5" i="8" l="1"/>
  <c r="K14" i="8"/>
  <c r="K6" i="8" l="1"/>
  <c r="F8" i="8"/>
  <c r="F23" i="8" l="1"/>
  <c r="I23" i="8"/>
  <c r="G23" i="8"/>
  <c r="J23" i="8" l="1"/>
  <c r="K12" i="8" s="1"/>
  <c r="F4" i="8" l="1"/>
  <c r="D19" i="8"/>
  <c r="C9" i="8"/>
  <c r="D5" i="8"/>
  <c r="C14" i="8" l="1"/>
  <c r="K4" i="8" s="1"/>
  <c r="C10" i="8"/>
  <c r="C11" i="8" s="1"/>
  <c r="D9" i="8"/>
  <c r="D10" i="8" s="1"/>
  <c r="D11" i="8" s="1"/>
  <c r="F7" i="8"/>
  <c r="F10" i="8" s="1"/>
  <c r="C13" i="8" l="1"/>
  <c r="K10" i="8"/>
  <c r="D12" i="8"/>
  <c r="F11" i="8" l="1"/>
  <c r="F18" i="8" s="1"/>
  <c r="F19" i="8" s="1"/>
  <c r="F12" i="8"/>
  <c r="K18" i="8" l="1"/>
  <c r="K1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Cotera</author>
  </authors>
  <commentList>
    <comment ref="F5" authorId="0" shapeId="0" xr:uid="{92D44E65-6573-5143-9D52-F0CA0B2E82CF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85% VS from Zavala and 50% compostable from haug
</t>
        </r>
      </text>
    </comment>
    <comment ref="C6" authorId="0" shapeId="0" xr:uid="{12A657F4-30C1-C944-8920-0FEF1BDBD57E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6-7% acc to jenkins
</t>
        </r>
      </text>
    </comment>
    <comment ref="D6" authorId="0" shapeId="0" xr:uid="{4C4E2B55-F484-7D4F-96C4-781C27B34ABE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unam carbon measurements and liang
</t>
        </r>
      </text>
    </comment>
    <comment ref="C7" authorId="0" shapeId="0" xr:uid="{754F7532-6C51-C04B-A090-BF2B5704D2E0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6.7 to 7.8
</t>
        </r>
      </text>
    </comment>
    <comment ref="D7" authorId="0" shapeId="0" xr:uid="{C52EBA57-E519-2246-AAD5-1EB932C56332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Liang2003 for pine sawdust</t>
        </r>
      </text>
    </comment>
    <comment ref="F8" authorId="0" shapeId="0" xr:uid="{DFF9FD44-7507-B74B-BE39-5BB85DA34EDB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95% VS from Haug pg. 264 and 20% compostable Haug
</t>
        </r>
      </text>
    </comment>
    <comment ref="F10" authorId="0" shapeId="0" xr:uid="{B17DF22B-BDFD-5D41-AE16-445370E0016F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Minimum airflow required!!
</t>
        </r>
      </text>
    </comment>
    <comment ref="C15" authorId="0" shapeId="0" xr:uid="{D0121030-FEEC-A148-A0B4-8F66722563D9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Aim for 30
</t>
        </r>
      </text>
    </comment>
    <comment ref="C16" authorId="0" shapeId="0" xr:uid="{8B610C31-151A-8441-8509-EA6287A548FE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Aim for 55</t>
        </r>
      </text>
    </comment>
    <comment ref="C17" authorId="0" shapeId="0" xr:uid="{90853E48-F149-3740-B6C1-C9BCA51ABCFD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Aim for 400-600 g/l</t>
        </r>
      </text>
    </comment>
    <comment ref="G19" authorId="0" shapeId="0" xr:uid="{F77FA7B3-E846-D444-9714-E84D6F8E88A9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Ahn2007
</t>
        </r>
      </text>
    </comment>
    <comment ref="C22" authorId="0" shapeId="0" xr:uid="{6BB3DF77-03AE-8C4B-A53F-8231422F2153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Thermal conductivity coefficient k of polyurethane thermo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2" authorId="0" shapeId="0" xr:uid="{2A9744A6-9D6B-BF43-A5B8-8EBF5BD4F49C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Thermal conductivity coefficient k of polyester fiber insulation material</t>
        </r>
      </text>
    </comment>
    <comment ref="E22" authorId="0" shapeId="0" xr:uid="{5464866A-A348-0246-BF92-E77C17DF6D4F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Convection heat transfer coefficient h of air
</t>
        </r>
      </text>
    </comment>
    <comment ref="F22" authorId="0" shapeId="0" xr:uid="{AE6AD63E-F359-6C43-B432-CF291CEA94A9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Thermal resistance polyurethane thermo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22" authorId="0" shapeId="0" xr:uid="{604A6864-1EA3-7D44-8047-529799A49704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Thermal resistance insulation</t>
        </r>
      </text>
    </comment>
    <comment ref="H22" authorId="0" shapeId="0" xr:uid="{373D6DDE-5209-1B42-BC69-C752202EC979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Thermal resistance of disk lids of insulation material R = L/kA where L is r3 and A = pi*r1^2
</t>
        </r>
        <r>
          <rPr>
            <sz val="10"/>
            <color rgb="FF000000"/>
            <rFont val="Tahoma"/>
            <family val="2"/>
          </rPr>
          <t>SELECT ONE OR TWO LIDS!</t>
        </r>
      </text>
    </comment>
    <comment ref="I22" authorId="0" shapeId="0" xr:uid="{426AC48C-1237-3940-BF54-5AA6CEC25B32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Thermal resistance free convection of air
</t>
        </r>
      </text>
    </comment>
    <comment ref="M22" authorId="0" shapeId="0" xr:uid="{62AB0AE3-AEE4-7241-8286-8B01AAA39AD1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Outside Radius r2 + Insulation Thickness (variable) 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Cotera</author>
  </authors>
  <commentList>
    <comment ref="D12" authorId="0" shapeId="0" xr:uid="{44762DDE-23DB-7642-812C-347834187C0E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20, 58.7</t>
        </r>
      </text>
    </comment>
    <comment ref="F12" authorId="0" shapeId="0" xr:uid="{7215956A-65CE-E249-B698-E7CF9D81F06E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25, 53.7
</t>
        </r>
      </text>
    </comment>
    <comment ref="H12" authorId="0" shapeId="0" xr:uid="{D30A2D5B-DF7E-644D-B324-DE08E076BEB9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30, 49.5
</t>
        </r>
      </text>
    </comment>
    <comment ref="I12" authorId="0" shapeId="0" xr:uid="{B010A624-9EBD-374D-B2B1-FD6670ECBB10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35, 46.1
</t>
        </r>
      </text>
    </comment>
    <comment ref="K12" authorId="0" shapeId="0" xr:uid="{26EF0261-C1CD-454E-BEC9-6367CE2C74ED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40, 43.2
</t>
        </r>
      </text>
    </comment>
    <comment ref="B13" authorId="0" shapeId="0" xr:uid="{0D456040-B5D5-9A47-BAE6-50195D95E42D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the minimum calculated by stoichiometry</t>
        </r>
      </text>
    </comment>
    <comment ref="D20" authorId="0" shapeId="0" xr:uid="{74263D3E-69FB-E649-BDC9-448B6599FDFD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20, 58.7</t>
        </r>
      </text>
    </comment>
    <comment ref="F20" authorId="0" shapeId="0" xr:uid="{92AAEC97-2954-E74C-980A-C627ACAD7463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25, 53.7
</t>
        </r>
      </text>
    </comment>
    <comment ref="H20" authorId="0" shapeId="0" xr:uid="{5CDFEE95-4531-9746-81F7-39B9244E475D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30, 49.5
</t>
        </r>
      </text>
    </comment>
    <comment ref="I20" authorId="0" shapeId="0" xr:uid="{FCEEEDD3-2991-4F4A-8BBA-5D0FC0DBC14C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35, 46.1
</t>
        </r>
      </text>
    </comment>
    <comment ref="K20" authorId="0" shapeId="0" xr:uid="{DBF3CFED-0091-7B41-A71D-3A00BCA1796C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40, 43.2
</t>
        </r>
      </text>
    </comment>
    <comment ref="B21" authorId="0" shapeId="0" xr:uid="{D218E793-4B56-3B4D-8E7B-0A7AF64A70B4}">
      <text>
        <r>
          <rPr>
            <b/>
            <sz val="10"/>
            <color rgb="FF000000"/>
            <rFont val="Tahoma"/>
            <family val="2"/>
          </rPr>
          <t>Pablo Cotera: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the minimum calculated by stoichiometry</t>
        </r>
      </text>
    </comment>
  </commentList>
</comments>
</file>

<file path=xl/sharedStrings.xml><?xml version="1.0" encoding="utf-8"?>
<sst xmlns="http://schemas.openxmlformats.org/spreadsheetml/2006/main" count="280" uniqueCount="181">
  <si>
    <t>m</t>
  </si>
  <si>
    <t>Total compost mass</t>
  </si>
  <si>
    <t>Specific heat of mixture</t>
  </si>
  <si>
    <t>Moisture content mix</t>
  </si>
  <si>
    <t>w</t>
  </si>
  <si>
    <t>cw</t>
  </si>
  <si>
    <t>cs</t>
  </si>
  <si>
    <t>Specific heat water</t>
  </si>
  <si>
    <t>Specific heat organics</t>
  </si>
  <si>
    <t>Heat of combustion</t>
  </si>
  <si>
    <t>Hc</t>
  </si>
  <si>
    <t>C</t>
  </si>
  <si>
    <t>FAS</t>
  </si>
  <si>
    <t>Rt</t>
  </si>
  <si>
    <t>Ta</t>
  </si>
  <si>
    <t>dC/dt</t>
  </si>
  <si>
    <t>Free air space</t>
  </si>
  <si>
    <t>Ambient temp</t>
  </si>
  <si>
    <t>Rate of BVS Degraded</t>
  </si>
  <si>
    <t>Description</t>
  </si>
  <si>
    <t>Parameter</t>
  </si>
  <si>
    <t>Value</t>
  </si>
  <si>
    <t>Units</t>
  </si>
  <si>
    <t>kg</t>
  </si>
  <si>
    <t>kJ/kg°C</t>
  </si>
  <si>
    <t>%</t>
  </si>
  <si>
    <t xml:space="preserve">kJ/kg </t>
  </si>
  <si>
    <t>°C</t>
  </si>
  <si>
    <t>kg/day</t>
  </si>
  <si>
    <t>Source</t>
  </si>
  <si>
    <t>Measured</t>
  </si>
  <si>
    <t>Total conductive resistance</t>
  </si>
  <si>
    <t xml:space="preserve">Experimental Setup Parameters </t>
  </si>
  <si>
    <t>-</t>
  </si>
  <si>
    <t>Sawdust</t>
  </si>
  <si>
    <t>Particle Size</t>
  </si>
  <si>
    <t>Free Air Space</t>
  </si>
  <si>
    <t>Initial Wet Weight</t>
  </si>
  <si>
    <t>Final Wet Weight</t>
  </si>
  <si>
    <t>CN ratio goal equation 6:</t>
  </si>
  <si>
    <t>Wet Weight (g)</t>
  </si>
  <si>
    <t>Nitrogen (%)</t>
  </si>
  <si>
    <t>C:N ratio</t>
  </si>
  <si>
    <t>Moisture (%)</t>
  </si>
  <si>
    <t xml:space="preserve">1 to: </t>
  </si>
  <si>
    <t>F:S dry weight</t>
  </si>
  <si>
    <t>Total Volume (liters)</t>
  </si>
  <si>
    <t>Moisture mixture (%)</t>
  </si>
  <si>
    <t>Moisture goal equation 3:</t>
  </si>
  <si>
    <t>Weight Sawdust (g)</t>
  </si>
  <si>
    <t>Range</t>
  </si>
  <si>
    <t>g</t>
  </si>
  <si>
    <t>BVSs</t>
  </si>
  <si>
    <t>O2s</t>
  </si>
  <si>
    <t>gO2/gBVS</t>
  </si>
  <si>
    <t>gO2</t>
  </si>
  <si>
    <t>C:N ratio mix goal</t>
  </si>
  <si>
    <t>0.50-0.65</t>
  </si>
  <si>
    <t>2.66-3.117</t>
  </si>
  <si>
    <t>1.046-1.320</t>
  </si>
  <si>
    <t>Referenced AVG</t>
  </si>
  <si>
    <t xml:space="preserve">Referenced  </t>
  </si>
  <si>
    <t>Calculated</t>
  </si>
  <si>
    <t>BVS Biodegradable mass</t>
  </si>
  <si>
    <t>0.30-0.40</t>
  </si>
  <si>
    <t>Total Weight (g)</t>
  </si>
  <si>
    <t>Density mixture (g/l)</t>
  </si>
  <si>
    <t>3-6mm</t>
  </si>
  <si>
    <t>Recommended Range</t>
  </si>
  <si>
    <t>Parameters</t>
  </si>
  <si>
    <t>Airflow demand for complete reaction</t>
  </si>
  <si>
    <t>2-12mm</t>
  </si>
  <si>
    <t>30-40%</t>
  </si>
  <si>
    <t>°C/W</t>
  </si>
  <si>
    <t>unit</t>
  </si>
  <si>
    <t>W/m°c</t>
  </si>
  <si>
    <t>W/m2°c</t>
  </si>
  <si>
    <t>meters</t>
  </si>
  <si>
    <t>Variables</t>
  </si>
  <si>
    <t>k(p)</t>
  </si>
  <si>
    <t>k(i)</t>
  </si>
  <si>
    <t>h(air)</t>
  </si>
  <si>
    <t>Rp</t>
  </si>
  <si>
    <t>Ri</t>
  </si>
  <si>
    <t>Rlids</t>
  </si>
  <si>
    <t>Rair</t>
  </si>
  <si>
    <t>Rtotal</t>
  </si>
  <si>
    <t>r1</t>
  </si>
  <si>
    <t>r2</t>
  </si>
  <si>
    <t>r3</t>
  </si>
  <si>
    <t>L</t>
  </si>
  <si>
    <t xml:space="preserve">O2Demand </t>
  </si>
  <si>
    <t>Feces</t>
  </si>
  <si>
    <t>Experimental Measurements Protocol</t>
  </si>
  <si>
    <t>Notes</t>
  </si>
  <si>
    <t>Fan airflow rate</t>
  </si>
  <si>
    <t xml:space="preserve">Fixed </t>
  </si>
  <si>
    <t xml:space="preserve">Mf  </t>
  </si>
  <si>
    <t>BVSf</t>
  </si>
  <si>
    <t>O2f</t>
  </si>
  <si>
    <t>Ms</t>
  </si>
  <si>
    <t>Dry Solids (g)</t>
  </si>
  <si>
    <t>Volatile Solids (g)</t>
  </si>
  <si>
    <t>11-18% of dry mass</t>
  </si>
  <si>
    <t>Biodegradable VS (g)</t>
  </si>
  <si>
    <t>Air Volume</t>
  </si>
  <si>
    <t>liters of air</t>
  </si>
  <si>
    <t>Mass flow rate air</t>
  </si>
  <si>
    <t>°C·day/kJ</t>
  </si>
  <si>
    <t>Aeration rate</t>
  </si>
  <si>
    <t>liters of air/kgVS</t>
  </si>
  <si>
    <t>Air flow rate (fan)</t>
  </si>
  <si>
    <t>0.11-1.0 lpm/kgVS</t>
  </si>
  <si>
    <t>Analytical Model Values</t>
  </si>
  <si>
    <t>/100</t>
  </si>
  <si>
    <t>Humidity ratio at inlet</t>
  </si>
  <si>
    <t>vi</t>
  </si>
  <si>
    <t>kg/kg</t>
  </si>
  <si>
    <t>9,000-23,000</t>
  </si>
  <si>
    <t xml:space="preserve">Total experiment time </t>
  </si>
  <si>
    <t>days</t>
  </si>
  <si>
    <t xml:space="preserve">Correction functions </t>
  </si>
  <si>
    <t>kc</t>
  </si>
  <si>
    <t>lpm</t>
  </si>
  <si>
    <t>Volume flow rate air</t>
  </si>
  <si>
    <t>Va</t>
  </si>
  <si>
    <t>l/day</t>
  </si>
  <si>
    <t>lps</t>
  </si>
  <si>
    <t>ON time for fan per 15 min</t>
  </si>
  <si>
    <t>seconds</t>
  </si>
  <si>
    <t>7.5 lpm</t>
  </si>
  <si>
    <t xml:space="preserve">Conductive Resistance 5 gal </t>
  </si>
  <si>
    <t xml:space="preserve">Conductive Resistance 10 gal </t>
  </si>
  <si>
    <t>Useful volume</t>
  </si>
  <si>
    <t>Liters</t>
  </si>
  <si>
    <t>(g)</t>
  </si>
  <si>
    <t xml:space="preserve">SD Mass </t>
  </si>
  <si>
    <t xml:space="preserve">Feces Mass </t>
  </si>
  <si>
    <t>(kg)</t>
  </si>
  <si>
    <t>(kJ/kg°C)</t>
  </si>
  <si>
    <t>Specific Heat Mixture c_m</t>
  </si>
  <si>
    <t>(kg/day)</t>
  </si>
  <si>
    <t xml:space="preserve">Air Flowrate </t>
  </si>
  <si>
    <t>CN:40 MC:43</t>
  </si>
  <si>
    <t>CN:35 MC:46</t>
  </si>
  <si>
    <t>CN:30 MC 49</t>
  </si>
  <si>
    <t>CN:25 MC:54</t>
  </si>
  <si>
    <t>CN:20 MC:59</t>
  </si>
  <si>
    <t>Container 10 Gallons</t>
  </si>
  <si>
    <t>Container 5 Gallons</t>
  </si>
  <si>
    <t>(°C·day/kJ)</t>
  </si>
  <si>
    <t>Conductive Resistance</t>
  </si>
  <si>
    <t xml:space="preserve">Total Mass </t>
  </si>
  <si>
    <t>(kJ/kg)</t>
  </si>
  <si>
    <t xml:space="preserve">Heat of combustion </t>
  </si>
  <si>
    <t>(days)</t>
  </si>
  <si>
    <t xml:space="preserve">Reaction time </t>
  </si>
  <si>
    <t>(%)</t>
  </si>
  <si>
    <t>MC Sawdust</t>
  </si>
  <si>
    <t xml:space="preserve">MC Feces </t>
  </si>
  <si>
    <t>(g/l)</t>
  </si>
  <si>
    <t xml:space="preserve">Mixture Density </t>
  </si>
  <si>
    <t>(l)</t>
  </si>
  <si>
    <t xml:space="preserve">Useful Volume </t>
  </si>
  <si>
    <t xml:space="preserve">Container 10 G </t>
  </si>
  <si>
    <t xml:space="preserve">Container 5 G </t>
  </si>
  <si>
    <t>cm</t>
  </si>
  <si>
    <t>F:SD ratio</t>
  </si>
  <si>
    <t>CN:23 MC 55</t>
  </si>
  <si>
    <t>CN:29 MC 50</t>
  </si>
  <si>
    <t>CN:38 MC 44</t>
  </si>
  <si>
    <t>1:5.3</t>
  </si>
  <si>
    <t>1:5</t>
  </si>
  <si>
    <t>1:4.5</t>
  </si>
  <si>
    <t>1:3.6</t>
  </si>
  <si>
    <t>1:3.5</t>
  </si>
  <si>
    <t>1:2.8</t>
  </si>
  <si>
    <t>1:2.5</t>
  </si>
  <si>
    <t>1:2.0</t>
  </si>
  <si>
    <t>Container 7.5 Gallons</t>
  </si>
  <si>
    <t xml:space="preserve">Container 7.5 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</si>
</sst>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24" fillId="0" borderId="0"/>
    <xf numFmtId="0" fontId="24" fillId="0" borderId="0"/>
  </cellStyleXfs>
  <cellXfs count="129">
    <xf numFmtId="0" fontId="0" fillId="0" borderId="0" xfId="0"/>
    <xf numFmtId="0" fontId="8" fillId="4" borderId="0" xfId="8"/>
    <xf numFmtId="0" fontId="0" fillId="34" borderId="0" xfId="0" applyFill="1"/>
    <xf numFmtId="2" fontId="0" fillId="0" borderId="0" xfId="0" applyNumberFormat="1"/>
    <xf numFmtId="0" fontId="6" fillId="2" borderId="0" xfId="6"/>
    <xf numFmtId="164" fontId="0" fillId="0" borderId="0" xfId="0" applyNumberFormat="1"/>
    <xf numFmtId="0" fontId="16" fillId="0" borderId="0" xfId="0" applyFont="1"/>
    <xf numFmtId="0" fontId="18" fillId="39" borderId="0" xfId="0" applyFont="1" applyFill="1"/>
    <xf numFmtId="0" fontId="0" fillId="0" borderId="10" xfId="0" applyBorder="1"/>
    <xf numFmtId="0" fontId="20" fillId="40" borderId="11" xfId="0" applyFont="1" applyFill="1" applyBorder="1"/>
    <xf numFmtId="0" fontId="20" fillId="0" borderId="21" xfId="0" applyFont="1" applyBorder="1"/>
    <xf numFmtId="0" fontId="20" fillId="0" borderId="22" xfId="0" applyFont="1" applyBorder="1"/>
    <xf numFmtId="0" fontId="19" fillId="0" borderId="19" xfId="0" applyFont="1" applyBorder="1"/>
    <xf numFmtId="0" fontId="19" fillId="0" borderId="14" xfId="0" applyFont="1" applyBorder="1"/>
    <xf numFmtId="0" fontId="19" fillId="0" borderId="18" xfId="0" applyFont="1" applyBorder="1"/>
    <xf numFmtId="46" fontId="19" fillId="0" borderId="14" xfId="0" applyNumberFormat="1" applyFont="1" applyBorder="1"/>
    <xf numFmtId="0" fontId="20" fillId="0" borderId="14" xfId="0" applyFont="1" applyBorder="1"/>
    <xf numFmtId="0" fontId="19" fillId="0" borderId="16" xfId="0" applyFont="1" applyBorder="1"/>
    <xf numFmtId="0" fontId="19" fillId="0" borderId="10" xfId="0" applyFont="1" applyBorder="1"/>
    <xf numFmtId="0" fontId="16" fillId="38" borderId="10" xfId="0" applyFont="1" applyFill="1" applyBorder="1"/>
    <xf numFmtId="0" fontId="20" fillId="39" borderId="0" xfId="0" applyFont="1" applyFill="1"/>
    <xf numFmtId="0" fontId="19" fillId="0" borderId="24" xfId="0" applyFont="1" applyBorder="1"/>
    <xf numFmtId="0" fontId="20" fillId="41" borderId="27" xfId="0" applyFont="1" applyFill="1" applyBorder="1" applyAlignment="1">
      <alignment horizontal="left"/>
    </xf>
    <xf numFmtId="0" fontId="20" fillId="41" borderId="28" xfId="0" applyFont="1" applyFill="1" applyBorder="1" applyAlignment="1">
      <alignment horizontal="center"/>
    </xf>
    <xf numFmtId="0" fontId="20" fillId="41" borderId="29" xfId="0" applyFont="1" applyFill="1" applyBorder="1" applyAlignment="1">
      <alignment horizontal="center"/>
    </xf>
    <xf numFmtId="0" fontId="0" fillId="0" borderId="30" xfId="0" applyBorder="1"/>
    <xf numFmtId="1" fontId="0" fillId="0" borderId="31" xfId="0" applyNumberFormat="1" applyBorder="1"/>
    <xf numFmtId="0" fontId="20" fillId="42" borderId="27" xfId="0" applyFont="1" applyFill="1" applyBorder="1"/>
    <xf numFmtId="0" fontId="18" fillId="42" borderId="28" xfId="0" applyFont="1" applyFill="1" applyBorder="1"/>
    <xf numFmtId="0" fontId="18" fillId="42" borderId="29" xfId="0" applyFont="1" applyFill="1" applyBorder="1"/>
    <xf numFmtId="0" fontId="19" fillId="0" borderId="15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0" fillId="0" borderId="14" xfId="0" applyBorder="1"/>
    <xf numFmtId="0" fontId="0" fillId="34" borderId="10" xfId="0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34" borderId="10" xfId="0" applyNumberFormat="1" applyFill="1" applyBorder="1"/>
    <xf numFmtId="164" fontId="0" fillId="33" borderId="10" xfId="0" applyNumberFormat="1" applyFill="1" applyBorder="1"/>
    <xf numFmtId="0" fontId="20" fillId="38" borderId="32" xfId="0" applyFont="1" applyFill="1" applyBorder="1"/>
    <xf numFmtId="0" fontId="16" fillId="38" borderId="12" xfId="0" applyFont="1" applyFill="1" applyBorder="1"/>
    <xf numFmtId="0" fontId="16" fillId="38" borderId="13" xfId="0" applyFont="1" applyFill="1" applyBorder="1"/>
    <xf numFmtId="0" fontId="0" fillId="0" borderId="16" xfId="0" applyBorder="1"/>
    <xf numFmtId="165" fontId="0" fillId="34" borderId="10" xfId="0" applyNumberFormat="1" applyFill="1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16" fillId="43" borderId="0" xfId="0" applyFont="1" applyFill="1" applyAlignment="1">
      <alignment horizontal="center" vertical="center"/>
    </xf>
    <xf numFmtId="0" fontId="16" fillId="44" borderId="0" xfId="0" applyFont="1" applyFill="1"/>
    <xf numFmtId="164" fontId="0" fillId="35" borderId="0" xfId="0" applyNumberFormat="1" applyFill="1"/>
    <xf numFmtId="0" fontId="0" fillId="0" borderId="10" xfId="0" applyBorder="1" applyAlignment="1">
      <alignment horizontal="left"/>
    </xf>
    <xf numFmtId="0" fontId="0" fillId="33" borderId="0" xfId="0" applyFill="1"/>
    <xf numFmtId="0" fontId="0" fillId="37" borderId="0" xfId="0" applyFill="1"/>
    <xf numFmtId="0" fontId="0" fillId="33" borderId="10" xfId="0" applyFill="1" applyBorder="1" applyAlignment="1">
      <alignment horizontal="center"/>
    </xf>
    <xf numFmtId="1" fontId="0" fillId="37" borderId="20" xfId="0" applyNumberFormat="1" applyFill="1" applyBorder="1" applyAlignment="1">
      <alignment horizontal="center"/>
    </xf>
    <xf numFmtId="1" fontId="0" fillId="34" borderId="20" xfId="0" applyNumberFormat="1" applyFill="1" applyBorder="1" applyAlignment="1">
      <alignment horizontal="center"/>
    </xf>
    <xf numFmtId="1" fontId="0" fillId="37" borderId="10" xfId="0" applyNumberFormat="1" applyFill="1" applyBorder="1" applyAlignment="1">
      <alignment horizontal="center"/>
    </xf>
    <xf numFmtId="1" fontId="0" fillId="37" borderId="30" xfId="0" applyNumberForma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34" borderId="0" xfId="0" applyNumberFormat="1" applyFill="1"/>
    <xf numFmtId="3" fontId="0" fillId="0" borderId="0" xfId="0" applyNumberFormat="1"/>
    <xf numFmtId="2" fontId="0" fillId="34" borderId="0" xfId="0" applyNumberFormat="1" applyFill="1"/>
    <xf numFmtId="166" fontId="0" fillId="37" borderId="10" xfId="0" applyNumberFormat="1" applyFill="1" applyBorder="1" applyAlignment="1">
      <alignment horizontal="center"/>
    </xf>
    <xf numFmtId="165" fontId="0" fillId="33" borderId="10" xfId="0" applyNumberFormat="1" applyFill="1" applyBorder="1" applyAlignment="1">
      <alignment horizontal="center"/>
    </xf>
    <xf numFmtId="1" fontId="19" fillId="37" borderId="10" xfId="0" applyNumberFormat="1" applyFont="1" applyFill="1" applyBorder="1" applyAlignment="1">
      <alignment horizontal="center"/>
    </xf>
    <xf numFmtId="0" fontId="19" fillId="0" borderId="23" xfId="0" applyFont="1" applyBorder="1"/>
    <xf numFmtId="0" fontId="19" fillId="37" borderId="10" xfId="0" applyFont="1" applyFill="1" applyBorder="1" applyAlignment="1">
      <alignment horizontal="center"/>
    </xf>
    <xf numFmtId="3" fontId="19" fillId="34" borderId="10" xfId="0" applyNumberFormat="1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2" fontId="0" fillId="34" borderId="10" xfId="0" applyNumberFormat="1" applyFill="1" applyBorder="1"/>
    <xf numFmtId="1" fontId="0" fillId="37" borderId="0" xfId="0" applyNumberFormat="1" applyFill="1" applyAlignment="1">
      <alignment horizontal="center"/>
    </xf>
    <xf numFmtId="164" fontId="0" fillId="37" borderId="30" xfId="0" applyNumberFormat="1" applyFill="1" applyBorder="1" applyAlignment="1">
      <alignment horizontal="center"/>
    </xf>
    <xf numFmtId="164" fontId="0" fillId="37" borderId="10" xfId="0" applyNumberFormat="1" applyFill="1" applyBorder="1"/>
    <xf numFmtId="166" fontId="0" fillId="37" borderId="10" xfId="0" applyNumberFormat="1" applyFill="1" applyBorder="1"/>
    <xf numFmtId="0" fontId="0" fillId="0" borderId="10" xfId="0" applyBorder="1" applyAlignment="1">
      <alignment horizontal="center" vertical="center"/>
    </xf>
    <xf numFmtId="0" fontId="0" fillId="0" borderId="10" xfId="0" quotePrefix="1" applyBorder="1"/>
    <xf numFmtId="167" fontId="0" fillId="34" borderId="0" xfId="0" applyNumberFormat="1" applyFill="1"/>
    <xf numFmtId="0" fontId="19" fillId="0" borderId="10" xfId="0" quotePrefix="1" applyFont="1" applyBorder="1"/>
    <xf numFmtId="1" fontId="14" fillId="37" borderId="10" xfId="0" applyNumberFormat="1" applyFont="1" applyFill="1" applyBorder="1" applyAlignment="1">
      <alignment horizontal="center"/>
    </xf>
    <xf numFmtId="165" fontId="0" fillId="37" borderId="10" xfId="0" applyNumberFormat="1" applyFill="1" applyBorder="1"/>
    <xf numFmtId="1" fontId="0" fillId="37" borderId="10" xfId="0" applyNumberFormat="1" applyFill="1" applyBorder="1"/>
    <xf numFmtId="0" fontId="0" fillId="0" borderId="0" xfId="0" applyAlignment="1">
      <alignment horizontal="left"/>
    </xf>
    <xf numFmtId="166" fontId="0" fillId="0" borderId="0" xfId="0" applyNumberFormat="1"/>
    <xf numFmtId="0" fontId="0" fillId="43" borderId="35" xfId="0" applyFill="1" applyBorder="1" applyAlignment="1">
      <alignment horizontal="center" vertical="center"/>
    </xf>
    <xf numFmtId="0" fontId="0" fillId="43" borderId="36" xfId="0" applyFill="1" applyBorder="1" applyAlignment="1">
      <alignment horizontal="center" vertical="center"/>
    </xf>
    <xf numFmtId="164" fontId="16" fillId="35" borderId="36" xfId="0" applyNumberFormat="1" applyFont="1" applyFill="1" applyBorder="1"/>
    <xf numFmtId="164" fontId="16" fillId="35" borderId="37" xfId="0" applyNumberFormat="1" applyFont="1" applyFill="1" applyBorder="1"/>
    <xf numFmtId="0" fontId="24" fillId="0" borderId="0" xfId="44"/>
    <xf numFmtId="0" fontId="24" fillId="0" borderId="0" xfId="44" applyAlignment="1">
      <alignment horizontal="left"/>
    </xf>
    <xf numFmtId="0" fontId="24" fillId="45" borderId="0" xfId="44" applyFill="1" applyAlignment="1">
      <alignment horizontal="left"/>
    </xf>
    <xf numFmtId="164" fontId="24" fillId="45" borderId="0" xfId="44" applyNumberFormat="1" applyFill="1" applyAlignment="1">
      <alignment horizontal="left"/>
    </xf>
    <xf numFmtId="0" fontId="18" fillId="34" borderId="0" xfId="44" applyFont="1" applyFill="1"/>
    <xf numFmtId="0" fontId="18" fillId="35" borderId="0" xfId="44" applyFont="1" applyFill="1"/>
    <xf numFmtId="0" fontId="18" fillId="43" borderId="0" xfId="44" applyFont="1" applyFill="1"/>
    <xf numFmtId="0" fontId="24" fillId="34" borderId="0" xfId="44" applyFill="1"/>
    <xf numFmtId="0" fontId="24" fillId="35" borderId="0" xfId="44" applyFill="1"/>
    <xf numFmtId="2" fontId="24" fillId="37" borderId="0" xfId="44" applyNumberFormat="1" applyFill="1" applyAlignment="1">
      <alignment horizontal="left"/>
    </xf>
    <xf numFmtId="0" fontId="24" fillId="37" borderId="0" xfId="44" applyFill="1" applyAlignment="1">
      <alignment horizontal="left"/>
    </xf>
    <xf numFmtId="2" fontId="0" fillId="37" borderId="10" xfId="0" applyNumberFormat="1" applyFill="1" applyBorder="1" applyAlignment="1">
      <alignment horizontal="center"/>
    </xf>
    <xf numFmtId="0" fontId="24" fillId="0" borderId="0" xfId="44" quotePrefix="1"/>
    <xf numFmtId="0" fontId="0" fillId="0" borderId="17" xfId="0" applyBorder="1"/>
    <xf numFmtId="0" fontId="0" fillId="0" borderId="23" xfId="0" applyBorder="1"/>
    <xf numFmtId="165" fontId="0" fillId="34" borderId="38" xfId="0" applyNumberFormat="1" applyFill="1" applyBorder="1"/>
    <xf numFmtId="164" fontId="0" fillId="33" borderId="20" xfId="0" applyNumberFormat="1" applyFill="1" applyBorder="1"/>
    <xf numFmtId="164" fontId="0" fillId="37" borderId="34" xfId="0" applyNumberFormat="1" applyFill="1" applyBorder="1"/>
    <xf numFmtId="1" fontId="0" fillId="33" borderId="38" xfId="0" applyNumberFormat="1" applyFill="1" applyBorder="1"/>
    <xf numFmtId="2" fontId="0" fillId="34" borderId="20" xfId="0" applyNumberFormat="1" applyFill="1" applyBorder="1"/>
    <xf numFmtId="0" fontId="0" fillId="0" borderId="39" xfId="0" applyBorder="1"/>
    <xf numFmtId="0" fontId="0" fillId="0" borderId="40" xfId="0" applyBorder="1" applyAlignment="1">
      <alignment horizontal="center"/>
    </xf>
    <xf numFmtId="164" fontId="0" fillId="37" borderId="34" xfId="0" applyNumberFormat="1" applyFill="1" applyBorder="1" applyAlignment="1">
      <alignment horizontal="center"/>
    </xf>
    <xf numFmtId="49" fontId="24" fillId="0" borderId="0" xfId="44" applyNumberFormat="1"/>
    <xf numFmtId="0" fontId="24" fillId="37" borderId="0" xfId="44" applyFill="1"/>
    <xf numFmtId="0" fontId="18" fillId="37" borderId="0" xfId="44" applyFont="1" applyFill="1"/>
    <xf numFmtId="0" fontId="25" fillId="0" borderId="0" xfId="44" applyFont="1"/>
    <xf numFmtId="0" fontId="25" fillId="45" borderId="0" xfId="44" applyFont="1" applyFill="1" applyAlignment="1">
      <alignment horizontal="left"/>
    </xf>
    <xf numFmtId="2" fontId="0" fillId="34" borderId="17" xfId="0" applyNumberFormat="1" applyFill="1" applyBorder="1" applyAlignment="1">
      <alignment horizontal="center"/>
    </xf>
    <xf numFmtId="2" fontId="0" fillId="34" borderId="23" xfId="0" applyNumberFormat="1" applyFill="1" applyBorder="1" applyAlignment="1">
      <alignment horizontal="center"/>
    </xf>
    <xf numFmtId="1" fontId="19" fillId="34" borderId="17" xfId="0" applyNumberFormat="1" applyFont="1" applyFill="1" applyBorder="1" applyAlignment="1">
      <alignment horizontal="center"/>
    </xf>
    <xf numFmtId="1" fontId="19" fillId="34" borderId="23" xfId="0" applyNumberFormat="1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19" fillId="35" borderId="23" xfId="0" applyFont="1" applyFill="1" applyBorder="1" applyAlignment="1">
      <alignment horizontal="center"/>
    </xf>
    <xf numFmtId="1" fontId="0" fillId="34" borderId="25" xfId="0" applyNumberFormat="1" applyFill="1" applyBorder="1" applyAlignment="1">
      <alignment horizontal="center"/>
    </xf>
    <xf numFmtId="1" fontId="0" fillId="34" borderId="26" xfId="0" applyNumberFormat="1" applyFill="1" applyBorder="1" applyAlignment="1">
      <alignment horizontal="center"/>
    </xf>
    <xf numFmtId="0" fontId="18" fillId="35" borderId="0" xfId="44" applyFont="1" applyFill="1" applyAlignment="1">
      <alignment horizontal="center"/>
    </xf>
    <xf numFmtId="0" fontId="18" fillId="34" borderId="0" xfId="44" applyFont="1" applyFill="1" applyAlignment="1">
      <alignment horizontal="center"/>
    </xf>
    <xf numFmtId="0" fontId="18" fillId="37" borderId="0" xfId="44" applyFon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5F58A8A-C9F7-084A-B505-E8420732773F}"/>
    <cellStyle name="Normal 3" xfId="43" xr:uid="{FC0A4D5C-E692-004A-BB7D-A60E4F08D2A7}"/>
    <cellStyle name="Normal 3 3" xfId="44" xr:uid="{1040E62D-A889-6243-B5E2-B0657528D93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83FF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4070</xdr:colOff>
      <xdr:row>24</xdr:row>
      <xdr:rowOff>203644</xdr:rowOff>
    </xdr:from>
    <xdr:ext cx="5229174" cy="1708505"/>
    <xdr:pic>
      <xdr:nvPicPr>
        <xdr:cNvPr id="2" name="Picture 1">
          <a:extLst>
            <a:ext uri="{FF2B5EF4-FFF2-40B4-BE49-F238E27FC236}">
              <a16:creationId xmlns:a16="http://schemas.microsoft.com/office/drawing/2014/main" id="{3F0E2F08-2465-6641-960F-C9C515111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768" y="5062132"/>
          <a:ext cx="5229174" cy="1708505"/>
        </a:xfrm>
        <a:prstGeom prst="rect">
          <a:avLst/>
        </a:prstGeom>
      </xdr:spPr>
    </xdr:pic>
    <xdr:clientData/>
  </xdr:oneCellAnchor>
  <xdr:twoCellAnchor>
    <xdr:from>
      <xdr:col>7</xdr:col>
      <xdr:colOff>67327</xdr:colOff>
      <xdr:row>24</xdr:row>
      <xdr:rowOff>162162</xdr:rowOff>
    </xdr:from>
    <xdr:to>
      <xdr:col>9</xdr:col>
      <xdr:colOff>698559</xdr:colOff>
      <xdr:row>28</xdr:row>
      <xdr:rowOff>44572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9F530EE-ED0A-A149-9357-3D0576A5CB91}"/>
            </a:ext>
          </a:extLst>
        </xdr:cNvPr>
        <xdr:cNvGrpSpPr/>
      </xdr:nvGrpSpPr>
      <xdr:grpSpPr>
        <a:xfrm>
          <a:off x="6945647" y="5171042"/>
          <a:ext cx="3008672" cy="695210"/>
          <a:chOff x="65668071" y="2485572"/>
          <a:chExt cx="5685971" cy="102507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A72FBFA-D026-9C48-6B64-7A12BED5C5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77142" y="2485572"/>
            <a:ext cx="5676900" cy="4572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E319E25-FE1A-26C2-B406-531EC44FF6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5668071" y="2939142"/>
            <a:ext cx="3022600" cy="571500"/>
          </a:xfrm>
          <a:prstGeom prst="rect">
            <a:avLst/>
          </a:prstGeom>
        </xdr:spPr>
      </xdr:pic>
    </xdr:grpSp>
    <xdr:clientData/>
  </xdr:twoCellAnchor>
  <xdr:oneCellAnchor>
    <xdr:from>
      <xdr:col>5</xdr:col>
      <xdr:colOff>795831</xdr:colOff>
      <xdr:row>24</xdr:row>
      <xdr:rowOff>133861</xdr:rowOff>
    </xdr:from>
    <xdr:ext cx="1729519" cy="1274849"/>
    <xdr:pic>
      <xdr:nvPicPr>
        <xdr:cNvPr id="6" name="Picture 5">
          <a:extLst>
            <a:ext uri="{FF2B5EF4-FFF2-40B4-BE49-F238E27FC236}">
              <a16:creationId xmlns:a16="http://schemas.microsoft.com/office/drawing/2014/main" id="{BA141600-DDFE-3C4A-95E4-B8DF96F7B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0133" y="4992349"/>
          <a:ext cx="1729519" cy="12748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190957</xdr:colOff>
      <xdr:row>4</xdr:row>
      <xdr:rowOff>69371</xdr:rowOff>
    </xdr:from>
    <xdr:ext cx="2374443" cy="560463"/>
    <xdr:pic>
      <xdr:nvPicPr>
        <xdr:cNvPr id="2" name="Picture 1">
          <a:extLst>
            <a:ext uri="{FF2B5EF4-FFF2-40B4-BE49-F238E27FC236}">
              <a16:creationId xmlns:a16="http://schemas.microsoft.com/office/drawing/2014/main" id="{CC3F3C15-5469-E04D-88E2-A8390916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3890" y="746704"/>
          <a:ext cx="2374443" cy="56046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BE28-55E5-F14A-9B9B-E98224CE2230}">
  <dimension ref="A1:G13"/>
  <sheetViews>
    <sheetView topLeftCell="B1" zoomScale="139" zoomScaleNormal="147" workbookViewId="0">
      <selection activeCell="C10" sqref="C10"/>
    </sheetView>
  </sheetViews>
  <sheetFormatPr baseColWidth="10" defaultRowHeight="16" x14ac:dyDescent="0.2"/>
  <cols>
    <col min="2" max="2" width="3.6640625" customWidth="1"/>
    <col min="3" max="3" width="39.6640625" bestFit="1" customWidth="1"/>
    <col min="4" max="6" width="7.83203125" customWidth="1"/>
    <col min="13" max="13" width="19.1640625" customWidth="1"/>
    <col min="15" max="15" width="8" bestFit="1" customWidth="1"/>
    <col min="16" max="16" width="8.1640625" bestFit="1" customWidth="1"/>
    <col min="17" max="18" width="8.83203125" bestFit="1" customWidth="1"/>
    <col min="19" max="19" width="8.6640625" bestFit="1" customWidth="1"/>
  </cols>
  <sheetData>
    <row r="1" spans="1:7" x14ac:dyDescent="0.2">
      <c r="A1" s="51" t="s">
        <v>62</v>
      </c>
    </row>
    <row r="2" spans="1:7" x14ac:dyDescent="0.2">
      <c r="A2" s="2" t="s">
        <v>30</v>
      </c>
      <c r="C2" s="50" t="s">
        <v>93</v>
      </c>
      <c r="D2" s="50"/>
      <c r="E2" s="50"/>
      <c r="F2" s="50"/>
    </row>
    <row r="3" spans="1:7" x14ac:dyDescent="0.2">
      <c r="A3" s="50" t="s">
        <v>96</v>
      </c>
      <c r="C3" s="6" t="s">
        <v>20</v>
      </c>
      <c r="D3" s="6" t="s">
        <v>21</v>
      </c>
      <c r="E3" s="6" t="s">
        <v>22</v>
      </c>
      <c r="F3" s="6" t="s">
        <v>94</v>
      </c>
    </row>
    <row r="4" spans="1:7" x14ac:dyDescent="0.2">
      <c r="C4" t="s">
        <v>95</v>
      </c>
      <c r="D4" s="50">
        <v>7.5</v>
      </c>
      <c r="E4" t="s">
        <v>123</v>
      </c>
    </row>
    <row r="5" spans="1:7" x14ac:dyDescent="0.2">
      <c r="C5" t="s">
        <v>119</v>
      </c>
      <c r="D5">
        <v>6</v>
      </c>
      <c r="E5" t="s">
        <v>120</v>
      </c>
    </row>
    <row r="8" spans="1:7" x14ac:dyDescent="0.2">
      <c r="G8" s="82"/>
    </row>
    <row r="13" spans="1:7" x14ac:dyDescent="0.2">
      <c r="D13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B174-90D8-F941-8D9E-7677F7509449}">
  <dimension ref="B2:P27"/>
  <sheetViews>
    <sheetView zoomScale="125" zoomScaleNormal="130" workbookViewId="0">
      <selection activeCell="N29" sqref="N29"/>
    </sheetView>
  </sheetViews>
  <sheetFormatPr baseColWidth="10" defaultRowHeight="16" x14ac:dyDescent="0.2"/>
  <cols>
    <col min="1" max="1" width="3.1640625" customWidth="1"/>
    <col min="2" max="2" width="19" customWidth="1"/>
    <col min="3" max="3" width="11.5" customWidth="1"/>
    <col min="5" max="5" width="16.6640625" customWidth="1"/>
    <col min="6" max="6" width="10" customWidth="1"/>
    <col min="7" max="7" width="19" customWidth="1"/>
    <col min="8" max="8" width="7.5" customWidth="1"/>
    <col min="9" max="9" width="24.33203125" customWidth="1"/>
    <col min="10" max="10" width="8.5" customWidth="1"/>
    <col min="11" max="11" width="9" customWidth="1"/>
    <col min="12" max="12" width="8.6640625" customWidth="1"/>
    <col min="13" max="13" width="17.1640625" customWidth="1"/>
    <col min="14" max="14" width="15.33203125" customWidth="1"/>
    <col min="15" max="15" width="12.5" customWidth="1"/>
    <col min="16" max="16" width="7.33203125" customWidth="1"/>
    <col min="17" max="17" width="9.5" customWidth="1"/>
    <col min="18" max="18" width="8.5" customWidth="1"/>
    <col min="19" max="19" width="7.83203125" customWidth="1"/>
    <col min="20" max="20" width="11.1640625" customWidth="1"/>
    <col min="21" max="21" width="11.83203125" customWidth="1"/>
    <col min="22" max="23" width="12" customWidth="1"/>
  </cols>
  <sheetData>
    <row r="2" spans="2:16" ht="17" thickBot="1" x14ac:dyDescent="0.25">
      <c r="B2" s="1" t="s">
        <v>32</v>
      </c>
      <c r="C2" s="1"/>
      <c r="D2" s="1"/>
      <c r="E2" s="1"/>
      <c r="F2" s="1"/>
      <c r="G2" s="1"/>
      <c r="I2" s="4" t="s">
        <v>113</v>
      </c>
      <c r="J2" s="4"/>
      <c r="K2" s="4"/>
      <c r="L2" s="4"/>
      <c r="M2" s="4"/>
      <c r="N2" s="4"/>
    </row>
    <row r="3" spans="2:16" ht="17" thickBot="1" x14ac:dyDescent="0.25">
      <c r="B3" s="20" t="s">
        <v>39</v>
      </c>
      <c r="C3" s="7"/>
      <c r="D3" s="7"/>
      <c r="E3" s="27" t="s">
        <v>70</v>
      </c>
      <c r="F3" s="28"/>
      <c r="G3" s="29"/>
      <c r="I3" s="19" t="s">
        <v>19</v>
      </c>
      <c r="J3" s="19" t="s">
        <v>20</v>
      </c>
      <c r="K3" s="19" t="s">
        <v>21</v>
      </c>
      <c r="L3" s="19" t="s">
        <v>22</v>
      </c>
      <c r="M3" s="19" t="s">
        <v>50</v>
      </c>
      <c r="N3" s="19" t="s">
        <v>29</v>
      </c>
    </row>
    <row r="4" spans="2:16" ht="17" thickBot="1" x14ac:dyDescent="0.25">
      <c r="B4" s="9" t="s">
        <v>69</v>
      </c>
      <c r="C4" s="10" t="s">
        <v>92</v>
      </c>
      <c r="D4" s="11" t="s">
        <v>34</v>
      </c>
      <c r="E4" s="13" t="s">
        <v>97</v>
      </c>
      <c r="F4" s="34">
        <f>C5</f>
        <v>1670</v>
      </c>
      <c r="G4" s="30" t="s">
        <v>51</v>
      </c>
      <c r="I4" s="8" t="s">
        <v>1</v>
      </c>
      <c r="J4" s="8" t="s">
        <v>0</v>
      </c>
      <c r="K4" s="37">
        <f>C14/1000</f>
        <v>3.0003448837217022</v>
      </c>
      <c r="L4" s="8" t="s">
        <v>23</v>
      </c>
      <c r="M4" s="8" t="s">
        <v>33</v>
      </c>
      <c r="N4" s="8" t="s">
        <v>30</v>
      </c>
    </row>
    <row r="5" spans="2:16" ht="17" thickBot="1" x14ac:dyDescent="0.25">
      <c r="B5" s="12" t="s">
        <v>40</v>
      </c>
      <c r="C5" s="54">
        <v>1670</v>
      </c>
      <c r="D5" s="53">
        <f>(C5*C6*(C15-C7)*(100-C8))/(D6*(D7-C15)*(100-D8))</f>
        <v>1330.3448837217018</v>
      </c>
      <c r="E5" s="13" t="s">
        <v>98</v>
      </c>
      <c r="F5" s="63">
        <f>0.85*0.5*(1-C8/100)</f>
        <v>8.4999999999999978E-2</v>
      </c>
      <c r="G5" s="30" t="s">
        <v>114</v>
      </c>
      <c r="I5" s="8" t="s">
        <v>3</v>
      </c>
      <c r="J5" s="8" t="s">
        <v>4</v>
      </c>
      <c r="K5" s="103">
        <f>C16</f>
        <v>50</v>
      </c>
      <c r="L5" s="8" t="s">
        <v>25</v>
      </c>
      <c r="M5" s="8" t="s">
        <v>57</v>
      </c>
      <c r="N5" s="8" t="s">
        <v>30</v>
      </c>
    </row>
    <row r="6" spans="2:16" ht="17" thickBot="1" x14ac:dyDescent="0.25">
      <c r="B6" s="13" t="s">
        <v>41</v>
      </c>
      <c r="C6" s="52">
        <v>7</v>
      </c>
      <c r="D6" s="52">
        <v>0.107</v>
      </c>
      <c r="E6" s="13" t="s">
        <v>99</v>
      </c>
      <c r="F6" s="52">
        <v>1.744</v>
      </c>
      <c r="G6" s="30" t="s">
        <v>54</v>
      </c>
      <c r="I6" s="8" t="s">
        <v>2</v>
      </c>
      <c r="J6" s="101" t="s">
        <v>166</v>
      </c>
      <c r="K6" s="105">
        <f>((K5/100)*K7)+((1-(K5/100))*K8)</f>
        <v>2.6595</v>
      </c>
      <c r="L6" s="102" t="s">
        <v>24</v>
      </c>
      <c r="M6" s="8" t="s">
        <v>58</v>
      </c>
      <c r="N6" s="8" t="s">
        <v>62</v>
      </c>
    </row>
    <row r="7" spans="2:16" x14ac:dyDescent="0.2">
      <c r="B7" s="13" t="s">
        <v>42</v>
      </c>
      <c r="C7" s="64">
        <v>6.7</v>
      </c>
      <c r="D7" s="35">
        <v>450</v>
      </c>
      <c r="E7" s="13" t="s">
        <v>100</v>
      </c>
      <c r="F7" s="34">
        <f>D5</f>
        <v>1330.3448837217018</v>
      </c>
      <c r="G7" s="30" t="s">
        <v>51</v>
      </c>
      <c r="I7" s="8" t="s">
        <v>7</v>
      </c>
      <c r="J7" s="8" t="s">
        <v>5</v>
      </c>
      <c r="K7" s="104">
        <v>4.1859999999999999</v>
      </c>
      <c r="L7" s="8" t="s">
        <v>24</v>
      </c>
      <c r="M7" s="49">
        <v>4.1859999999999999</v>
      </c>
      <c r="N7" s="8" t="s">
        <v>61</v>
      </c>
    </row>
    <row r="8" spans="2:16" x14ac:dyDescent="0.2">
      <c r="B8" s="13" t="s">
        <v>43</v>
      </c>
      <c r="C8" s="34">
        <v>80</v>
      </c>
      <c r="D8" s="33">
        <v>13</v>
      </c>
      <c r="E8" s="13" t="s">
        <v>52</v>
      </c>
      <c r="F8" s="57">
        <f>0.95*0.2*(1-D8/100)</f>
        <v>0.1653</v>
      </c>
      <c r="G8" s="30" t="s">
        <v>114</v>
      </c>
      <c r="I8" s="8" t="s">
        <v>8</v>
      </c>
      <c r="J8" s="8" t="s">
        <v>6</v>
      </c>
      <c r="K8" s="38">
        <v>1.133</v>
      </c>
      <c r="L8" s="8" t="s">
        <v>24</v>
      </c>
      <c r="M8" s="8" t="s">
        <v>59</v>
      </c>
      <c r="N8" s="8" t="s">
        <v>60</v>
      </c>
    </row>
    <row r="9" spans="2:16" ht="17" thickBot="1" x14ac:dyDescent="0.25">
      <c r="B9" s="14" t="s">
        <v>101</v>
      </c>
      <c r="C9" s="55">
        <f>C5*(1-C8/100)</f>
        <v>333.99999999999994</v>
      </c>
      <c r="D9" s="55">
        <f>D5*(1-D8/100)</f>
        <v>1157.4000488378806</v>
      </c>
      <c r="E9" s="13" t="s">
        <v>53</v>
      </c>
      <c r="F9" s="52">
        <v>1.1850000000000001</v>
      </c>
      <c r="G9" s="30" t="s">
        <v>54</v>
      </c>
      <c r="I9" s="8" t="s">
        <v>9</v>
      </c>
      <c r="J9" s="8" t="s">
        <v>10</v>
      </c>
      <c r="K9" s="106">
        <v>17500</v>
      </c>
      <c r="L9" s="8" t="s">
        <v>26</v>
      </c>
      <c r="M9" s="8" t="s">
        <v>118</v>
      </c>
      <c r="N9" s="8" t="s">
        <v>60</v>
      </c>
      <c r="P9" s="8"/>
    </row>
    <row r="10" spans="2:16" ht="17" thickBot="1" x14ac:dyDescent="0.25">
      <c r="B10" s="13" t="s">
        <v>102</v>
      </c>
      <c r="C10" s="65">
        <f>C9*0.85</f>
        <v>283.89999999999992</v>
      </c>
      <c r="D10" s="55">
        <f>D9*0.95</f>
        <v>1099.5300463959866</v>
      </c>
      <c r="E10" s="66" t="s">
        <v>91</v>
      </c>
      <c r="F10" s="79">
        <f>((F4*F5*F6)+(F7*F8*F9))*1</f>
        <v>508.1494209958488</v>
      </c>
      <c r="G10" s="30" t="s">
        <v>55</v>
      </c>
      <c r="I10" s="8" t="s">
        <v>63</v>
      </c>
      <c r="J10" s="101" t="s">
        <v>11</v>
      </c>
      <c r="K10" s="105">
        <f>((F5*F4)+(F8*F7))/1000</f>
        <v>0.3618560092791972</v>
      </c>
      <c r="L10" s="102" t="s">
        <v>23</v>
      </c>
      <c r="M10" s="8" t="s">
        <v>103</v>
      </c>
      <c r="N10" s="8" t="s">
        <v>62</v>
      </c>
    </row>
    <row r="11" spans="2:16" ht="17" thickBot="1" x14ac:dyDescent="0.25">
      <c r="B11" s="14" t="s">
        <v>104</v>
      </c>
      <c r="C11" s="55">
        <f>C10*0.5</f>
        <v>141.94999999999996</v>
      </c>
      <c r="D11" s="55">
        <f>D10*0.2</f>
        <v>219.90600927919732</v>
      </c>
      <c r="E11" s="17" t="s">
        <v>105</v>
      </c>
      <c r="F11" s="56">
        <f>F10/(0.232*1.2)</f>
        <v>1825.2493570253191</v>
      </c>
      <c r="G11" s="31" t="s">
        <v>106</v>
      </c>
      <c r="I11" s="8" t="s">
        <v>16</v>
      </c>
      <c r="J11" s="8" t="s">
        <v>12</v>
      </c>
      <c r="K11" s="107"/>
      <c r="L11" s="8" t="s">
        <v>25</v>
      </c>
      <c r="M11" s="8" t="s">
        <v>64</v>
      </c>
      <c r="N11" s="8" t="s">
        <v>30</v>
      </c>
    </row>
    <row r="12" spans="2:16" ht="17" thickBot="1" x14ac:dyDescent="0.25">
      <c r="B12" s="13" t="s">
        <v>45</v>
      </c>
      <c r="C12" s="67" t="s">
        <v>44</v>
      </c>
      <c r="D12" s="99">
        <f>1/(C9/D9)</f>
        <v>3.4652696072990441</v>
      </c>
      <c r="E12" s="108" t="s">
        <v>107</v>
      </c>
      <c r="F12" s="110">
        <f>(F10/232)/MeasuringProtocol!D5</f>
        <v>0.36504987140506379</v>
      </c>
      <c r="G12" s="109" t="s">
        <v>28</v>
      </c>
      <c r="I12" s="8" t="s">
        <v>31</v>
      </c>
      <c r="J12" s="8" t="s">
        <v>13</v>
      </c>
      <c r="K12" s="73">
        <f>J23</f>
        <v>8.1419447266985315E-2</v>
      </c>
      <c r="L12" s="75" t="s">
        <v>108</v>
      </c>
      <c r="M12" s="8" t="s">
        <v>33</v>
      </c>
      <c r="N12" s="8" t="s">
        <v>62</v>
      </c>
    </row>
    <row r="13" spans="2:16" x14ac:dyDescent="0.2">
      <c r="B13" s="13" t="s">
        <v>46</v>
      </c>
      <c r="C13" s="116">
        <f>C14/C17</f>
        <v>6.8189656448220504</v>
      </c>
      <c r="D13" s="117"/>
      <c r="E13" s="39" t="s">
        <v>20</v>
      </c>
      <c r="F13" s="40" t="s">
        <v>21</v>
      </c>
      <c r="G13" s="41" t="s">
        <v>68</v>
      </c>
      <c r="I13" s="8" t="s">
        <v>17</v>
      </c>
      <c r="J13" s="8" t="s">
        <v>14</v>
      </c>
      <c r="K13" s="70">
        <v>24</v>
      </c>
      <c r="L13" s="8" t="s">
        <v>27</v>
      </c>
      <c r="M13" s="8" t="s">
        <v>33</v>
      </c>
      <c r="N13" s="8" t="s">
        <v>30</v>
      </c>
    </row>
    <row r="14" spans="2:16" x14ac:dyDescent="0.2">
      <c r="B14" s="15" t="s">
        <v>65</v>
      </c>
      <c r="C14" s="118">
        <f>(C5+D5)</f>
        <v>3000.344883721702</v>
      </c>
      <c r="D14" s="119"/>
      <c r="E14" s="32" t="s">
        <v>35</v>
      </c>
      <c r="F14" s="43" t="s">
        <v>67</v>
      </c>
      <c r="G14" s="36" t="s">
        <v>71</v>
      </c>
      <c r="I14" s="8" t="s">
        <v>115</v>
      </c>
      <c r="J14" s="8" t="s">
        <v>116</v>
      </c>
      <c r="K14" s="74">
        <f>0.5*0.00464*EXP(0.05859*K13)</f>
        <v>9.4661964612406321E-3</v>
      </c>
      <c r="L14" s="8" t="s">
        <v>117</v>
      </c>
      <c r="M14" s="18" t="s">
        <v>33</v>
      </c>
      <c r="N14" s="8" t="s">
        <v>62</v>
      </c>
    </row>
    <row r="15" spans="2:16" x14ac:dyDescent="0.2">
      <c r="B15" s="16" t="s">
        <v>56</v>
      </c>
      <c r="C15" s="120">
        <v>29</v>
      </c>
      <c r="D15" s="121"/>
      <c r="E15" s="32" t="s">
        <v>36</v>
      </c>
      <c r="F15" s="69">
        <v>55</v>
      </c>
      <c r="G15" s="36" t="s">
        <v>72</v>
      </c>
      <c r="I15" s="8" t="s">
        <v>18</v>
      </c>
      <c r="J15" s="8" t="s">
        <v>15</v>
      </c>
      <c r="K15" s="37"/>
      <c r="L15" s="8" t="s">
        <v>28</v>
      </c>
      <c r="M15" s="18" t="s">
        <v>33</v>
      </c>
      <c r="N15" s="8" t="s">
        <v>30</v>
      </c>
    </row>
    <row r="16" spans="2:16" x14ac:dyDescent="0.2">
      <c r="B16" s="16" t="s">
        <v>47</v>
      </c>
      <c r="C16" s="122">
        <v>50</v>
      </c>
      <c r="D16" s="123"/>
      <c r="E16" s="32" t="s">
        <v>37</v>
      </c>
      <c r="F16" s="68"/>
      <c r="G16" s="30" t="s">
        <v>51</v>
      </c>
      <c r="I16" s="8" t="s">
        <v>121</v>
      </c>
      <c r="J16" s="8" t="s">
        <v>122</v>
      </c>
      <c r="K16" s="73"/>
      <c r="L16" s="76" t="s">
        <v>33</v>
      </c>
      <c r="M16" s="76" t="s">
        <v>33</v>
      </c>
      <c r="N16" s="8" t="s">
        <v>62</v>
      </c>
    </row>
    <row r="17" spans="2:15" ht="17" thickBot="1" x14ac:dyDescent="0.25">
      <c r="B17" s="21" t="s">
        <v>66</v>
      </c>
      <c r="C17" s="124">
        <v>440</v>
      </c>
      <c r="D17" s="125"/>
      <c r="E17" s="32" t="s">
        <v>38</v>
      </c>
      <c r="F17" s="68"/>
      <c r="G17" s="30" t="s">
        <v>51</v>
      </c>
      <c r="I17" s="8" t="s">
        <v>95</v>
      </c>
      <c r="J17" s="76" t="s">
        <v>33</v>
      </c>
      <c r="K17" s="37">
        <v>0.125</v>
      </c>
      <c r="L17" s="8" t="s">
        <v>127</v>
      </c>
      <c r="M17" s="78" t="s">
        <v>130</v>
      </c>
      <c r="N17" s="8" t="s">
        <v>30</v>
      </c>
    </row>
    <row r="18" spans="2:15" x14ac:dyDescent="0.2">
      <c r="B18" s="22" t="s">
        <v>48</v>
      </c>
      <c r="C18" s="23"/>
      <c r="D18" s="24"/>
      <c r="E18" s="14" t="s">
        <v>109</v>
      </c>
      <c r="F18" s="71">
        <f>F11/((C10+D10)/1000)</f>
        <v>1319.3651256746439</v>
      </c>
      <c r="G18" s="58" t="s">
        <v>110</v>
      </c>
      <c r="I18" s="32" t="s">
        <v>124</v>
      </c>
      <c r="J18" s="8" t="s">
        <v>125</v>
      </c>
      <c r="K18" s="80">
        <f>F11/MeasuringProtocol!D5</f>
        <v>304.20822617088652</v>
      </c>
      <c r="L18" s="8" t="s">
        <v>126</v>
      </c>
      <c r="M18" s="8"/>
      <c r="N18" s="8" t="s">
        <v>62</v>
      </c>
    </row>
    <row r="19" spans="2:15" ht="17" thickBot="1" x14ac:dyDescent="0.25">
      <c r="B19" s="17" t="s">
        <v>49</v>
      </c>
      <c r="C19" s="25"/>
      <c r="D19" s="26">
        <f>((C5*C16)-(C5*C8))/(D8-C16)</f>
        <v>1354.0540540540539</v>
      </c>
      <c r="E19" s="42" t="s">
        <v>111</v>
      </c>
      <c r="F19" s="72">
        <f>F18/(60*24*MeasuringProtocol!D5)</f>
        <v>0.1527042969530838</v>
      </c>
      <c r="G19" s="59" t="s">
        <v>112</v>
      </c>
      <c r="I19" s="8" t="s">
        <v>128</v>
      </c>
      <c r="J19" s="76" t="s">
        <v>33</v>
      </c>
      <c r="K19" s="81">
        <f>K18/(K17*24*4)</f>
        <v>25.350685514240542</v>
      </c>
      <c r="L19" s="8" t="s">
        <v>129</v>
      </c>
      <c r="M19" s="18"/>
      <c r="N19" s="8" t="s">
        <v>62</v>
      </c>
    </row>
    <row r="20" spans="2:15" ht="17" thickBot="1" x14ac:dyDescent="0.25">
      <c r="C20" s="67"/>
      <c r="D20" s="99"/>
    </row>
    <row r="21" spans="2:15" x14ac:dyDescent="0.2">
      <c r="B21" s="6" t="s">
        <v>74</v>
      </c>
      <c r="C21" s="44" t="s">
        <v>75</v>
      </c>
      <c r="D21" s="44" t="s">
        <v>75</v>
      </c>
      <c r="E21" s="44" t="s">
        <v>76</v>
      </c>
      <c r="F21" s="45" t="s">
        <v>73</v>
      </c>
      <c r="G21" s="45" t="s">
        <v>73</v>
      </c>
      <c r="H21" s="45" t="s">
        <v>73</v>
      </c>
      <c r="I21" s="45" t="s">
        <v>73</v>
      </c>
      <c r="J21" s="84" t="s">
        <v>108</v>
      </c>
      <c r="K21" s="44" t="s">
        <v>77</v>
      </c>
      <c r="L21" s="44" t="s">
        <v>77</v>
      </c>
      <c r="M21" s="44" t="s">
        <v>77</v>
      </c>
      <c r="N21" s="44" t="s">
        <v>77</v>
      </c>
      <c r="O21" s="44" t="s">
        <v>134</v>
      </c>
    </row>
    <row r="22" spans="2:15" x14ac:dyDescent="0.2">
      <c r="B22" s="6" t="s">
        <v>78</v>
      </c>
      <c r="C22" s="44" t="s">
        <v>79</v>
      </c>
      <c r="D22" s="44" t="s">
        <v>80</v>
      </c>
      <c r="E22" s="44" t="s">
        <v>81</v>
      </c>
      <c r="F22" s="45" t="s">
        <v>82</v>
      </c>
      <c r="G22" s="46" t="s">
        <v>83</v>
      </c>
      <c r="H22" s="46" t="s">
        <v>84</v>
      </c>
      <c r="I22" s="45" t="s">
        <v>85</v>
      </c>
      <c r="J22" s="85" t="s">
        <v>86</v>
      </c>
      <c r="K22" s="44" t="s">
        <v>87</v>
      </c>
      <c r="L22" s="44" t="s">
        <v>88</v>
      </c>
      <c r="M22" s="44" t="s">
        <v>89</v>
      </c>
      <c r="N22" s="44" t="s">
        <v>90</v>
      </c>
      <c r="O22" s="44" t="s">
        <v>133</v>
      </c>
    </row>
    <row r="23" spans="2:15" x14ac:dyDescent="0.2">
      <c r="B23" s="47" t="s">
        <v>131</v>
      </c>
      <c r="C23" s="5">
        <v>2.5000000000000001E-2</v>
      </c>
      <c r="D23" s="5">
        <v>0.1</v>
      </c>
      <c r="E23" s="3">
        <v>10</v>
      </c>
      <c r="F23" s="48">
        <f>(LN(L23/K23))/(2*3.1416*N23*C23)</f>
        <v>5.6369573100735275</v>
      </c>
      <c r="G23" s="48">
        <f>(LN(M23/L23))/(2*3.1416*N23*D23)</f>
        <v>1.0525747368123934</v>
      </c>
      <c r="H23" s="48">
        <f>2*((M23-L23)/D23)*(3.14*M23^2)</f>
        <v>0.15896249999999995</v>
      </c>
      <c r="I23" s="48">
        <f>1/(E23*2*3.1416*M23*N23)</f>
        <v>0.18614569698161032</v>
      </c>
      <c r="J23" s="86">
        <f>(F23+G23+I23+H23)*(1/86.4)</f>
        <v>8.1419447266985315E-2</v>
      </c>
      <c r="K23" s="60">
        <v>0.125</v>
      </c>
      <c r="L23" s="77">
        <f>K23+0.05</f>
        <v>0.17499999999999999</v>
      </c>
      <c r="M23" s="77">
        <f>L23+0.05</f>
        <v>0.22499999999999998</v>
      </c>
      <c r="N23" s="62">
        <v>0.38</v>
      </c>
      <c r="O23" s="50">
        <v>18.5</v>
      </c>
    </row>
    <row r="24" spans="2:15" ht="17" thickBot="1" x14ac:dyDescent="0.25">
      <c r="B24" s="47" t="s">
        <v>132</v>
      </c>
      <c r="C24" s="5">
        <v>2.5000000000000001E-2</v>
      </c>
      <c r="D24" s="5">
        <v>0.1</v>
      </c>
      <c r="E24" s="3">
        <v>10</v>
      </c>
      <c r="F24" s="48">
        <f>(LN(L24/K24))/(2*3.1416*N24*C24)</f>
        <v>4.7352421550422239</v>
      </c>
      <c r="G24" s="48">
        <f>(LN(M24/L24))/(2*3.1416*N24*D24)</f>
        <v>0.96724363802921332</v>
      </c>
      <c r="H24" s="48">
        <f>2*((M24-L24)/D24)*(3.14*M24^2)</f>
        <v>0.28259999999999996</v>
      </c>
      <c r="I24" s="48">
        <f>1/(E24*2*3.1416*M24*N24)</f>
        <v>0.17683841213252979</v>
      </c>
      <c r="J24" s="87">
        <f>(F24+G24+I24+H24)*(1/86.4)</f>
        <v>7.1318567189860724E-2</v>
      </c>
      <c r="K24" s="60">
        <v>0.2</v>
      </c>
      <c r="L24" s="77">
        <f>K24+0.05</f>
        <v>0.25</v>
      </c>
      <c r="M24" s="77">
        <f>L24+0.05</f>
        <v>0.3</v>
      </c>
      <c r="N24" s="62">
        <v>0.3</v>
      </c>
      <c r="O24" s="50">
        <v>37.5</v>
      </c>
    </row>
    <row r="27" spans="2:15" x14ac:dyDescent="0.2">
      <c r="K27" s="83"/>
    </row>
  </sheetData>
  <mergeCells count="5">
    <mergeCell ref="C13:D13"/>
    <mergeCell ref="C14:D14"/>
    <mergeCell ref="C15:D15"/>
    <mergeCell ref="C16:D16"/>
    <mergeCell ref="C17:D1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FFE8-9B97-BB41-A930-06BAC2D09947}">
  <dimension ref="A2:K35"/>
  <sheetViews>
    <sheetView tabSelected="1" zoomScale="150" zoomScaleNormal="150" workbookViewId="0">
      <selection activeCell="K34" sqref="K34"/>
    </sheetView>
  </sheetViews>
  <sheetFormatPr baseColWidth="10" defaultRowHeight="13" x14ac:dyDescent="0.15"/>
  <cols>
    <col min="1" max="1" width="3.1640625" style="88" customWidth="1"/>
    <col min="2" max="2" width="21.5" style="88" customWidth="1"/>
    <col min="3" max="3" width="10.83203125" style="88"/>
    <col min="4" max="4" width="10.83203125" style="88" customWidth="1"/>
    <col min="5" max="5" width="11.83203125" style="88" customWidth="1"/>
    <col min="6" max="16384" width="10.83203125" style="88"/>
  </cols>
  <sheetData>
    <row r="2" spans="1:11" x14ac:dyDescent="0.15">
      <c r="D2" s="96" t="s">
        <v>165</v>
      </c>
      <c r="E2" s="112" t="s">
        <v>180</v>
      </c>
      <c r="F2" s="95" t="s">
        <v>164</v>
      </c>
    </row>
    <row r="3" spans="1:11" x14ac:dyDescent="0.15">
      <c r="B3" s="94" t="s">
        <v>20</v>
      </c>
      <c r="C3" s="94" t="s">
        <v>22</v>
      </c>
      <c r="D3" s="93" t="s">
        <v>21</v>
      </c>
      <c r="E3" s="113" t="s">
        <v>21</v>
      </c>
      <c r="F3" s="92" t="s">
        <v>21</v>
      </c>
    </row>
    <row r="4" spans="1:11" x14ac:dyDescent="0.15">
      <c r="B4" s="88" t="s">
        <v>163</v>
      </c>
      <c r="C4" s="88" t="s">
        <v>162</v>
      </c>
      <c r="D4" s="90">
        <v>18.5</v>
      </c>
      <c r="E4" s="90">
        <v>28</v>
      </c>
      <c r="F4" s="90">
        <v>37.5</v>
      </c>
    </row>
    <row r="5" spans="1:11" x14ac:dyDescent="0.15">
      <c r="B5" s="88" t="s">
        <v>161</v>
      </c>
      <c r="C5" s="88" t="s">
        <v>160</v>
      </c>
      <c r="D5" s="89">
        <v>440</v>
      </c>
      <c r="E5" s="89">
        <v>440</v>
      </c>
      <c r="F5" s="89">
        <v>440</v>
      </c>
    </row>
    <row r="6" spans="1:11" x14ac:dyDescent="0.15">
      <c r="B6" s="88" t="s">
        <v>159</v>
      </c>
      <c r="C6" s="88" t="s">
        <v>157</v>
      </c>
      <c r="D6" s="89">
        <v>80</v>
      </c>
      <c r="E6" s="89">
        <v>80</v>
      </c>
      <c r="F6" s="89">
        <v>80</v>
      </c>
    </row>
    <row r="7" spans="1:11" x14ac:dyDescent="0.15">
      <c r="B7" s="88" t="s">
        <v>158</v>
      </c>
      <c r="C7" s="88" t="s">
        <v>157</v>
      </c>
      <c r="D7" s="89">
        <v>13</v>
      </c>
      <c r="E7" s="89">
        <v>13</v>
      </c>
      <c r="F7" s="89">
        <v>13</v>
      </c>
    </row>
    <row r="8" spans="1:11" x14ac:dyDescent="0.15">
      <c r="B8" s="88" t="s">
        <v>156</v>
      </c>
      <c r="C8" s="88" t="s">
        <v>155</v>
      </c>
      <c r="D8" s="89">
        <v>6</v>
      </c>
      <c r="E8" s="89">
        <v>6</v>
      </c>
      <c r="F8" s="89">
        <v>6</v>
      </c>
    </row>
    <row r="9" spans="1:11" x14ac:dyDescent="0.15">
      <c r="A9" s="88">
        <v>1</v>
      </c>
      <c r="B9" s="88" t="s">
        <v>154</v>
      </c>
      <c r="C9" s="88" t="s">
        <v>153</v>
      </c>
      <c r="D9" s="98">
        <v>17500</v>
      </c>
      <c r="E9" s="98">
        <v>17500</v>
      </c>
      <c r="F9" s="98">
        <v>17500</v>
      </c>
    </row>
    <row r="10" spans="1:11" x14ac:dyDescent="0.15">
      <c r="A10" s="88">
        <v>2</v>
      </c>
      <c r="B10" s="88" t="s">
        <v>152</v>
      </c>
      <c r="C10" s="88" t="s">
        <v>138</v>
      </c>
      <c r="D10" s="97">
        <v>7</v>
      </c>
      <c r="E10" s="97">
        <v>15</v>
      </c>
      <c r="F10" s="97">
        <v>23</v>
      </c>
    </row>
    <row r="11" spans="1:11" x14ac:dyDescent="0.15">
      <c r="A11" s="88">
        <v>3</v>
      </c>
      <c r="B11" s="88" t="s">
        <v>151</v>
      </c>
      <c r="C11" s="88" t="s">
        <v>150</v>
      </c>
      <c r="D11" s="98">
        <v>8.1000000000000003E-2</v>
      </c>
      <c r="E11" s="98">
        <v>7.5999999999999998E-2</v>
      </c>
      <c r="F11" s="98">
        <v>7.0999999999999994E-2</v>
      </c>
    </row>
    <row r="12" spans="1:11" x14ac:dyDescent="0.15">
      <c r="B12" s="126" t="s">
        <v>149</v>
      </c>
      <c r="C12" s="126"/>
      <c r="D12" s="93" t="s">
        <v>147</v>
      </c>
      <c r="E12" s="88" t="s">
        <v>168</v>
      </c>
      <c r="F12" s="93" t="s">
        <v>146</v>
      </c>
      <c r="G12" s="88" t="s">
        <v>169</v>
      </c>
      <c r="H12" s="93" t="s">
        <v>145</v>
      </c>
      <c r="I12" s="93" t="s">
        <v>144</v>
      </c>
      <c r="J12" s="88" t="s">
        <v>170</v>
      </c>
      <c r="K12" s="93" t="s">
        <v>143</v>
      </c>
    </row>
    <row r="13" spans="1:11" x14ac:dyDescent="0.15">
      <c r="A13" s="88">
        <v>4</v>
      </c>
      <c r="B13" s="88" t="s">
        <v>142</v>
      </c>
      <c r="C13" s="88" t="s">
        <v>141</v>
      </c>
      <c r="D13" s="91">
        <v>0.82199999999999995</v>
      </c>
      <c r="E13" s="88">
        <v>0.83299999999999996</v>
      </c>
      <c r="F13" s="91">
        <v>0.84</v>
      </c>
      <c r="G13" s="88">
        <v>0.85299999999999998</v>
      </c>
      <c r="H13" s="91">
        <v>0.85499999999999998</v>
      </c>
      <c r="I13" s="91">
        <v>0.86799999999999999</v>
      </c>
      <c r="J13" s="88">
        <v>0.874</v>
      </c>
      <c r="K13" s="91">
        <v>0.877</v>
      </c>
    </row>
    <row r="14" spans="1:11" x14ac:dyDescent="0.15">
      <c r="A14" s="88">
        <v>5</v>
      </c>
      <c r="B14" s="88" t="s">
        <v>140</v>
      </c>
      <c r="C14" s="88" t="s">
        <v>139</v>
      </c>
      <c r="D14" s="90">
        <v>2.9249999999999998</v>
      </c>
      <c r="E14" s="88">
        <v>2.8119999999999998</v>
      </c>
      <c r="F14" s="90">
        <v>2.7719999999999998</v>
      </c>
      <c r="G14" s="88">
        <v>2.66</v>
      </c>
      <c r="H14" s="90">
        <v>2.6440000000000001</v>
      </c>
      <c r="I14" s="90">
        <v>2.54</v>
      </c>
      <c r="J14" s="88">
        <v>2.476</v>
      </c>
      <c r="K14" s="90">
        <v>2.452</v>
      </c>
    </row>
    <row r="15" spans="1:11" x14ac:dyDescent="0.15">
      <c r="A15" s="88">
        <v>6</v>
      </c>
      <c r="B15" s="114" t="s">
        <v>63</v>
      </c>
      <c r="C15" s="114" t="s">
        <v>138</v>
      </c>
      <c r="D15" s="115">
        <v>0.77400000000000002</v>
      </c>
      <c r="E15" s="114">
        <v>0.80100000000000005</v>
      </c>
      <c r="F15" s="115">
        <v>0.81599999999999995</v>
      </c>
      <c r="G15" s="114">
        <v>0.84499999999999997</v>
      </c>
      <c r="H15" s="115">
        <v>0.85199999999999998</v>
      </c>
      <c r="I15" s="115">
        <v>0.88100000000000001</v>
      </c>
      <c r="J15" s="114">
        <v>0.89600000000000002</v>
      </c>
      <c r="K15" s="115">
        <v>0.90400000000000003</v>
      </c>
    </row>
    <row r="16" spans="1:11" x14ac:dyDescent="0.15">
      <c r="B16" s="88" t="s">
        <v>137</v>
      </c>
      <c r="C16" s="88" t="s">
        <v>135</v>
      </c>
      <c r="D16" s="89">
        <v>4780</v>
      </c>
      <c r="E16" s="88">
        <v>4450</v>
      </c>
      <c r="F16" s="89">
        <v>4250</v>
      </c>
      <c r="G16" s="88">
        <v>3900</v>
      </c>
      <c r="H16" s="89">
        <v>3820</v>
      </c>
      <c r="I16" s="89">
        <v>3460</v>
      </c>
      <c r="J16" s="88">
        <v>3270</v>
      </c>
      <c r="K16" s="89">
        <v>3150</v>
      </c>
    </row>
    <row r="17" spans="1:11" x14ac:dyDescent="0.15">
      <c r="B17" s="88" t="s">
        <v>136</v>
      </c>
      <c r="C17" s="88" t="s">
        <v>135</v>
      </c>
      <c r="D17" s="89">
        <v>2220</v>
      </c>
      <c r="E17" s="88">
        <v>2550</v>
      </c>
      <c r="F17" s="89">
        <v>2750</v>
      </c>
      <c r="G17" s="88">
        <v>3100</v>
      </c>
      <c r="H17" s="89">
        <v>3180</v>
      </c>
      <c r="I17" s="89">
        <v>3540</v>
      </c>
      <c r="J17" s="88">
        <v>3730</v>
      </c>
      <c r="K17" s="89">
        <v>3850</v>
      </c>
    </row>
    <row r="18" spans="1:11" x14ac:dyDescent="0.15">
      <c r="B18" s="88" t="s">
        <v>167</v>
      </c>
      <c r="C18" s="100" t="s">
        <v>33</v>
      </c>
      <c r="D18" s="111" t="s">
        <v>178</v>
      </c>
      <c r="E18" s="111" t="s">
        <v>177</v>
      </c>
      <c r="F18" s="111" t="s">
        <v>176</v>
      </c>
      <c r="G18" s="111" t="s">
        <v>175</v>
      </c>
      <c r="H18" s="111" t="s">
        <v>174</v>
      </c>
      <c r="I18" s="111" t="s">
        <v>173</v>
      </c>
      <c r="J18" s="111" t="s">
        <v>172</v>
      </c>
      <c r="K18" s="111" t="s">
        <v>171</v>
      </c>
    </row>
    <row r="19" spans="1:11" x14ac:dyDescent="0.15">
      <c r="D19" s="88">
        <f>SUM(D16:D17)</f>
        <v>7000</v>
      </c>
      <c r="E19" s="88">
        <f t="shared" ref="E19:K19" si="0">SUM(E16:E17)</f>
        <v>7000</v>
      </c>
      <c r="F19" s="88">
        <f t="shared" si="0"/>
        <v>7000</v>
      </c>
      <c r="G19" s="88">
        <f t="shared" si="0"/>
        <v>7000</v>
      </c>
      <c r="H19" s="88">
        <f t="shared" si="0"/>
        <v>7000</v>
      </c>
      <c r="I19" s="88">
        <f t="shared" si="0"/>
        <v>7000</v>
      </c>
      <c r="J19" s="88">
        <f t="shared" si="0"/>
        <v>7000</v>
      </c>
      <c r="K19" s="88">
        <f t="shared" si="0"/>
        <v>7000</v>
      </c>
    </row>
    <row r="20" spans="1:11" x14ac:dyDescent="0.15">
      <c r="B20" s="128" t="s">
        <v>179</v>
      </c>
      <c r="C20" s="128"/>
      <c r="D20" s="113" t="s">
        <v>147</v>
      </c>
      <c r="E20" s="112" t="s">
        <v>168</v>
      </c>
      <c r="F20" s="113" t="s">
        <v>146</v>
      </c>
      <c r="G20" s="112" t="s">
        <v>169</v>
      </c>
      <c r="H20" s="113" t="s">
        <v>145</v>
      </c>
      <c r="I20" s="113" t="s">
        <v>144</v>
      </c>
      <c r="J20" s="112" t="s">
        <v>170</v>
      </c>
      <c r="K20" s="113" t="s">
        <v>143</v>
      </c>
    </row>
    <row r="21" spans="1:11" x14ac:dyDescent="0.15">
      <c r="A21" s="88">
        <v>4</v>
      </c>
      <c r="B21" s="88" t="s">
        <v>142</v>
      </c>
      <c r="C21" s="88" t="s">
        <v>141</v>
      </c>
      <c r="D21" s="91">
        <v>1.7609999999999999</v>
      </c>
      <c r="E21" s="88">
        <v>1.7849999999999999</v>
      </c>
      <c r="F21" s="91">
        <v>1.7989999999999999</v>
      </c>
      <c r="G21" s="88">
        <v>1.825</v>
      </c>
      <c r="H21" s="91">
        <v>1.831</v>
      </c>
      <c r="I21" s="91">
        <v>1.857</v>
      </c>
      <c r="J21" s="88">
        <v>1.871</v>
      </c>
      <c r="K21" s="91">
        <v>1.879</v>
      </c>
    </row>
    <row r="22" spans="1:11" x14ac:dyDescent="0.15">
      <c r="A22" s="88">
        <v>5</v>
      </c>
      <c r="B22" s="88" t="s">
        <v>140</v>
      </c>
      <c r="C22" s="88" t="s">
        <v>139</v>
      </c>
      <c r="D22" s="90">
        <v>2.9249999999999998</v>
      </c>
      <c r="E22" s="88">
        <v>2.8119999999999998</v>
      </c>
      <c r="F22" s="90">
        <v>2.7719999999999998</v>
      </c>
      <c r="G22" s="88">
        <v>2.66</v>
      </c>
      <c r="H22" s="90">
        <v>2.6440000000000001</v>
      </c>
      <c r="I22" s="90">
        <v>2.54</v>
      </c>
      <c r="J22" s="88">
        <v>2.476</v>
      </c>
      <c r="K22" s="90">
        <v>2.452</v>
      </c>
    </row>
    <row r="23" spans="1:11" x14ac:dyDescent="0.15">
      <c r="A23" s="88">
        <v>6</v>
      </c>
      <c r="B23" s="114" t="s">
        <v>63</v>
      </c>
      <c r="C23" s="114" t="s">
        <v>138</v>
      </c>
      <c r="D23" s="115">
        <v>1.6579999999999999</v>
      </c>
      <c r="E23" s="114">
        <v>1.714</v>
      </c>
      <c r="F23" s="115">
        <v>1.7490000000000001</v>
      </c>
      <c r="G23" s="114">
        <v>1.8089999999999999</v>
      </c>
      <c r="H23" s="115">
        <v>1.823</v>
      </c>
      <c r="I23" s="115">
        <v>1.885</v>
      </c>
      <c r="J23" s="114">
        <v>1.917</v>
      </c>
      <c r="K23" s="115">
        <v>1.9370000000000001</v>
      </c>
    </row>
    <row r="24" spans="1:11" x14ac:dyDescent="0.15">
      <c r="B24" s="88" t="s">
        <v>137</v>
      </c>
      <c r="C24" s="88" t="s">
        <v>135</v>
      </c>
      <c r="D24" s="89">
        <v>10240</v>
      </c>
      <c r="E24" s="88">
        <v>9530</v>
      </c>
      <c r="F24" s="89">
        <v>9105</v>
      </c>
      <c r="G24" s="88">
        <v>8350</v>
      </c>
      <c r="H24" s="89">
        <v>8180</v>
      </c>
      <c r="I24" s="89">
        <v>7405</v>
      </c>
      <c r="J24" s="88">
        <v>7000</v>
      </c>
      <c r="K24" s="89">
        <v>6750</v>
      </c>
    </row>
    <row r="25" spans="1:11" x14ac:dyDescent="0.15">
      <c r="B25" s="88" t="s">
        <v>136</v>
      </c>
      <c r="C25" s="88" t="s">
        <v>135</v>
      </c>
      <c r="D25" s="89">
        <v>4760</v>
      </c>
      <c r="E25" s="88">
        <v>5470</v>
      </c>
      <c r="F25" s="89">
        <v>5895</v>
      </c>
      <c r="G25" s="88">
        <v>6650</v>
      </c>
      <c r="H25" s="89">
        <v>6820</v>
      </c>
      <c r="I25" s="89">
        <v>7595</v>
      </c>
      <c r="J25" s="88">
        <v>8000</v>
      </c>
      <c r="K25" s="89">
        <v>8250</v>
      </c>
    </row>
    <row r="26" spans="1:11" x14ac:dyDescent="0.15">
      <c r="B26" s="88" t="s">
        <v>167</v>
      </c>
      <c r="C26" s="100" t="s">
        <v>33</v>
      </c>
      <c r="D26" s="111" t="s">
        <v>178</v>
      </c>
      <c r="E26" s="111" t="s">
        <v>177</v>
      </c>
      <c r="F26" s="111" t="s">
        <v>176</v>
      </c>
      <c r="G26" s="111" t="s">
        <v>175</v>
      </c>
      <c r="H26" s="111" t="s">
        <v>174</v>
      </c>
      <c r="I26" s="111" t="s">
        <v>173</v>
      </c>
      <c r="J26" s="111" t="s">
        <v>172</v>
      </c>
      <c r="K26" s="111" t="s">
        <v>171</v>
      </c>
    </row>
    <row r="27" spans="1:11" x14ac:dyDescent="0.15">
      <c r="D27" s="88">
        <f>SUM(D24:D25)</f>
        <v>15000</v>
      </c>
      <c r="E27" s="88">
        <f>SUM(E24:E25)</f>
        <v>15000</v>
      </c>
      <c r="F27" s="88">
        <f t="shared" ref="F27:K27" si="1">SUM(F24:F25)</f>
        <v>15000</v>
      </c>
      <c r="G27" s="88">
        <f t="shared" si="1"/>
        <v>15000</v>
      </c>
      <c r="H27" s="88">
        <f t="shared" si="1"/>
        <v>15000</v>
      </c>
      <c r="I27" s="88">
        <f t="shared" si="1"/>
        <v>15000</v>
      </c>
      <c r="J27" s="88">
        <f t="shared" si="1"/>
        <v>15000</v>
      </c>
      <c r="K27" s="88">
        <f t="shared" si="1"/>
        <v>15000</v>
      </c>
    </row>
    <row r="29" spans="1:11" x14ac:dyDescent="0.15">
      <c r="B29" s="127" t="s">
        <v>148</v>
      </c>
      <c r="C29" s="127"/>
      <c r="D29" s="92" t="s">
        <v>147</v>
      </c>
      <c r="E29" s="92" t="s">
        <v>146</v>
      </c>
      <c r="F29" s="92" t="s">
        <v>145</v>
      </c>
      <c r="G29" s="92" t="s">
        <v>144</v>
      </c>
      <c r="H29" s="92" t="s">
        <v>143</v>
      </c>
    </row>
    <row r="30" spans="1:11" x14ac:dyDescent="0.15">
      <c r="B30" s="88" t="s">
        <v>142</v>
      </c>
      <c r="C30" s="88" t="s">
        <v>141</v>
      </c>
      <c r="D30" s="91">
        <v>2.7</v>
      </c>
      <c r="E30" s="91">
        <v>2.7589999999999999</v>
      </c>
      <c r="F30" s="91">
        <v>2.8079999999999998</v>
      </c>
      <c r="G30" s="91">
        <v>2.8490000000000002</v>
      </c>
      <c r="H30" s="91">
        <v>2.883</v>
      </c>
    </row>
    <row r="31" spans="1:11" x14ac:dyDescent="0.15">
      <c r="B31" s="88" t="s">
        <v>140</v>
      </c>
      <c r="C31" s="88" t="s">
        <v>139</v>
      </c>
      <c r="D31" s="90">
        <v>2.9249999999999998</v>
      </c>
      <c r="E31" s="90">
        <v>2.7719999999999998</v>
      </c>
      <c r="F31" s="90">
        <v>2.6440000000000001</v>
      </c>
      <c r="G31" s="90">
        <v>2.54</v>
      </c>
      <c r="H31" s="90">
        <v>2.452</v>
      </c>
    </row>
    <row r="32" spans="1:11" x14ac:dyDescent="0.15">
      <c r="B32" s="88" t="s">
        <v>63</v>
      </c>
      <c r="C32" s="88" t="s">
        <v>138</v>
      </c>
      <c r="D32" s="90">
        <v>2.5419999999999998</v>
      </c>
      <c r="E32" s="90">
        <v>2.681</v>
      </c>
      <c r="F32" s="90">
        <v>2.7949999999999999</v>
      </c>
      <c r="G32" s="90">
        <v>2.891</v>
      </c>
      <c r="H32" s="90">
        <v>2.9710000000000001</v>
      </c>
    </row>
    <row r="33" spans="2:8" x14ac:dyDescent="0.15">
      <c r="B33" s="88" t="s">
        <v>137</v>
      </c>
      <c r="C33" s="88" t="s">
        <v>135</v>
      </c>
      <c r="D33" s="89">
        <v>15700</v>
      </c>
      <c r="E33" s="89">
        <v>13960</v>
      </c>
      <c r="F33" s="89">
        <v>12540</v>
      </c>
      <c r="G33" s="89">
        <v>11360</v>
      </c>
      <c r="H33" s="89">
        <v>10355</v>
      </c>
    </row>
    <row r="34" spans="2:8" x14ac:dyDescent="0.15">
      <c r="B34" s="88" t="s">
        <v>136</v>
      </c>
      <c r="C34" s="88" t="s">
        <v>135</v>
      </c>
      <c r="D34" s="89">
        <v>7300</v>
      </c>
      <c r="E34" s="89">
        <v>9040</v>
      </c>
      <c r="F34" s="89">
        <v>10460</v>
      </c>
      <c r="G34" s="89">
        <v>11640</v>
      </c>
      <c r="H34" s="89">
        <v>12645</v>
      </c>
    </row>
    <row r="35" spans="2:8" x14ac:dyDescent="0.15">
      <c r="D35" s="88">
        <f>SUM(D33:D34)</f>
        <v>23000</v>
      </c>
      <c r="E35" s="88">
        <f>SUM(E33:E34)</f>
        <v>23000</v>
      </c>
      <c r="F35" s="88">
        <f>SUM(F33:F34)</f>
        <v>23000</v>
      </c>
      <c r="G35" s="88">
        <f>SUM(G33:G34)</f>
        <v>23000</v>
      </c>
      <c r="H35" s="88">
        <f>SUM(H33:H34)</f>
        <v>23000</v>
      </c>
    </row>
  </sheetData>
  <mergeCells count="3">
    <mergeCell ref="B12:C12"/>
    <mergeCell ref="B29:C29"/>
    <mergeCell ref="B20:C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MeasuringProtocol</vt:lpstr>
      <vt:lpstr>Parameters</vt:lpstr>
      <vt:lpstr>DesignSpace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Cotera</dc:creator>
  <cp:lastModifiedBy>Pablo Cotera Rivera</cp:lastModifiedBy>
  <dcterms:created xsi:type="dcterms:W3CDTF">2023-08-23T00:42:12Z</dcterms:created>
  <dcterms:modified xsi:type="dcterms:W3CDTF">2025-01-27T22:17:41Z</dcterms:modified>
</cp:coreProperties>
</file>